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21.xml" ContentType="application/vnd.openxmlformats-officedocument.spreadsheetml.worksheet+xml"/>
  <Override PartName="/xl/worksheets/sheet20.xml" ContentType="application/vnd.openxmlformats-officedocument.spreadsheetml.worksheet+xml"/>
  <Override PartName="/xl/worksheets/sheet19.xml" ContentType="application/vnd.openxmlformats-officedocument.spreadsheetml.worksheet+xml"/>
  <Override PartName="/xl/worksheets/sheet18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worksheets/sheet17.xml" ContentType="application/vnd.openxmlformats-officedocument.spreadsheetml.worksheet+xml"/>
  <Override PartName="/xl/worksheets/sheet16.xml" ContentType="application/vnd.openxmlformats-officedocument.spreadsheetml.worksheet+xml"/>
  <Override PartName="/xl/worksheets/sheet15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worksheets/sheet9.xml" ContentType="application/vnd.openxmlformats-officedocument.spreadsheetml.worksheet+xml"/>
  <Override PartName="/xl/worksheets/sheet11.xml" ContentType="application/vnd.openxmlformats-officedocument.spreadsheetml.worksheet+xml"/>
  <Override PartName="/xl/worksheets/sheet14.xml" ContentType="application/vnd.openxmlformats-officedocument.spreadsheetml.worksheet+xml"/>
  <Override PartName="/xl/worksheets/sheet13.xml" ContentType="application/vnd.openxmlformats-officedocument.spreadsheetml.worksheet+xml"/>
  <Override PartName="/xl/worksheets/sheet12.xml" ContentType="application/vnd.openxmlformats-officedocument.spreadsheetml.worksheet+xml"/>
  <Override PartName="/xl/worksheets/sheet10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8800" windowHeight="14235"/>
  </bookViews>
  <sheets>
    <sheet name="KU_Summary - Cost - P1 (REG)" sheetId="1" r:id="rId1"/>
    <sheet name="KU_Summary - Reserve - P2 (REG)" sheetId="2" r:id="rId2"/>
    <sheet name="RWIP BY ACCOUNT - P2A (REG)" sheetId="3" r:id="rId3"/>
    <sheet name="Cash Flow Summary - PG 2B REG" sheetId="4" r:id="rId4"/>
    <sheet name="Transfers Detail P3 (REG)" sheetId="5" r:id="rId5"/>
    <sheet name="Transfers Detail-VA-P3.1 (REG)" sheetId="6" r:id="rId6"/>
    <sheet name="Transfers Detail-TN-P3.2 (REG)" sheetId="7" r:id="rId7"/>
    <sheet name="Land_Vehicle Retire P3A (REG)" sheetId="8" r:id="rId8"/>
    <sheet name="CWIP Spend by Project P3B (REG)" sheetId="9" r:id="rId9"/>
    <sheet name="Recon Depr Exp to IS P4 (REG)" sheetId="10" r:id="rId10"/>
    <sheet name="TOTAL_PIS NVB P5 (REG)" sheetId="11" r:id="rId11"/>
    <sheet name="TOTAL_PIS COST SPLITS-P6 (REG)" sheetId="12" r:id="rId12"/>
    <sheet name="KY_PIS NVB P7 (REG)" sheetId="13" r:id="rId13"/>
    <sheet name="KY_Cost by Plant Acct P8 (REG)" sheetId="14" r:id="rId14"/>
    <sheet name="VA_PIS NBV P9 (REG)" sheetId="15" r:id="rId15"/>
    <sheet name="VA_Cost by Plant Acct P10 (REG)" sheetId="16" r:id="rId16"/>
    <sheet name="TN_PIS NBV P11 (REG)" sheetId="17" r:id="rId17"/>
    <sheet name="TN_Cost by Plant Acct P12 (REG)" sheetId="18" r:id="rId18"/>
    <sheet name="Plant Held for Future-P13 (REG)" sheetId="19" r:id="rId19"/>
    <sheet name="Non Utility Prop - KY P14 (REG)" sheetId="20" r:id="rId20"/>
    <sheet name="Elec Plant Purch-Sold P15 (REG)" sheetId="21" r:id="rId21"/>
    <sheet name="KY_Res by Plant Acct P16(REG)" sheetId="22" r:id="rId22"/>
    <sheet name="VA_Res by Plant Acct P17(REG)" sheetId="23" r:id="rId23"/>
    <sheet name="TN_Res by Plant Acct P18(REG)" sheetId="24" r:id="rId24"/>
    <sheet name="Depr Study Summary Pg2" sheetId="25" r:id="rId25"/>
    <sheet name="Depr Study Detail by Acct Depr" sheetId="26" r:id="rId2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61" i="26" l="1"/>
  <c r="B461" i="26"/>
  <c r="J460" i="26"/>
  <c r="B460" i="26"/>
  <c r="J459" i="26"/>
  <c r="B459" i="26"/>
  <c r="J458" i="26"/>
  <c r="B458" i="26"/>
  <c r="J457" i="26"/>
  <c r="B457" i="26"/>
  <c r="J449" i="26"/>
  <c r="B449" i="26"/>
  <c r="J448" i="26"/>
  <c r="B448" i="26"/>
  <c r="J447" i="26"/>
  <c r="B447" i="26"/>
  <c r="J446" i="26"/>
  <c r="B446" i="26"/>
  <c r="J444" i="26"/>
  <c r="B444" i="26"/>
  <c r="J443" i="26"/>
  <c r="B443" i="26"/>
  <c r="J442" i="26"/>
  <c r="B442" i="26"/>
  <c r="J440" i="26"/>
  <c r="B440" i="26"/>
  <c r="J439" i="26"/>
  <c r="J441" i="26" s="1"/>
  <c r="B439" i="26"/>
  <c r="J438" i="26"/>
  <c r="B438" i="26"/>
  <c r="J436" i="26"/>
  <c r="B436" i="26"/>
  <c r="J435" i="26"/>
  <c r="B435" i="26"/>
  <c r="J434" i="26"/>
  <c r="B434" i="26"/>
  <c r="J433" i="26"/>
  <c r="B433" i="26"/>
  <c r="J432" i="26"/>
  <c r="B432" i="26"/>
  <c r="J431" i="26"/>
  <c r="B431" i="26"/>
  <c r="J430" i="26"/>
  <c r="B430" i="26"/>
  <c r="J429" i="26"/>
  <c r="B429" i="26"/>
  <c r="J428" i="26"/>
  <c r="B428" i="26"/>
  <c r="J427" i="26"/>
  <c r="B427" i="26"/>
  <c r="J426" i="26"/>
  <c r="B426" i="26"/>
  <c r="J425" i="26"/>
  <c r="B425" i="26"/>
  <c r="J424" i="26"/>
  <c r="B424" i="26"/>
  <c r="O421" i="26"/>
  <c r="M421" i="26"/>
  <c r="J420" i="26"/>
  <c r="B420" i="26"/>
  <c r="J419" i="26"/>
  <c r="B419" i="26"/>
  <c r="J417" i="26"/>
  <c r="B417" i="26"/>
  <c r="J416" i="26"/>
  <c r="B416" i="26"/>
  <c r="J415" i="26"/>
  <c r="B415" i="26"/>
  <c r="J414" i="26"/>
  <c r="B414" i="26"/>
  <c r="J413" i="26"/>
  <c r="B413" i="26"/>
  <c r="J412" i="26"/>
  <c r="B412" i="26"/>
  <c r="J411" i="26"/>
  <c r="B411" i="26"/>
  <c r="J410" i="26"/>
  <c r="B410" i="26"/>
  <c r="J409" i="26"/>
  <c r="B409" i="26"/>
  <c r="J408" i="26"/>
  <c r="B408" i="26"/>
  <c r="J407" i="26"/>
  <c r="B407" i="26"/>
  <c r="J406" i="26"/>
  <c r="B406" i="26"/>
  <c r="J405" i="26"/>
  <c r="B405" i="26"/>
  <c r="J404" i="26"/>
  <c r="B404" i="26"/>
  <c r="J403" i="26"/>
  <c r="B403" i="26"/>
  <c r="J402" i="26"/>
  <c r="B402" i="26"/>
  <c r="J401" i="26"/>
  <c r="B401" i="26"/>
  <c r="J400" i="26"/>
  <c r="B400" i="26"/>
  <c r="J398" i="26"/>
  <c r="B398" i="26"/>
  <c r="J397" i="26"/>
  <c r="B397" i="26"/>
  <c r="J396" i="26"/>
  <c r="B396" i="26"/>
  <c r="J395" i="26"/>
  <c r="B395" i="26"/>
  <c r="J394" i="26"/>
  <c r="B394" i="26"/>
  <c r="J393" i="26"/>
  <c r="B393" i="26"/>
  <c r="J392" i="26"/>
  <c r="B392" i="26"/>
  <c r="J391" i="26"/>
  <c r="B391" i="26"/>
  <c r="J390" i="26"/>
  <c r="B390" i="26"/>
  <c r="J388" i="26"/>
  <c r="B388" i="26"/>
  <c r="J387" i="26"/>
  <c r="B387" i="26"/>
  <c r="J386" i="26"/>
  <c r="B386" i="26"/>
  <c r="J385" i="26"/>
  <c r="B385" i="26"/>
  <c r="J384" i="26"/>
  <c r="B384" i="26"/>
  <c r="J383" i="26"/>
  <c r="B383" i="26"/>
  <c r="J382" i="26"/>
  <c r="B382" i="26"/>
  <c r="J381" i="26"/>
  <c r="B381" i="26"/>
  <c r="J380" i="26"/>
  <c r="B380" i="26"/>
  <c r="J379" i="26"/>
  <c r="B379" i="26"/>
  <c r="J378" i="26"/>
  <c r="B378" i="26"/>
  <c r="J377" i="26"/>
  <c r="B377" i="26"/>
  <c r="J376" i="26"/>
  <c r="B376" i="26"/>
  <c r="J375" i="26"/>
  <c r="B375" i="26"/>
  <c r="J374" i="26"/>
  <c r="B374" i="26"/>
  <c r="J373" i="26"/>
  <c r="B373" i="26"/>
  <c r="J372" i="26"/>
  <c r="C372" i="26"/>
  <c r="B372" i="26"/>
  <c r="J371" i="26"/>
  <c r="C371" i="26"/>
  <c r="B371" i="26"/>
  <c r="J370" i="26"/>
  <c r="B370" i="26"/>
  <c r="J369" i="26"/>
  <c r="B369" i="26"/>
  <c r="J368" i="26"/>
  <c r="B368" i="26"/>
  <c r="J367" i="26"/>
  <c r="B367" i="26"/>
  <c r="J366" i="26"/>
  <c r="B366" i="26"/>
  <c r="J365" i="26"/>
  <c r="B365" i="26"/>
  <c r="J364" i="26"/>
  <c r="B364" i="26"/>
  <c r="J363" i="26"/>
  <c r="B363" i="26"/>
  <c r="J362" i="26"/>
  <c r="B362" i="26"/>
  <c r="O361" i="26"/>
  <c r="M361" i="26"/>
  <c r="K361" i="26"/>
  <c r="J361" i="26"/>
  <c r="I361" i="26"/>
  <c r="G361" i="26"/>
  <c r="E361" i="26"/>
  <c r="B361" i="26"/>
  <c r="J360" i="26"/>
  <c r="B360" i="26"/>
  <c r="J359" i="26"/>
  <c r="B359" i="26"/>
  <c r="J358" i="26"/>
  <c r="B358" i="26"/>
  <c r="J357" i="26"/>
  <c r="B357" i="26"/>
  <c r="J356" i="26"/>
  <c r="B356" i="26"/>
  <c r="J355" i="26"/>
  <c r="B355" i="26"/>
  <c r="J354" i="26"/>
  <c r="B354" i="26"/>
  <c r="J353" i="26"/>
  <c r="B353" i="26"/>
  <c r="J351" i="26"/>
  <c r="B351" i="26"/>
  <c r="J350" i="26"/>
  <c r="B350" i="26"/>
  <c r="J349" i="26"/>
  <c r="B349" i="26"/>
  <c r="J348" i="26"/>
  <c r="B348" i="26"/>
  <c r="J347" i="26"/>
  <c r="B347" i="26"/>
  <c r="J346" i="26"/>
  <c r="B346" i="26"/>
  <c r="J345" i="26"/>
  <c r="B345" i="26"/>
  <c r="J344" i="26"/>
  <c r="B344" i="26"/>
  <c r="J343" i="26"/>
  <c r="B343" i="26"/>
  <c r="J342" i="26"/>
  <c r="B342" i="26"/>
  <c r="J341" i="26"/>
  <c r="B341" i="26"/>
  <c r="J340" i="26"/>
  <c r="B340" i="26"/>
  <c r="J339" i="26"/>
  <c r="B339" i="26"/>
  <c r="J338" i="26"/>
  <c r="B338" i="26"/>
  <c r="J337" i="26"/>
  <c r="B337" i="26"/>
  <c r="J335" i="26"/>
  <c r="B335" i="26"/>
  <c r="J334" i="26"/>
  <c r="B334" i="26"/>
  <c r="J333" i="26"/>
  <c r="B333" i="26"/>
  <c r="J332" i="26"/>
  <c r="B332" i="26"/>
  <c r="J331" i="26"/>
  <c r="B331" i="26"/>
  <c r="J330" i="26"/>
  <c r="B330" i="26"/>
  <c r="J329" i="26"/>
  <c r="B329" i="26"/>
  <c r="J328" i="26"/>
  <c r="B328" i="26"/>
  <c r="J327" i="26"/>
  <c r="B327" i="26"/>
  <c r="J326" i="26"/>
  <c r="B326" i="26"/>
  <c r="J324" i="26"/>
  <c r="B324" i="26"/>
  <c r="J323" i="26"/>
  <c r="B323" i="26"/>
  <c r="J322" i="26"/>
  <c r="B322" i="26"/>
  <c r="J321" i="26"/>
  <c r="B321" i="26"/>
  <c r="J320" i="26"/>
  <c r="B320" i="26"/>
  <c r="J319" i="26"/>
  <c r="B319" i="26"/>
  <c r="J318" i="26"/>
  <c r="B318" i="26"/>
  <c r="J317" i="26"/>
  <c r="B317" i="26"/>
  <c r="J316" i="26"/>
  <c r="B316" i="26"/>
  <c r="J315" i="26"/>
  <c r="B315" i="26"/>
  <c r="J314" i="26"/>
  <c r="B314" i="26"/>
  <c r="J313" i="26"/>
  <c r="B313" i="26"/>
  <c r="J312" i="26"/>
  <c r="B312" i="26"/>
  <c r="J311" i="26"/>
  <c r="B311" i="26"/>
  <c r="J310" i="26"/>
  <c r="B310" i="26"/>
  <c r="J309" i="26"/>
  <c r="B309" i="26"/>
  <c r="J308" i="26"/>
  <c r="B308" i="26"/>
  <c r="J307" i="26"/>
  <c r="B307" i="26"/>
  <c r="J306" i="26"/>
  <c r="B306" i="26"/>
  <c r="J305" i="26"/>
  <c r="B305" i="26"/>
  <c r="J304" i="26"/>
  <c r="B304" i="26"/>
  <c r="J303" i="26"/>
  <c r="B303" i="26"/>
  <c r="J302" i="26"/>
  <c r="B302" i="26"/>
  <c r="J301" i="26"/>
  <c r="B301" i="26"/>
  <c r="J300" i="26"/>
  <c r="B300" i="26"/>
  <c r="J299" i="26"/>
  <c r="B299" i="26"/>
  <c r="J298" i="26"/>
  <c r="B298" i="26"/>
  <c r="J297" i="26"/>
  <c r="B297" i="26"/>
  <c r="J296" i="26"/>
  <c r="B296" i="26"/>
  <c r="J295" i="26"/>
  <c r="B295" i="26"/>
  <c r="J294" i="26"/>
  <c r="B294" i="26"/>
  <c r="J293" i="26"/>
  <c r="B293" i="26"/>
  <c r="J292" i="26"/>
  <c r="B292" i="26"/>
  <c r="J291" i="26"/>
  <c r="B291" i="26"/>
  <c r="J290" i="26"/>
  <c r="B290" i="26"/>
  <c r="J289" i="26"/>
  <c r="B289" i="26"/>
  <c r="J288" i="26"/>
  <c r="B288" i="26"/>
  <c r="J287" i="26"/>
  <c r="B287" i="26"/>
  <c r="J286" i="26"/>
  <c r="B286" i="26"/>
  <c r="J285" i="26"/>
  <c r="B285" i="26"/>
  <c r="J284" i="26"/>
  <c r="B284" i="26"/>
  <c r="J283" i="26"/>
  <c r="B283" i="26"/>
  <c r="J282" i="26"/>
  <c r="B282" i="26"/>
  <c r="J281" i="26"/>
  <c r="B281" i="26"/>
  <c r="J280" i="26"/>
  <c r="B280" i="26"/>
  <c r="J279" i="26"/>
  <c r="B279" i="26"/>
  <c r="J278" i="26"/>
  <c r="B278" i="26"/>
  <c r="J277" i="26"/>
  <c r="B277" i="26"/>
  <c r="J276" i="26"/>
  <c r="B276" i="26"/>
  <c r="J275" i="26"/>
  <c r="B275" i="26"/>
  <c r="J274" i="26"/>
  <c r="J325" i="26" s="1"/>
  <c r="B274" i="26"/>
  <c r="J272" i="26"/>
  <c r="B272" i="26"/>
  <c r="J271" i="26"/>
  <c r="B271" i="26"/>
  <c r="J270" i="26"/>
  <c r="B270" i="26"/>
  <c r="J269" i="26"/>
  <c r="B269" i="26"/>
  <c r="J268" i="26"/>
  <c r="B268" i="26"/>
  <c r="J267" i="26"/>
  <c r="B267" i="26"/>
  <c r="J266" i="26"/>
  <c r="B266" i="26"/>
  <c r="J265" i="26"/>
  <c r="J273" i="26" s="1"/>
  <c r="B265" i="26"/>
  <c r="B273" i="26" s="1"/>
  <c r="J263" i="26"/>
  <c r="B263" i="26"/>
  <c r="J262" i="26"/>
  <c r="B262" i="26"/>
  <c r="J261" i="26"/>
  <c r="B261" i="26"/>
  <c r="J260" i="26"/>
  <c r="B260" i="26"/>
  <c r="J259" i="26"/>
  <c r="B259" i="26"/>
  <c r="J258" i="26"/>
  <c r="B258" i="26"/>
  <c r="J257" i="26"/>
  <c r="B257" i="26"/>
  <c r="J256" i="26"/>
  <c r="B256" i="26"/>
  <c r="J255" i="26"/>
  <c r="B255" i="26"/>
  <c r="J254" i="26"/>
  <c r="B254" i="26"/>
  <c r="J253" i="26"/>
  <c r="B253" i="26"/>
  <c r="J252" i="26"/>
  <c r="B252" i="26"/>
  <c r="J251" i="26"/>
  <c r="B251" i="26"/>
  <c r="J250" i="26"/>
  <c r="B250" i="26"/>
  <c r="J249" i="26"/>
  <c r="B249" i="26"/>
  <c r="J248" i="26"/>
  <c r="B248" i="26"/>
  <c r="J247" i="26"/>
  <c r="B247" i="26"/>
  <c r="J246" i="26"/>
  <c r="B246" i="26"/>
  <c r="J245" i="26"/>
  <c r="B245" i="26"/>
  <c r="J244" i="26"/>
  <c r="B244" i="26"/>
  <c r="J243" i="26"/>
  <c r="B243" i="26"/>
  <c r="J242" i="26"/>
  <c r="B242" i="26"/>
  <c r="J241" i="26"/>
  <c r="B241" i="26"/>
  <c r="J240" i="26"/>
  <c r="B240" i="26"/>
  <c r="J239" i="26"/>
  <c r="B239" i="26"/>
  <c r="J238" i="26"/>
  <c r="B238" i="26"/>
  <c r="J237" i="26"/>
  <c r="B237" i="26"/>
  <c r="J236" i="26"/>
  <c r="B236" i="26"/>
  <c r="J235" i="26"/>
  <c r="B235" i="26"/>
  <c r="J234" i="26"/>
  <c r="B234" i="26"/>
  <c r="J233" i="26"/>
  <c r="B233" i="26"/>
  <c r="J232" i="26"/>
  <c r="B232" i="26"/>
  <c r="J231" i="26"/>
  <c r="B231" i="26"/>
  <c r="J229" i="26"/>
  <c r="B229" i="26"/>
  <c r="J228" i="26"/>
  <c r="B228" i="26"/>
  <c r="J227" i="26"/>
  <c r="B227" i="26"/>
  <c r="J226" i="26"/>
  <c r="B226" i="26"/>
  <c r="J225" i="26"/>
  <c r="B225" i="26"/>
  <c r="J224" i="26"/>
  <c r="B224" i="26"/>
  <c r="J223" i="26"/>
  <c r="B223" i="26"/>
  <c r="J222" i="26"/>
  <c r="B222" i="26"/>
  <c r="J218" i="26"/>
  <c r="B218" i="26"/>
  <c r="J216" i="26"/>
  <c r="B216" i="26"/>
  <c r="J215" i="26"/>
  <c r="B215" i="26"/>
  <c r="J214" i="26"/>
  <c r="B214" i="26"/>
  <c r="J213" i="26"/>
  <c r="B213" i="26"/>
  <c r="J212" i="26"/>
  <c r="B212" i="26"/>
  <c r="J211" i="26"/>
  <c r="B211" i="26"/>
  <c r="J210" i="26"/>
  <c r="B210" i="26"/>
  <c r="J209" i="26"/>
  <c r="B209" i="26"/>
  <c r="J208" i="26"/>
  <c r="B208" i="26"/>
  <c r="J207" i="26"/>
  <c r="B207" i="26"/>
  <c r="J206" i="26"/>
  <c r="B206" i="26"/>
  <c r="J205" i="26"/>
  <c r="B205" i="26"/>
  <c r="J204" i="26"/>
  <c r="B204" i="26"/>
  <c r="J203" i="26"/>
  <c r="B203" i="26"/>
  <c r="J202" i="26"/>
  <c r="B202" i="26"/>
  <c r="J201" i="26"/>
  <c r="J217" i="26" s="1"/>
  <c r="B201" i="26"/>
  <c r="B217" i="26" s="1"/>
  <c r="J199" i="26"/>
  <c r="B199" i="26"/>
  <c r="J198" i="26"/>
  <c r="B198" i="26"/>
  <c r="J197" i="26"/>
  <c r="B197" i="26"/>
  <c r="J196" i="26"/>
  <c r="B196" i="26"/>
  <c r="J195" i="26"/>
  <c r="B195" i="26"/>
  <c r="J194" i="26"/>
  <c r="B194" i="26"/>
  <c r="J193" i="26"/>
  <c r="B193" i="26"/>
  <c r="J192" i="26"/>
  <c r="J200" i="26" s="1"/>
  <c r="B192" i="26"/>
  <c r="B200" i="26" s="1"/>
  <c r="J191" i="26"/>
  <c r="B191" i="26"/>
  <c r="J189" i="26"/>
  <c r="B189" i="26"/>
  <c r="J188" i="26"/>
  <c r="B188" i="26"/>
  <c r="J187" i="26"/>
  <c r="B187" i="26"/>
  <c r="J186" i="26"/>
  <c r="B186" i="26"/>
  <c r="J185" i="26"/>
  <c r="B185" i="26"/>
  <c r="J184" i="26"/>
  <c r="B184" i="26"/>
  <c r="J183" i="26"/>
  <c r="B183" i="26"/>
  <c r="J182" i="26"/>
  <c r="B182" i="26"/>
  <c r="J181" i="26"/>
  <c r="B181" i="26"/>
  <c r="J180" i="26"/>
  <c r="B180" i="26"/>
  <c r="J179" i="26"/>
  <c r="B179" i="26"/>
  <c r="J178" i="26"/>
  <c r="B178" i="26"/>
  <c r="J177" i="26"/>
  <c r="B177" i="26"/>
  <c r="J176" i="26"/>
  <c r="B176" i="26"/>
  <c r="J175" i="26"/>
  <c r="B175" i="26"/>
  <c r="J174" i="26"/>
  <c r="B174" i="26"/>
  <c r="J173" i="26"/>
  <c r="J190" i="26" s="1"/>
  <c r="B173" i="26"/>
  <c r="B190" i="26" s="1"/>
  <c r="J171" i="26"/>
  <c r="B171" i="26"/>
  <c r="J170" i="26"/>
  <c r="B170" i="26"/>
  <c r="J169" i="26"/>
  <c r="B169" i="26"/>
  <c r="J168" i="26"/>
  <c r="B168" i="26"/>
  <c r="J167" i="26"/>
  <c r="B167" i="26"/>
  <c r="J166" i="26"/>
  <c r="B166" i="26"/>
  <c r="J165" i="26"/>
  <c r="B165" i="26"/>
  <c r="J164" i="26"/>
  <c r="B164" i="26"/>
  <c r="J163" i="26"/>
  <c r="B163" i="26"/>
  <c r="J162" i="26"/>
  <c r="B162" i="26"/>
  <c r="J161" i="26"/>
  <c r="B161" i="26"/>
  <c r="J160" i="26"/>
  <c r="B160" i="26"/>
  <c r="J159" i="26"/>
  <c r="B159" i="26"/>
  <c r="J158" i="26"/>
  <c r="B158" i="26"/>
  <c r="J157" i="26"/>
  <c r="B157" i="26"/>
  <c r="J156" i="26"/>
  <c r="B156" i="26"/>
  <c r="J155" i="26"/>
  <c r="B155" i="26"/>
  <c r="J153" i="26"/>
  <c r="B153" i="26"/>
  <c r="J152" i="26"/>
  <c r="B152" i="26"/>
  <c r="J151" i="26"/>
  <c r="B151" i="26"/>
  <c r="J150" i="26"/>
  <c r="B150" i="26"/>
  <c r="J149" i="26"/>
  <c r="B149" i="26"/>
  <c r="J148" i="26"/>
  <c r="B148" i="26"/>
  <c r="J147" i="26"/>
  <c r="B147" i="26"/>
  <c r="J146" i="26"/>
  <c r="B146" i="26"/>
  <c r="J145" i="26"/>
  <c r="B145" i="26"/>
  <c r="J144" i="26"/>
  <c r="B144" i="26"/>
  <c r="J143" i="26"/>
  <c r="B143" i="26"/>
  <c r="J142" i="26"/>
  <c r="B142" i="26"/>
  <c r="J141" i="26"/>
  <c r="B141" i="26"/>
  <c r="J140" i="26"/>
  <c r="B140" i="26"/>
  <c r="J139" i="26"/>
  <c r="J154" i="26" s="1"/>
  <c r="B139" i="26"/>
  <c r="J138" i="26"/>
  <c r="B138" i="26"/>
  <c r="J136" i="26"/>
  <c r="B136" i="26"/>
  <c r="J135" i="26"/>
  <c r="B135" i="26"/>
  <c r="J134" i="26"/>
  <c r="B134" i="26"/>
  <c r="J133" i="26"/>
  <c r="B133" i="26"/>
  <c r="J132" i="26"/>
  <c r="B132" i="26"/>
  <c r="J131" i="26"/>
  <c r="B131" i="26"/>
  <c r="J130" i="26"/>
  <c r="B130" i="26"/>
  <c r="J129" i="26"/>
  <c r="B129" i="26"/>
  <c r="J128" i="26"/>
  <c r="B128" i="26"/>
  <c r="J127" i="26"/>
  <c r="B127" i="26"/>
  <c r="J126" i="26"/>
  <c r="B126" i="26"/>
  <c r="J125" i="26"/>
  <c r="B125" i="26"/>
  <c r="J124" i="26"/>
  <c r="B124" i="26"/>
  <c r="J123" i="26"/>
  <c r="B123" i="26"/>
  <c r="J122" i="26"/>
  <c r="B122" i="26"/>
  <c r="J121" i="26"/>
  <c r="B121" i="26"/>
  <c r="J120" i="26"/>
  <c r="B120" i="26"/>
  <c r="J119" i="26"/>
  <c r="B119" i="26"/>
  <c r="J118" i="26"/>
  <c r="J137" i="26" s="1"/>
  <c r="B118" i="26"/>
  <c r="J116" i="26"/>
  <c r="B116" i="26"/>
  <c r="J115" i="26"/>
  <c r="B115" i="26"/>
  <c r="J114" i="26"/>
  <c r="B114" i="26"/>
  <c r="J113" i="26"/>
  <c r="B113" i="26"/>
  <c r="J112" i="26"/>
  <c r="B112" i="26"/>
  <c r="J111" i="26"/>
  <c r="B111" i="26"/>
  <c r="J110" i="26"/>
  <c r="B110" i="26"/>
  <c r="J109" i="26"/>
  <c r="B109" i="26"/>
  <c r="J108" i="26"/>
  <c r="B108" i="26"/>
  <c r="J107" i="26"/>
  <c r="B107" i="26"/>
  <c r="J106" i="26"/>
  <c r="B106" i="26"/>
  <c r="J105" i="26"/>
  <c r="B105" i="26"/>
  <c r="J104" i="26"/>
  <c r="B104" i="26"/>
  <c r="J103" i="26"/>
  <c r="B103" i="26"/>
  <c r="J102" i="26"/>
  <c r="B102" i="26"/>
  <c r="J101" i="26"/>
  <c r="B101" i="26"/>
  <c r="J100" i="26"/>
  <c r="B100" i="26"/>
  <c r="J99" i="26"/>
  <c r="B99" i="26"/>
  <c r="J98" i="26"/>
  <c r="B98" i="26"/>
  <c r="J97" i="26"/>
  <c r="B97" i="26"/>
  <c r="J96" i="26"/>
  <c r="B96" i="26"/>
  <c r="J92" i="26"/>
  <c r="B92" i="26"/>
  <c r="J91" i="26"/>
  <c r="B91" i="26"/>
  <c r="J90" i="26"/>
  <c r="B90" i="26"/>
  <c r="J89" i="26"/>
  <c r="B89" i="26"/>
  <c r="J88" i="26"/>
  <c r="B88" i="26"/>
  <c r="J87" i="26"/>
  <c r="B87" i="26"/>
  <c r="J86" i="26"/>
  <c r="B86" i="26"/>
  <c r="J85" i="26"/>
  <c r="B85" i="26"/>
  <c r="J81" i="26"/>
  <c r="B81" i="26"/>
  <c r="J80" i="26"/>
  <c r="B80" i="26"/>
  <c r="J79" i="26"/>
  <c r="B79" i="26"/>
  <c r="J78" i="26"/>
  <c r="B78" i="26"/>
  <c r="J77" i="26"/>
  <c r="B77" i="26"/>
  <c r="J76" i="26"/>
  <c r="B76" i="26"/>
  <c r="J75" i="26"/>
  <c r="B75" i="26"/>
  <c r="J74" i="26"/>
  <c r="B74" i="26"/>
  <c r="J73" i="26"/>
  <c r="B73" i="26"/>
  <c r="J72" i="26"/>
  <c r="B72" i="26"/>
  <c r="J71" i="26"/>
  <c r="B71" i="26"/>
  <c r="J70" i="26"/>
  <c r="B70" i="26"/>
  <c r="J69" i="26"/>
  <c r="B69" i="26"/>
  <c r="J68" i="26"/>
  <c r="B68" i="26"/>
  <c r="J67" i="26"/>
  <c r="B67" i="26"/>
  <c r="J65" i="26"/>
  <c r="B65" i="26"/>
  <c r="J64" i="26"/>
  <c r="B64" i="26"/>
  <c r="J63" i="26"/>
  <c r="B63" i="26"/>
  <c r="J62" i="26"/>
  <c r="B62" i="26"/>
  <c r="J61" i="26"/>
  <c r="B61" i="26"/>
  <c r="J60" i="26"/>
  <c r="B60" i="26"/>
  <c r="J59" i="26"/>
  <c r="B59" i="26"/>
  <c r="J58" i="26"/>
  <c r="B58" i="26"/>
  <c r="J57" i="26"/>
  <c r="B57" i="26"/>
  <c r="J56" i="26"/>
  <c r="B56" i="26"/>
  <c r="J55" i="26"/>
  <c r="B55" i="26"/>
  <c r="J54" i="26"/>
  <c r="B54" i="26"/>
  <c r="J53" i="26"/>
  <c r="B53" i="26"/>
  <c r="J52" i="26"/>
  <c r="B52" i="26"/>
  <c r="J51" i="26"/>
  <c r="B51" i="26"/>
  <c r="J50" i="26"/>
  <c r="B50" i="26"/>
  <c r="J49" i="26"/>
  <c r="B49" i="26"/>
  <c r="J48" i="26"/>
  <c r="B48" i="26"/>
  <c r="J47" i="26"/>
  <c r="B47" i="26"/>
  <c r="J46" i="26"/>
  <c r="B46" i="26"/>
  <c r="J45" i="26"/>
  <c r="B45" i="26"/>
  <c r="J44" i="26"/>
  <c r="B44" i="26"/>
  <c r="J43" i="26"/>
  <c r="B43" i="26"/>
  <c r="J42" i="26"/>
  <c r="J66" i="26" s="1"/>
  <c r="B42" i="26"/>
  <c r="B66" i="26" s="1"/>
  <c r="J41" i="26"/>
  <c r="B41" i="26"/>
  <c r="J40" i="26"/>
  <c r="B40" i="26"/>
  <c r="J39" i="26"/>
  <c r="B39" i="26"/>
  <c r="J38" i="26"/>
  <c r="B38" i="26"/>
  <c r="J37" i="26"/>
  <c r="B37" i="26"/>
  <c r="J36" i="26"/>
  <c r="B36" i="26"/>
  <c r="J32" i="26"/>
  <c r="B32" i="26"/>
  <c r="J31" i="26"/>
  <c r="B31" i="26"/>
  <c r="J30" i="26"/>
  <c r="B30" i="26"/>
  <c r="J29" i="26"/>
  <c r="B29" i="26"/>
  <c r="J28" i="26"/>
  <c r="B28" i="26"/>
  <c r="J27" i="26"/>
  <c r="B27" i="26"/>
  <c r="J26" i="26"/>
  <c r="B26" i="26"/>
  <c r="J25" i="26"/>
  <c r="B25" i="26"/>
  <c r="P24" i="26"/>
  <c r="O24" i="26"/>
  <c r="M24" i="26"/>
  <c r="L24" i="26"/>
  <c r="K24" i="26"/>
  <c r="J24" i="26"/>
  <c r="I24" i="26"/>
  <c r="G24" i="26"/>
  <c r="E24" i="26"/>
  <c r="C24" i="26"/>
  <c r="B24" i="26"/>
  <c r="J23" i="26"/>
  <c r="B23" i="26"/>
  <c r="P22" i="26"/>
  <c r="O22" i="26"/>
  <c r="M22" i="26"/>
  <c r="L22" i="26"/>
  <c r="K22" i="26"/>
  <c r="J22" i="26"/>
  <c r="I22" i="26"/>
  <c r="G22" i="26"/>
  <c r="E22" i="26"/>
  <c r="C22" i="26"/>
  <c r="B22" i="26"/>
  <c r="J21" i="26"/>
  <c r="B21" i="26"/>
  <c r="P20" i="26"/>
  <c r="O20" i="26"/>
  <c r="M20" i="26"/>
  <c r="L20" i="26"/>
  <c r="K20" i="26"/>
  <c r="J20" i="26"/>
  <c r="I20" i="26"/>
  <c r="G20" i="26"/>
  <c r="E20" i="26"/>
  <c r="C20" i="26"/>
  <c r="B20" i="26"/>
  <c r="J19" i="26"/>
  <c r="B19" i="26"/>
  <c r="J18" i="26"/>
  <c r="B18" i="26"/>
  <c r="J17" i="26"/>
  <c r="B17" i="26"/>
  <c r="J16" i="26"/>
  <c r="B16" i="26"/>
  <c r="O15" i="26"/>
  <c r="M15" i="26"/>
  <c r="K15" i="26"/>
  <c r="J15" i="26"/>
  <c r="I15" i="26"/>
  <c r="G15" i="26"/>
  <c r="E15" i="26"/>
  <c r="C15" i="26"/>
  <c r="B15" i="26"/>
  <c r="J14" i="26"/>
  <c r="B14" i="26"/>
  <c r="J13" i="26"/>
  <c r="B13" i="26"/>
  <c r="J12" i="26"/>
  <c r="B12" i="26"/>
  <c r="J11" i="26"/>
  <c r="B11" i="26"/>
  <c r="J10" i="26"/>
  <c r="B10" i="26"/>
  <c r="B33" i="26" s="1"/>
  <c r="C70" i="25"/>
  <c r="M69" i="25"/>
  <c r="M70" i="25" s="1"/>
  <c r="K69" i="25"/>
  <c r="K70" i="25" s="1"/>
  <c r="C69" i="25"/>
  <c r="G63" i="25"/>
  <c r="G64" i="25" s="1"/>
  <c r="E63" i="25"/>
  <c r="E64" i="25" s="1"/>
  <c r="C63" i="25"/>
  <c r="C64" i="25" s="1"/>
  <c r="U59" i="25"/>
  <c r="M44" i="25"/>
  <c r="K44" i="25"/>
  <c r="C44" i="25"/>
  <c r="M43" i="25"/>
  <c r="K43" i="25"/>
  <c r="C43" i="25"/>
  <c r="M42" i="25"/>
  <c r="K42" i="25"/>
  <c r="C42" i="25"/>
  <c r="M41" i="25"/>
  <c r="K41" i="25"/>
  <c r="C41" i="25"/>
  <c r="M40" i="25"/>
  <c r="K40" i="25"/>
  <c r="C40" i="25"/>
  <c r="M39" i="25"/>
  <c r="K39" i="25"/>
  <c r="C39" i="25"/>
  <c r="M38" i="25"/>
  <c r="K38" i="25"/>
  <c r="C38" i="25"/>
  <c r="C45" i="25" s="1"/>
  <c r="M34" i="25"/>
  <c r="K34" i="25"/>
  <c r="C34" i="25"/>
  <c r="M33" i="25"/>
  <c r="K33" i="25"/>
  <c r="C33" i="25"/>
  <c r="M32" i="25"/>
  <c r="K32" i="25"/>
  <c r="C32" i="25"/>
  <c r="U31" i="25"/>
  <c r="M30" i="25"/>
  <c r="K30" i="25"/>
  <c r="C30" i="25"/>
  <c r="U29" i="25"/>
  <c r="M28" i="25"/>
  <c r="K28" i="25"/>
  <c r="C28" i="25"/>
  <c r="M27" i="25"/>
  <c r="K27" i="25"/>
  <c r="C27" i="25"/>
  <c r="M26" i="25"/>
  <c r="K26" i="25"/>
  <c r="C26" i="25"/>
  <c r="M25" i="25"/>
  <c r="K25" i="25"/>
  <c r="C25" i="25"/>
  <c r="M21" i="25"/>
  <c r="K21" i="25"/>
  <c r="C21" i="25"/>
  <c r="M20" i="25"/>
  <c r="K20" i="25"/>
  <c r="K58" i="25" s="1"/>
  <c r="C20" i="25"/>
  <c r="C58" i="25" s="1"/>
  <c r="M19" i="25"/>
  <c r="M57" i="25" s="1"/>
  <c r="K19" i="25"/>
  <c r="C19" i="25"/>
  <c r="C57" i="25" s="1"/>
  <c r="M18" i="25"/>
  <c r="M56" i="25" s="1"/>
  <c r="K18" i="25"/>
  <c r="K56" i="25" s="1"/>
  <c r="C18" i="25"/>
  <c r="C56" i="25" s="1"/>
  <c r="M17" i="25"/>
  <c r="M55" i="25" s="1"/>
  <c r="K17" i="25"/>
  <c r="K55" i="25" s="1"/>
  <c r="C17" i="25"/>
  <c r="M16" i="25"/>
  <c r="M54" i="25" s="1"/>
  <c r="K16" i="25"/>
  <c r="K54" i="25" s="1"/>
  <c r="C16" i="25"/>
  <c r="C54" i="25" s="1"/>
  <c r="M15" i="25"/>
  <c r="M53" i="25" s="1"/>
  <c r="K15" i="25"/>
  <c r="C15" i="25"/>
  <c r="C53" i="25" s="1"/>
  <c r="M14" i="25"/>
  <c r="M52" i="25" s="1"/>
  <c r="K14" i="25"/>
  <c r="K52" i="25" s="1"/>
  <c r="C14" i="25"/>
  <c r="C52" i="25" s="1"/>
  <c r="M13" i="25"/>
  <c r="K13" i="25"/>
  <c r="K51" i="25" s="1"/>
  <c r="C13" i="25"/>
  <c r="M12" i="25"/>
  <c r="M50" i="25" s="1"/>
  <c r="K12" i="25"/>
  <c r="C12" i="25"/>
  <c r="C50" i="25" s="1"/>
  <c r="M11" i="25"/>
  <c r="M49" i="25" s="1"/>
  <c r="K11" i="25"/>
  <c r="K49" i="25" s="1"/>
  <c r="C11" i="25"/>
  <c r="C49" i="25" s="1"/>
  <c r="M10" i="25"/>
  <c r="M48" i="25" s="1"/>
  <c r="K10" i="25"/>
  <c r="K48" i="25" s="1"/>
  <c r="C10" i="25"/>
  <c r="J27" i="24"/>
  <c r="J30" i="24" s="1"/>
  <c r="B27" i="24"/>
  <c r="B30" i="24" s="1"/>
  <c r="J21" i="24"/>
  <c r="B21" i="24"/>
  <c r="J52" i="23"/>
  <c r="B52" i="23"/>
  <c r="Q39" i="23"/>
  <c r="J28" i="23"/>
  <c r="J39" i="23" s="1"/>
  <c r="B28" i="23"/>
  <c r="B39" i="23" s="1"/>
  <c r="J22" i="23"/>
  <c r="B22" i="23"/>
  <c r="J464" i="22"/>
  <c r="J461" i="22"/>
  <c r="B461" i="22"/>
  <c r="B464" i="22" s="1"/>
  <c r="J444" i="22"/>
  <c r="B444" i="22"/>
  <c r="J440" i="22"/>
  <c r="B440" i="22"/>
  <c r="J436" i="22"/>
  <c r="J449" i="22" s="1"/>
  <c r="B436" i="22"/>
  <c r="O420" i="22"/>
  <c r="M420" i="22"/>
  <c r="J417" i="22"/>
  <c r="B417" i="22"/>
  <c r="J398" i="22"/>
  <c r="B398" i="22"/>
  <c r="J388" i="22"/>
  <c r="B388" i="22"/>
  <c r="J351" i="22"/>
  <c r="B351" i="22"/>
  <c r="J335" i="22"/>
  <c r="B335" i="22"/>
  <c r="J324" i="22"/>
  <c r="B324" i="22"/>
  <c r="J272" i="22"/>
  <c r="B272" i="22"/>
  <c r="J263" i="22"/>
  <c r="B263" i="22"/>
  <c r="R234" i="22"/>
  <c r="J228" i="22"/>
  <c r="B228" i="22"/>
  <c r="J215" i="22"/>
  <c r="B215" i="22"/>
  <c r="J198" i="22"/>
  <c r="B198" i="22"/>
  <c r="J188" i="22"/>
  <c r="B188" i="22"/>
  <c r="J170" i="22"/>
  <c r="B170" i="22"/>
  <c r="J152" i="22"/>
  <c r="B152" i="22"/>
  <c r="J135" i="22"/>
  <c r="B135" i="22"/>
  <c r="J115" i="22"/>
  <c r="B115" i="22"/>
  <c r="J91" i="22"/>
  <c r="B91" i="22"/>
  <c r="J64" i="22"/>
  <c r="J80" i="22" s="1"/>
  <c r="B64" i="22"/>
  <c r="B80" i="22" s="1"/>
  <c r="J33" i="22"/>
  <c r="B33" i="22"/>
  <c r="H34" i="21"/>
  <c r="F34" i="21"/>
  <c r="D34" i="21"/>
  <c r="D37" i="21" s="1"/>
  <c r="B34" i="21"/>
  <c r="B37" i="21" s="1"/>
  <c r="J33" i="21"/>
  <c r="L33" i="21" s="1"/>
  <c r="J32" i="21"/>
  <c r="L32" i="21" s="1"/>
  <c r="J31" i="21"/>
  <c r="L31" i="21" s="1"/>
  <c r="J30" i="21"/>
  <c r="L30" i="21" s="1"/>
  <c r="J29" i="21"/>
  <c r="L29" i="21" s="1"/>
  <c r="J28" i="21"/>
  <c r="L28" i="21" s="1"/>
  <c r="H25" i="21"/>
  <c r="F25" i="21"/>
  <c r="F37" i="21" s="1"/>
  <c r="D25" i="21"/>
  <c r="B25" i="21"/>
  <c r="J24" i="21"/>
  <c r="L24" i="21" s="1"/>
  <c r="J23" i="21"/>
  <c r="L23" i="21" s="1"/>
  <c r="J22" i="21"/>
  <c r="L22" i="21" s="1"/>
  <c r="J21" i="21"/>
  <c r="L21" i="21" s="1"/>
  <c r="J20" i="21"/>
  <c r="L20" i="21" s="1"/>
  <c r="J19" i="21"/>
  <c r="L19" i="21" s="1"/>
  <c r="J18" i="21"/>
  <c r="L18" i="21" s="1"/>
  <c r="J17" i="21"/>
  <c r="L17" i="21" s="1"/>
  <c r="J16" i="21"/>
  <c r="L16" i="21" s="1"/>
  <c r="J15" i="21"/>
  <c r="L15" i="21" s="1"/>
  <c r="J14" i="21"/>
  <c r="J25" i="21" s="1"/>
  <c r="F12" i="21"/>
  <c r="D12" i="21"/>
  <c r="B12" i="21"/>
  <c r="J11" i="21"/>
  <c r="J12" i="21" s="1"/>
  <c r="H11" i="21"/>
  <c r="H12" i="21" s="1"/>
  <c r="H17" i="20"/>
  <c r="F17" i="20"/>
  <c r="D17" i="20"/>
  <c r="B17" i="20"/>
  <c r="H14" i="20"/>
  <c r="F14" i="20"/>
  <c r="D14" i="20"/>
  <c r="B14" i="20"/>
  <c r="J13" i="20"/>
  <c r="L13" i="20" s="1"/>
  <c r="J12" i="20"/>
  <c r="L12" i="20" s="1"/>
  <c r="J11" i="20"/>
  <c r="J14" i="20" s="1"/>
  <c r="H27" i="19"/>
  <c r="F27" i="19"/>
  <c r="F30" i="19" s="1"/>
  <c r="D27" i="19"/>
  <c r="D30" i="19" s="1"/>
  <c r="B27" i="19"/>
  <c r="B30" i="19" s="1"/>
  <c r="J26" i="19"/>
  <c r="L26" i="19" s="1"/>
  <c r="L25" i="19"/>
  <c r="J25" i="19"/>
  <c r="J24" i="19"/>
  <c r="L24" i="19" s="1"/>
  <c r="L23" i="19"/>
  <c r="J23" i="19"/>
  <c r="J22" i="19"/>
  <c r="L22" i="19" s="1"/>
  <c r="L21" i="19"/>
  <c r="L27" i="19" s="1"/>
  <c r="J21" i="19"/>
  <c r="J27" i="19" s="1"/>
  <c r="H17" i="19"/>
  <c r="F17" i="19"/>
  <c r="D17" i="19"/>
  <c r="B17" i="19"/>
  <c r="H16" i="19"/>
  <c r="J16" i="19" s="1"/>
  <c r="H13" i="19"/>
  <c r="H30" i="19" s="1"/>
  <c r="F13" i="19"/>
  <c r="D13" i="19"/>
  <c r="B13" i="19"/>
  <c r="J12" i="19"/>
  <c r="L12" i="19" s="1"/>
  <c r="J11" i="19"/>
  <c r="L11" i="19" s="1"/>
  <c r="L13" i="19" s="1"/>
  <c r="B38" i="18"/>
  <c r="B41" i="18" s="1"/>
  <c r="B29" i="18"/>
  <c r="B32" i="18" s="1"/>
  <c r="B23" i="18"/>
  <c r="J18" i="18"/>
  <c r="L18" i="18" s="1"/>
  <c r="L17" i="18"/>
  <c r="J17" i="18"/>
  <c r="B29" i="17"/>
  <c r="B28" i="17"/>
  <c r="B27" i="17"/>
  <c r="B30" i="17" s="1"/>
  <c r="B33" i="17" s="1"/>
  <c r="B23" i="17"/>
  <c r="B22" i="17"/>
  <c r="B21" i="17"/>
  <c r="B20" i="17"/>
  <c r="H19" i="17"/>
  <c r="F19" i="17"/>
  <c r="D19" i="17"/>
  <c r="J19" i="17" s="1"/>
  <c r="L19" i="17" s="1"/>
  <c r="P19" i="17" s="1"/>
  <c r="B19" i="17"/>
  <c r="H18" i="17"/>
  <c r="F18" i="17"/>
  <c r="D18" i="17"/>
  <c r="J18" i="17" s="1"/>
  <c r="L18" i="17" s="1"/>
  <c r="P18" i="17" s="1"/>
  <c r="B18" i="17"/>
  <c r="B17" i="17"/>
  <c r="B16" i="17"/>
  <c r="B15" i="17"/>
  <c r="B14" i="17"/>
  <c r="B13" i="17"/>
  <c r="B12" i="17"/>
  <c r="B24" i="17" s="1"/>
  <c r="B85" i="16"/>
  <c r="B79" i="16"/>
  <c r="J78" i="16"/>
  <c r="L78" i="16" s="1"/>
  <c r="B71" i="16"/>
  <c r="B88" i="16" s="1"/>
  <c r="B53" i="16"/>
  <c r="B56" i="16" s="1"/>
  <c r="B43" i="16"/>
  <c r="B39" i="16"/>
  <c r="L28" i="16"/>
  <c r="B23" i="16"/>
  <c r="L55" i="15"/>
  <c r="J55" i="15"/>
  <c r="L54" i="15"/>
  <c r="J54" i="15"/>
  <c r="B53" i="15"/>
  <c r="B52" i="15"/>
  <c r="B51" i="15"/>
  <c r="B50" i="15"/>
  <c r="B49" i="15"/>
  <c r="B48" i="15"/>
  <c r="B47" i="15"/>
  <c r="B56" i="15" s="1"/>
  <c r="N44" i="15"/>
  <c r="B44" i="15"/>
  <c r="B43" i="15"/>
  <c r="B39" i="15"/>
  <c r="B38" i="15"/>
  <c r="B37" i="15"/>
  <c r="B36" i="15"/>
  <c r="B35" i="15"/>
  <c r="B34" i="15"/>
  <c r="B33" i="15"/>
  <c r="B32" i="15"/>
  <c r="B31" i="15"/>
  <c r="B30" i="15"/>
  <c r="H29" i="15"/>
  <c r="F29" i="15"/>
  <c r="D29" i="15"/>
  <c r="B29" i="15"/>
  <c r="L29" i="15" s="1"/>
  <c r="B28" i="15"/>
  <c r="B27" i="15"/>
  <c r="B40" i="15" s="1"/>
  <c r="B23" i="15"/>
  <c r="B22" i="15"/>
  <c r="G21" i="15"/>
  <c r="E21" i="15"/>
  <c r="B21" i="15"/>
  <c r="B20" i="15"/>
  <c r="B19" i="15"/>
  <c r="B18" i="15"/>
  <c r="B17" i="15"/>
  <c r="B16" i="15"/>
  <c r="B15" i="15"/>
  <c r="B14" i="15"/>
  <c r="B13" i="15"/>
  <c r="B12" i="15"/>
  <c r="B11" i="15"/>
  <c r="B24" i="15" s="1"/>
  <c r="B190" i="14"/>
  <c r="B193" i="14" s="1"/>
  <c r="B178" i="14"/>
  <c r="B168" i="14"/>
  <c r="B159" i="14"/>
  <c r="B154" i="14"/>
  <c r="B145" i="14"/>
  <c r="B131" i="14"/>
  <c r="B111" i="14"/>
  <c r="B114" i="14" s="1"/>
  <c r="B94" i="14"/>
  <c r="B79" i="14"/>
  <c r="B65" i="14"/>
  <c r="B58" i="14"/>
  <c r="B47" i="14"/>
  <c r="B27" i="14"/>
  <c r="B110" i="13"/>
  <c r="B109" i="13"/>
  <c r="G108" i="13"/>
  <c r="E108" i="13"/>
  <c r="B108" i="13"/>
  <c r="B107" i="13"/>
  <c r="B106" i="13"/>
  <c r="B105" i="13"/>
  <c r="B104" i="13"/>
  <c r="B103" i="13"/>
  <c r="B102" i="13"/>
  <c r="B101" i="13"/>
  <c r="B100" i="13"/>
  <c r="B99" i="13"/>
  <c r="B98" i="13"/>
  <c r="B97" i="13"/>
  <c r="B111" i="13" s="1"/>
  <c r="K94" i="13"/>
  <c r="I94" i="13"/>
  <c r="B93" i="13"/>
  <c r="B92" i="13"/>
  <c r="B91" i="13"/>
  <c r="B90" i="13"/>
  <c r="B89" i="13"/>
  <c r="B88" i="13"/>
  <c r="B87" i="13"/>
  <c r="B86" i="13"/>
  <c r="B85" i="13"/>
  <c r="B84" i="13"/>
  <c r="B83" i="13"/>
  <c r="B82" i="13"/>
  <c r="B94" i="13" s="1"/>
  <c r="B78" i="13"/>
  <c r="B77" i="13"/>
  <c r="B76" i="13"/>
  <c r="B75" i="13"/>
  <c r="B74" i="13"/>
  <c r="B73" i="13"/>
  <c r="B72" i="13"/>
  <c r="B71" i="13"/>
  <c r="B70" i="13"/>
  <c r="B69" i="13"/>
  <c r="B68" i="13"/>
  <c r="B79" i="13" s="1"/>
  <c r="B64" i="13"/>
  <c r="B63" i="13"/>
  <c r="B62" i="13"/>
  <c r="B61" i="13"/>
  <c r="B65" i="13" s="1"/>
  <c r="B57" i="13"/>
  <c r="B56" i="13"/>
  <c r="B55" i="13"/>
  <c r="B54" i="13"/>
  <c r="B53" i="13"/>
  <c r="B52" i="13"/>
  <c r="B51" i="13"/>
  <c r="B50" i="13"/>
  <c r="B58" i="13" s="1"/>
  <c r="B46" i="13"/>
  <c r="B45" i="13"/>
  <c r="B44" i="13"/>
  <c r="B43" i="13"/>
  <c r="B42" i="13"/>
  <c r="B41" i="13"/>
  <c r="B40" i="13"/>
  <c r="B39" i="13"/>
  <c r="B38" i="13"/>
  <c r="B37" i="13"/>
  <c r="B36" i="13"/>
  <c r="B35" i="13"/>
  <c r="B34" i="13"/>
  <c r="B33" i="13"/>
  <c r="B32" i="13"/>
  <c r="B31" i="13"/>
  <c r="B30" i="13"/>
  <c r="B47" i="13" s="1"/>
  <c r="B26" i="13"/>
  <c r="B25" i="13"/>
  <c r="B24" i="13"/>
  <c r="B23" i="13"/>
  <c r="B22" i="13"/>
  <c r="B21" i="13"/>
  <c r="B20" i="13"/>
  <c r="B19" i="13"/>
  <c r="B18" i="13"/>
  <c r="B17" i="13"/>
  <c r="B16" i="13"/>
  <c r="B15" i="13"/>
  <c r="B14" i="13"/>
  <c r="B13" i="13"/>
  <c r="B12" i="13"/>
  <c r="B11" i="13"/>
  <c r="B27" i="13" s="1"/>
  <c r="G187" i="12"/>
  <c r="E187" i="12"/>
  <c r="C187" i="12"/>
  <c r="B187" i="12"/>
  <c r="B186" i="12"/>
  <c r="B185" i="12"/>
  <c r="B184" i="12"/>
  <c r="B183" i="12"/>
  <c r="B182" i="12"/>
  <c r="B181" i="12"/>
  <c r="B180" i="12"/>
  <c r="B179" i="12"/>
  <c r="B188" i="12" s="1"/>
  <c r="B175" i="12"/>
  <c r="B174" i="12"/>
  <c r="B173" i="12"/>
  <c r="B172" i="12"/>
  <c r="B171" i="12"/>
  <c r="B170" i="12"/>
  <c r="B176" i="12" s="1"/>
  <c r="B169" i="12"/>
  <c r="B165" i="12"/>
  <c r="B164" i="12"/>
  <c r="B163" i="12"/>
  <c r="B162" i="12"/>
  <c r="B161" i="12"/>
  <c r="B160" i="12"/>
  <c r="B166" i="12" s="1"/>
  <c r="B156" i="12"/>
  <c r="B155" i="12"/>
  <c r="B157" i="12" s="1"/>
  <c r="B151" i="12"/>
  <c r="B149" i="12"/>
  <c r="B148" i="12"/>
  <c r="B147" i="12"/>
  <c r="B146" i="12"/>
  <c r="B152" i="12" s="1"/>
  <c r="B142" i="12"/>
  <c r="B141" i="12"/>
  <c r="B140" i="12"/>
  <c r="B139" i="12"/>
  <c r="B138" i="12"/>
  <c r="B137" i="12"/>
  <c r="B136" i="12"/>
  <c r="B135" i="12"/>
  <c r="B134" i="12"/>
  <c r="B133" i="12"/>
  <c r="B132" i="12"/>
  <c r="B143" i="12" s="1"/>
  <c r="B128" i="12"/>
  <c r="G127" i="12"/>
  <c r="E127" i="12"/>
  <c r="B127" i="12"/>
  <c r="G126" i="12"/>
  <c r="E126" i="12"/>
  <c r="C126" i="12"/>
  <c r="B126" i="12"/>
  <c r="B125" i="12"/>
  <c r="B124" i="12"/>
  <c r="B123" i="12"/>
  <c r="B122" i="12"/>
  <c r="B121" i="12"/>
  <c r="B120" i="12"/>
  <c r="B119" i="12"/>
  <c r="B118" i="12"/>
  <c r="B117" i="12"/>
  <c r="B129" i="12" s="1"/>
  <c r="B109" i="12"/>
  <c r="B108" i="12"/>
  <c r="B107" i="12"/>
  <c r="B106" i="12"/>
  <c r="B105" i="12"/>
  <c r="B104" i="12"/>
  <c r="B103" i="12"/>
  <c r="B102" i="12"/>
  <c r="B101" i="12"/>
  <c r="B100" i="12"/>
  <c r="B99" i="12"/>
  <c r="B98" i="12"/>
  <c r="B97" i="12"/>
  <c r="B96" i="12"/>
  <c r="B110" i="12" s="1"/>
  <c r="B92" i="12"/>
  <c r="B91" i="12"/>
  <c r="B90" i="12"/>
  <c r="B89" i="12"/>
  <c r="B88" i="12"/>
  <c r="B87" i="12"/>
  <c r="B86" i="12"/>
  <c r="B85" i="12"/>
  <c r="B84" i="12"/>
  <c r="B83" i="12"/>
  <c r="B82" i="12"/>
  <c r="B81" i="12"/>
  <c r="B77" i="12"/>
  <c r="B76" i="12"/>
  <c r="B75" i="12"/>
  <c r="B74" i="12"/>
  <c r="B73" i="12"/>
  <c r="B72" i="12"/>
  <c r="B71" i="12"/>
  <c r="B70" i="12"/>
  <c r="B69" i="12"/>
  <c r="B68" i="12"/>
  <c r="B67" i="12"/>
  <c r="B78" i="12" s="1"/>
  <c r="B63" i="12"/>
  <c r="B62" i="12"/>
  <c r="B61" i="12"/>
  <c r="B60" i="12"/>
  <c r="B64" i="12" s="1"/>
  <c r="B56" i="12"/>
  <c r="B55" i="12"/>
  <c r="B54" i="12"/>
  <c r="B53" i="12"/>
  <c r="B52" i="12"/>
  <c r="B51" i="12"/>
  <c r="B50" i="12"/>
  <c r="B49" i="12"/>
  <c r="B57" i="12" s="1"/>
  <c r="B45" i="12"/>
  <c r="B44" i="12"/>
  <c r="B43" i="12"/>
  <c r="B42" i="12"/>
  <c r="B41" i="12"/>
  <c r="B40" i="12"/>
  <c r="B39" i="12"/>
  <c r="B38" i="12"/>
  <c r="B37" i="12"/>
  <c r="B36" i="12"/>
  <c r="B35" i="12"/>
  <c r="B34" i="12"/>
  <c r="B33" i="12"/>
  <c r="B32" i="12"/>
  <c r="B31" i="12"/>
  <c r="B30" i="12"/>
  <c r="B29" i="12"/>
  <c r="B46" i="12" s="1"/>
  <c r="B25" i="12"/>
  <c r="B24" i="12"/>
  <c r="B23" i="12"/>
  <c r="B22" i="12"/>
  <c r="H21" i="12"/>
  <c r="F21" i="12"/>
  <c r="B21" i="12"/>
  <c r="B20" i="12"/>
  <c r="B19" i="12"/>
  <c r="B18" i="12"/>
  <c r="B17" i="12"/>
  <c r="B16" i="12"/>
  <c r="B15" i="12"/>
  <c r="B14" i="12"/>
  <c r="B13" i="12"/>
  <c r="B12" i="12"/>
  <c r="B11" i="12"/>
  <c r="B10" i="12"/>
  <c r="B26" i="12" s="1"/>
  <c r="B110" i="11"/>
  <c r="C109" i="11"/>
  <c r="B109" i="11"/>
  <c r="G108" i="11"/>
  <c r="E108" i="11"/>
  <c r="C108" i="11"/>
  <c r="B108" i="11"/>
  <c r="B107" i="11"/>
  <c r="B106" i="11"/>
  <c r="B105" i="11"/>
  <c r="B104" i="11"/>
  <c r="B103" i="11"/>
  <c r="B102" i="11"/>
  <c r="B101" i="11"/>
  <c r="B100" i="11"/>
  <c r="B99" i="11"/>
  <c r="B98" i="11"/>
  <c r="B97" i="11"/>
  <c r="B111" i="11" s="1"/>
  <c r="B93" i="11"/>
  <c r="B92" i="11"/>
  <c r="B91" i="11"/>
  <c r="B90" i="11"/>
  <c r="B89" i="11"/>
  <c r="B88" i="11"/>
  <c r="B87" i="11"/>
  <c r="B86" i="11"/>
  <c r="B85" i="11"/>
  <c r="B84" i="11"/>
  <c r="B83" i="11"/>
  <c r="B82" i="11"/>
  <c r="B94" i="11" s="1"/>
  <c r="B78" i="11"/>
  <c r="B77" i="11"/>
  <c r="B76" i="11"/>
  <c r="B75" i="11"/>
  <c r="B74" i="11"/>
  <c r="B73" i="11"/>
  <c r="B72" i="11"/>
  <c r="B71" i="11"/>
  <c r="B70" i="11"/>
  <c r="B69" i="11"/>
  <c r="B68" i="11"/>
  <c r="B79" i="11" s="1"/>
  <c r="B64" i="11"/>
  <c r="B63" i="11"/>
  <c r="B62" i="11"/>
  <c r="B61" i="11"/>
  <c r="B65" i="11" s="1"/>
  <c r="B57" i="11"/>
  <c r="B56" i="11"/>
  <c r="B55" i="11"/>
  <c r="B54" i="11"/>
  <c r="B53" i="11"/>
  <c r="B52" i="11"/>
  <c r="B51" i="11"/>
  <c r="B50" i="11"/>
  <c r="B58" i="11" s="1"/>
  <c r="B46" i="11"/>
  <c r="B45" i="11"/>
  <c r="B44" i="11"/>
  <c r="B43" i="11"/>
  <c r="B42" i="11"/>
  <c r="B41" i="11"/>
  <c r="B40" i="11"/>
  <c r="B39" i="11"/>
  <c r="B38" i="11"/>
  <c r="B37" i="11"/>
  <c r="B36" i="11"/>
  <c r="B35" i="11"/>
  <c r="B34" i="11"/>
  <c r="B33" i="11"/>
  <c r="B47" i="11" s="1"/>
  <c r="C32" i="11"/>
  <c r="B32" i="11"/>
  <c r="B31" i="11"/>
  <c r="B30" i="11"/>
  <c r="B26" i="11"/>
  <c r="B25" i="11"/>
  <c r="B24" i="11"/>
  <c r="B23" i="11"/>
  <c r="G22" i="11"/>
  <c r="E22" i="11"/>
  <c r="B22" i="11"/>
  <c r="G21" i="11"/>
  <c r="E21" i="11"/>
  <c r="C21" i="11"/>
  <c r="B21" i="11"/>
  <c r="B20" i="11"/>
  <c r="B19" i="11"/>
  <c r="B18" i="11"/>
  <c r="B17" i="11"/>
  <c r="B16" i="11"/>
  <c r="B15" i="11"/>
  <c r="B14" i="11"/>
  <c r="B13" i="11"/>
  <c r="B12" i="11"/>
  <c r="B11" i="11"/>
  <c r="B27" i="11" s="1"/>
  <c r="S40" i="10"/>
  <c r="S28" i="10"/>
  <c r="Q28" i="10"/>
  <c r="O28" i="10"/>
  <c r="M28" i="10"/>
  <c r="K28" i="10"/>
  <c r="I28" i="10"/>
  <c r="G28" i="10"/>
  <c r="E28" i="10"/>
  <c r="U27" i="10"/>
  <c r="S22" i="10"/>
  <c r="Q22" i="10"/>
  <c r="O22" i="10"/>
  <c r="K22" i="10"/>
  <c r="I22" i="10"/>
  <c r="E21" i="10"/>
  <c r="E22" i="10" s="1"/>
  <c r="M16" i="10"/>
  <c r="M22" i="10" s="1"/>
  <c r="O13" i="10"/>
  <c r="C1465" i="9"/>
  <c r="I12" i="8"/>
  <c r="I15" i="8" s="1"/>
  <c r="G12" i="8"/>
  <c r="G15" i="8" s="1"/>
  <c r="E12" i="8"/>
  <c r="E15" i="8" s="1"/>
  <c r="AG10" i="8" s="1"/>
  <c r="K8" i="8"/>
  <c r="K12" i="8" s="1"/>
  <c r="K15" i="8" s="1"/>
  <c r="AB108" i="7"/>
  <c r="Z108" i="7"/>
  <c r="X108" i="7"/>
  <c r="V108" i="7"/>
  <c r="T108" i="7"/>
  <c r="P108" i="7"/>
  <c r="N108" i="7"/>
  <c r="L108" i="7"/>
  <c r="J108" i="7"/>
  <c r="H108" i="7"/>
  <c r="F108" i="7"/>
  <c r="D108" i="7"/>
  <c r="O104" i="7"/>
  <c r="M104" i="7"/>
  <c r="K104" i="7"/>
  <c r="I104" i="7"/>
  <c r="G104" i="7"/>
  <c r="E104" i="7"/>
  <c r="C104" i="7"/>
  <c r="Y103" i="7"/>
  <c r="W103" i="7"/>
  <c r="U103" i="7"/>
  <c r="S103" i="7"/>
  <c r="AA103" i="7" s="1"/>
  <c r="Q103" i="7"/>
  <c r="Y102" i="7"/>
  <c r="W102" i="7"/>
  <c r="U102" i="7"/>
  <c r="S102" i="7"/>
  <c r="AA102" i="7" s="1"/>
  <c r="AC102" i="7" s="1"/>
  <c r="Q102" i="7"/>
  <c r="Y101" i="7"/>
  <c r="W101" i="7"/>
  <c r="U101" i="7"/>
  <c r="S101" i="7"/>
  <c r="AA101" i="7" s="1"/>
  <c r="AC101" i="7" s="1"/>
  <c r="Q101" i="7"/>
  <c r="Y100" i="7"/>
  <c r="Y104" i="7" s="1"/>
  <c r="W100" i="7"/>
  <c r="W104" i="7" s="1"/>
  <c r="U100" i="7"/>
  <c r="U104" i="7" s="1"/>
  <c r="S100" i="7"/>
  <c r="AA100" i="7" s="1"/>
  <c r="Q100" i="7"/>
  <c r="Q104" i="7" s="1"/>
  <c r="O97" i="7"/>
  <c r="M97" i="7"/>
  <c r="K97" i="7"/>
  <c r="I97" i="7"/>
  <c r="G97" i="7"/>
  <c r="E97" i="7"/>
  <c r="C97" i="7"/>
  <c r="Y96" i="7"/>
  <c r="W96" i="7"/>
  <c r="U96" i="7"/>
  <c r="S96" i="7"/>
  <c r="AA96" i="7" s="1"/>
  <c r="AC96" i="7" s="1"/>
  <c r="Q96" i="7"/>
  <c r="Y95" i="7"/>
  <c r="W95" i="7"/>
  <c r="U95" i="7"/>
  <c r="S95" i="7"/>
  <c r="AA95" i="7" s="1"/>
  <c r="Q95" i="7"/>
  <c r="Y94" i="7"/>
  <c r="W94" i="7"/>
  <c r="U94" i="7"/>
  <c r="S94" i="7"/>
  <c r="AA94" i="7" s="1"/>
  <c r="Q94" i="7"/>
  <c r="AC94" i="7" s="1"/>
  <c r="Y93" i="7"/>
  <c r="W93" i="7"/>
  <c r="U93" i="7"/>
  <c r="S93" i="7"/>
  <c r="AA93" i="7" s="1"/>
  <c r="AC93" i="7" s="1"/>
  <c r="Q93" i="7"/>
  <c r="Y92" i="7"/>
  <c r="Y97" i="7" s="1"/>
  <c r="W92" i="7"/>
  <c r="W97" i="7" s="1"/>
  <c r="U92" i="7"/>
  <c r="U97" i="7" s="1"/>
  <c r="S92" i="7"/>
  <c r="S97" i="7" s="1"/>
  <c r="Q92" i="7"/>
  <c r="Q97" i="7" s="1"/>
  <c r="O89" i="7"/>
  <c r="O106" i="7" s="1"/>
  <c r="M89" i="7"/>
  <c r="M106" i="7" s="1"/>
  <c r="K89" i="7"/>
  <c r="K106" i="7" s="1"/>
  <c r="I89" i="7"/>
  <c r="I106" i="7" s="1"/>
  <c r="G89" i="7"/>
  <c r="G106" i="7" s="1"/>
  <c r="E89" i="7"/>
  <c r="E106" i="7" s="1"/>
  <c r="C89" i="7"/>
  <c r="C106" i="7" s="1"/>
  <c r="Y88" i="7"/>
  <c r="W88" i="7"/>
  <c r="U88" i="7"/>
  <c r="S88" i="7"/>
  <c r="AA88" i="7" s="1"/>
  <c r="Q88" i="7"/>
  <c r="AC88" i="7" s="1"/>
  <c r="Y87" i="7"/>
  <c r="W87" i="7"/>
  <c r="U87" i="7"/>
  <c r="S87" i="7"/>
  <c r="AA87" i="7" s="1"/>
  <c r="AC87" i="7" s="1"/>
  <c r="Q87" i="7"/>
  <c r="Y86" i="7"/>
  <c r="W86" i="7"/>
  <c r="U86" i="7"/>
  <c r="S86" i="7"/>
  <c r="AA86" i="7" s="1"/>
  <c r="Q86" i="7"/>
  <c r="AC86" i="7" s="1"/>
  <c r="Y85" i="7"/>
  <c r="W85" i="7"/>
  <c r="U85" i="7"/>
  <c r="S85" i="7"/>
  <c r="AA85" i="7" s="1"/>
  <c r="Q85" i="7"/>
  <c r="Y84" i="7"/>
  <c r="W84" i="7"/>
  <c r="U84" i="7"/>
  <c r="S84" i="7"/>
  <c r="AA84" i="7" s="1"/>
  <c r="Q84" i="7"/>
  <c r="AC84" i="7" s="1"/>
  <c r="Y83" i="7"/>
  <c r="W83" i="7"/>
  <c r="U83" i="7"/>
  <c r="S83" i="7"/>
  <c r="AA83" i="7" s="1"/>
  <c r="AC83" i="7" s="1"/>
  <c r="Q83" i="7"/>
  <c r="Y82" i="7"/>
  <c r="W82" i="7"/>
  <c r="U82" i="7"/>
  <c r="S82" i="7"/>
  <c r="AA82" i="7" s="1"/>
  <c r="Q82" i="7"/>
  <c r="AC82" i="7" s="1"/>
  <c r="Y81" i="7"/>
  <c r="W81" i="7"/>
  <c r="U81" i="7"/>
  <c r="S81" i="7"/>
  <c r="AA81" i="7" s="1"/>
  <c r="Q81" i="7"/>
  <c r="Y80" i="7"/>
  <c r="Y89" i="7" s="1"/>
  <c r="Y106" i="7" s="1"/>
  <c r="W80" i="7"/>
  <c r="W89" i="7" s="1"/>
  <c r="W106" i="7" s="1"/>
  <c r="U80" i="7"/>
  <c r="U89" i="7" s="1"/>
  <c r="U106" i="7" s="1"/>
  <c r="S80" i="7"/>
  <c r="AA80" i="7" s="1"/>
  <c r="Q80" i="7"/>
  <c r="Q89" i="7" s="1"/>
  <c r="O73" i="7"/>
  <c r="M73" i="7"/>
  <c r="K73" i="7"/>
  <c r="I73" i="7"/>
  <c r="G73" i="7"/>
  <c r="E73" i="7"/>
  <c r="C73" i="7"/>
  <c r="Y72" i="7"/>
  <c r="W72" i="7"/>
  <c r="U72" i="7"/>
  <c r="S72" i="7"/>
  <c r="AA72" i="7" s="1"/>
  <c r="AC72" i="7" s="1"/>
  <c r="Q72" i="7"/>
  <c r="Y71" i="7"/>
  <c r="W71" i="7"/>
  <c r="U71" i="7"/>
  <c r="S71" i="7"/>
  <c r="AA71" i="7" s="1"/>
  <c r="Q71" i="7"/>
  <c r="Y70" i="7"/>
  <c r="W70" i="7"/>
  <c r="U70" i="7"/>
  <c r="S70" i="7"/>
  <c r="AA70" i="7" s="1"/>
  <c r="Q70" i="7"/>
  <c r="AC70" i="7" s="1"/>
  <c r="Y69" i="7"/>
  <c r="W69" i="7"/>
  <c r="U69" i="7"/>
  <c r="S69" i="7"/>
  <c r="AA69" i="7" s="1"/>
  <c r="Q69" i="7"/>
  <c r="Y68" i="7"/>
  <c r="W68" i="7"/>
  <c r="U68" i="7"/>
  <c r="S68" i="7"/>
  <c r="AA68" i="7" s="1"/>
  <c r="AC68" i="7" s="1"/>
  <c r="Q68" i="7"/>
  <c r="Y67" i="7"/>
  <c r="W67" i="7"/>
  <c r="U67" i="7"/>
  <c r="S67" i="7"/>
  <c r="AA67" i="7" s="1"/>
  <c r="Q67" i="7"/>
  <c r="Y66" i="7"/>
  <c r="W66" i="7"/>
  <c r="U66" i="7"/>
  <c r="S66" i="7"/>
  <c r="AA66" i="7" s="1"/>
  <c r="Q66" i="7"/>
  <c r="AC66" i="7" s="1"/>
  <c r="Y65" i="7"/>
  <c r="W65" i="7"/>
  <c r="U65" i="7"/>
  <c r="S65" i="7"/>
  <c r="AA65" i="7" s="1"/>
  <c r="Q65" i="7"/>
  <c r="Y64" i="7"/>
  <c r="W64" i="7"/>
  <c r="U64" i="7"/>
  <c r="S64" i="7"/>
  <c r="AA64" i="7" s="1"/>
  <c r="AC64" i="7" s="1"/>
  <c r="Q64" i="7"/>
  <c r="Y63" i="7"/>
  <c r="W63" i="7"/>
  <c r="U63" i="7"/>
  <c r="S63" i="7"/>
  <c r="AA63" i="7" s="1"/>
  <c r="Q63" i="7"/>
  <c r="Y62" i="7"/>
  <c r="W62" i="7"/>
  <c r="U62" i="7"/>
  <c r="S62" i="7"/>
  <c r="AA62" i="7" s="1"/>
  <c r="Q62" i="7"/>
  <c r="AC62" i="7" s="1"/>
  <c r="Y61" i="7"/>
  <c r="W61" i="7"/>
  <c r="U61" i="7"/>
  <c r="S61" i="7"/>
  <c r="AA61" i="7" s="1"/>
  <c r="Q61" i="7"/>
  <c r="Y60" i="7"/>
  <c r="W60" i="7"/>
  <c r="U60" i="7"/>
  <c r="S60" i="7"/>
  <c r="AA60" i="7" s="1"/>
  <c r="AC60" i="7" s="1"/>
  <c r="Q60" i="7"/>
  <c r="Y59" i="7"/>
  <c r="Y73" i="7" s="1"/>
  <c r="W59" i="7"/>
  <c r="W73" i="7" s="1"/>
  <c r="U59" i="7"/>
  <c r="U73" i="7" s="1"/>
  <c r="S59" i="7"/>
  <c r="S73" i="7" s="1"/>
  <c r="Q59" i="7"/>
  <c r="O56" i="7"/>
  <c r="M56" i="7"/>
  <c r="K56" i="7"/>
  <c r="I56" i="7"/>
  <c r="G56" i="7"/>
  <c r="E56" i="7"/>
  <c r="C56" i="7"/>
  <c r="Y55" i="7"/>
  <c r="W55" i="7"/>
  <c r="U55" i="7"/>
  <c r="S55" i="7"/>
  <c r="AA55" i="7" s="1"/>
  <c r="AC55" i="7" s="1"/>
  <c r="Q55" i="7"/>
  <c r="Y54" i="7"/>
  <c r="W54" i="7"/>
  <c r="U54" i="7"/>
  <c r="S54" i="7"/>
  <c r="AA54" i="7" s="1"/>
  <c r="Q54" i="7"/>
  <c r="AC54" i="7" s="1"/>
  <c r="Y53" i="7"/>
  <c r="W53" i="7"/>
  <c r="U53" i="7"/>
  <c r="S53" i="7"/>
  <c r="AA53" i="7" s="1"/>
  <c r="Q53" i="7"/>
  <c r="Y52" i="7"/>
  <c r="Y56" i="7" s="1"/>
  <c r="W52" i="7"/>
  <c r="W56" i="7" s="1"/>
  <c r="U52" i="7"/>
  <c r="U56" i="7" s="1"/>
  <c r="S52" i="7"/>
  <c r="AA52" i="7" s="1"/>
  <c r="AA56" i="7" s="1"/>
  <c r="Q52" i="7"/>
  <c r="Q56" i="7" s="1"/>
  <c r="AC56" i="7" s="1"/>
  <c r="O49" i="7"/>
  <c r="M49" i="7"/>
  <c r="K49" i="7"/>
  <c r="I49" i="7"/>
  <c r="G49" i="7"/>
  <c r="E49" i="7"/>
  <c r="C49" i="7"/>
  <c r="Y48" i="7"/>
  <c r="W48" i="7"/>
  <c r="U48" i="7"/>
  <c r="S48" i="7"/>
  <c r="AA48" i="7" s="1"/>
  <c r="Q48" i="7"/>
  <c r="AC48" i="7" s="1"/>
  <c r="Y47" i="7"/>
  <c r="W47" i="7"/>
  <c r="U47" i="7"/>
  <c r="S47" i="7"/>
  <c r="AA47" i="7" s="1"/>
  <c r="Q47" i="7"/>
  <c r="Y46" i="7"/>
  <c r="W46" i="7"/>
  <c r="U46" i="7"/>
  <c r="S46" i="7"/>
  <c r="AA46" i="7" s="1"/>
  <c r="AC46" i="7" s="1"/>
  <c r="Q46" i="7"/>
  <c r="Y45" i="7"/>
  <c r="W45" i="7"/>
  <c r="U45" i="7"/>
  <c r="S45" i="7"/>
  <c r="AA45" i="7" s="1"/>
  <c r="Q45" i="7"/>
  <c r="AC45" i="7" s="1"/>
  <c r="Y44" i="7"/>
  <c r="W44" i="7"/>
  <c r="U44" i="7"/>
  <c r="S44" i="7"/>
  <c r="AA44" i="7" s="1"/>
  <c r="Q44" i="7"/>
  <c r="AC44" i="7" s="1"/>
  <c r="Y43" i="7"/>
  <c r="W43" i="7"/>
  <c r="U43" i="7"/>
  <c r="S43" i="7"/>
  <c r="AA43" i="7" s="1"/>
  <c r="Q43" i="7"/>
  <c r="Y42" i="7"/>
  <c r="W42" i="7"/>
  <c r="U42" i="7"/>
  <c r="S42" i="7"/>
  <c r="AA42" i="7" s="1"/>
  <c r="AC42" i="7" s="1"/>
  <c r="Q42" i="7"/>
  <c r="Y41" i="7"/>
  <c r="W41" i="7"/>
  <c r="U41" i="7"/>
  <c r="S41" i="7"/>
  <c r="AA41" i="7" s="1"/>
  <c r="Q41" i="7"/>
  <c r="AC41" i="7" s="1"/>
  <c r="Y40" i="7"/>
  <c r="W40" i="7"/>
  <c r="U40" i="7"/>
  <c r="S40" i="7"/>
  <c r="AA40" i="7" s="1"/>
  <c r="Q40" i="7"/>
  <c r="AC40" i="7" s="1"/>
  <c r="Y39" i="7"/>
  <c r="W39" i="7"/>
  <c r="U39" i="7"/>
  <c r="S39" i="7"/>
  <c r="AA39" i="7" s="1"/>
  <c r="Q39" i="7"/>
  <c r="Y38" i="7"/>
  <c r="W38" i="7"/>
  <c r="U38" i="7"/>
  <c r="S38" i="7"/>
  <c r="AA38" i="7" s="1"/>
  <c r="AC38" i="7" s="1"/>
  <c r="Q38" i="7"/>
  <c r="Y37" i="7"/>
  <c r="W37" i="7"/>
  <c r="U37" i="7"/>
  <c r="S37" i="7"/>
  <c r="AA37" i="7" s="1"/>
  <c r="Q37" i="7"/>
  <c r="AC37" i="7" s="1"/>
  <c r="Y36" i="7"/>
  <c r="W36" i="7"/>
  <c r="U36" i="7"/>
  <c r="S36" i="7"/>
  <c r="AA36" i="7" s="1"/>
  <c r="Q36" i="7"/>
  <c r="AC36" i="7" s="1"/>
  <c r="Y35" i="7"/>
  <c r="W35" i="7"/>
  <c r="U35" i="7"/>
  <c r="S35" i="7"/>
  <c r="AA35" i="7" s="1"/>
  <c r="Q35" i="7"/>
  <c r="Y34" i="7"/>
  <c r="W34" i="7"/>
  <c r="U34" i="7"/>
  <c r="S34" i="7"/>
  <c r="AA34" i="7" s="1"/>
  <c r="AC34" i="7" s="1"/>
  <c r="Q34" i="7"/>
  <c r="Y33" i="7"/>
  <c r="Y49" i="7" s="1"/>
  <c r="W33" i="7"/>
  <c r="W49" i="7" s="1"/>
  <c r="U33" i="7"/>
  <c r="U49" i="7" s="1"/>
  <c r="S33" i="7"/>
  <c r="AA33" i="7" s="1"/>
  <c r="Q33" i="7"/>
  <c r="Q49" i="7" s="1"/>
  <c r="O30" i="7"/>
  <c r="O76" i="7" s="1"/>
  <c r="O108" i="7" s="1"/>
  <c r="M30" i="7"/>
  <c r="M76" i="7" s="1"/>
  <c r="M108" i="7" s="1"/>
  <c r="K30" i="7"/>
  <c r="K76" i="7" s="1"/>
  <c r="K108" i="7" s="1"/>
  <c r="I30" i="7"/>
  <c r="I76" i="7" s="1"/>
  <c r="I108" i="7" s="1"/>
  <c r="G30" i="7"/>
  <c r="G76" i="7" s="1"/>
  <c r="G108" i="7" s="1"/>
  <c r="E30" i="7"/>
  <c r="E76" i="7" s="1"/>
  <c r="E108" i="7" s="1"/>
  <c r="C30" i="7"/>
  <c r="C76" i="7" s="1"/>
  <c r="C108" i="7" s="1"/>
  <c r="Y29" i="7"/>
  <c r="W29" i="7"/>
  <c r="U29" i="7"/>
  <c r="S29" i="7"/>
  <c r="AA29" i="7" s="1"/>
  <c r="AC29" i="7" s="1"/>
  <c r="Q29" i="7"/>
  <c r="Y28" i="7"/>
  <c r="W28" i="7"/>
  <c r="U28" i="7"/>
  <c r="S28" i="7"/>
  <c r="AA28" i="7" s="1"/>
  <c r="Q28" i="7"/>
  <c r="AC28" i="7" s="1"/>
  <c r="Y27" i="7"/>
  <c r="W27" i="7"/>
  <c r="U27" i="7"/>
  <c r="S27" i="7"/>
  <c r="AA27" i="7" s="1"/>
  <c r="Q27" i="7"/>
  <c r="Y26" i="7"/>
  <c r="W26" i="7"/>
  <c r="U26" i="7"/>
  <c r="S26" i="7"/>
  <c r="AA26" i="7" s="1"/>
  <c r="Q26" i="7"/>
  <c r="AC26" i="7" s="1"/>
  <c r="Y25" i="7"/>
  <c r="W25" i="7"/>
  <c r="U25" i="7"/>
  <c r="S25" i="7"/>
  <c r="AA25" i="7" s="1"/>
  <c r="AC25" i="7" s="1"/>
  <c r="Q25" i="7"/>
  <c r="Y24" i="7"/>
  <c r="W24" i="7"/>
  <c r="U24" i="7"/>
  <c r="S24" i="7"/>
  <c r="AA24" i="7" s="1"/>
  <c r="Q24" i="7"/>
  <c r="AC24" i="7" s="1"/>
  <c r="Y23" i="7"/>
  <c r="W23" i="7"/>
  <c r="U23" i="7"/>
  <c r="S23" i="7"/>
  <c r="AA23" i="7" s="1"/>
  <c r="Q23" i="7"/>
  <c r="Y22" i="7"/>
  <c r="W22" i="7"/>
  <c r="U22" i="7"/>
  <c r="S22" i="7"/>
  <c r="AA22" i="7" s="1"/>
  <c r="Q22" i="7"/>
  <c r="AC22" i="7" s="1"/>
  <c r="Y21" i="7"/>
  <c r="W21" i="7"/>
  <c r="U21" i="7"/>
  <c r="S21" i="7"/>
  <c r="AA21" i="7" s="1"/>
  <c r="AC21" i="7" s="1"/>
  <c r="Q21" i="7"/>
  <c r="Y20" i="7"/>
  <c r="W20" i="7"/>
  <c r="U20" i="7"/>
  <c r="S20" i="7"/>
  <c r="AA20" i="7" s="1"/>
  <c r="Q20" i="7"/>
  <c r="AC20" i="7" s="1"/>
  <c r="Y19" i="7"/>
  <c r="W19" i="7"/>
  <c r="U19" i="7"/>
  <c r="S19" i="7"/>
  <c r="AA19" i="7" s="1"/>
  <c r="Q19" i="7"/>
  <c r="Y18" i="7"/>
  <c r="W18" i="7"/>
  <c r="U18" i="7"/>
  <c r="S18" i="7"/>
  <c r="AA18" i="7" s="1"/>
  <c r="Q18" i="7"/>
  <c r="AC18" i="7" s="1"/>
  <c r="Y17" i="7"/>
  <c r="W17" i="7"/>
  <c r="U17" i="7"/>
  <c r="S17" i="7"/>
  <c r="AA17" i="7" s="1"/>
  <c r="AC17" i="7" s="1"/>
  <c r="Q17" i="7"/>
  <c r="Y16" i="7"/>
  <c r="W16" i="7"/>
  <c r="U16" i="7"/>
  <c r="S16" i="7"/>
  <c r="AA16" i="7" s="1"/>
  <c r="Q16" i="7"/>
  <c r="AC16" i="7" s="1"/>
  <c r="Y15" i="7"/>
  <c r="Y30" i="7" s="1"/>
  <c r="Y76" i="7" s="1"/>
  <c r="Y108" i="7" s="1"/>
  <c r="W15" i="7"/>
  <c r="W30" i="7" s="1"/>
  <c r="W76" i="7" s="1"/>
  <c r="W108" i="7" s="1"/>
  <c r="U15" i="7"/>
  <c r="U30" i="7" s="1"/>
  <c r="U76" i="7" s="1"/>
  <c r="U108" i="7" s="1"/>
  <c r="S15" i="7"/>
  <c r="S30" i="7" s="1"/>
  <c r="Q15" i="7"/>
  <c r="AB108" i="6"/>
  <c r="Z108" i="6"/>
  <c r="X108" i="6"/>
  <c r="V108" i="6"/>
  <c r="T108" i="6"/>
  <c r="P108" i="6"/>
  <c r="N108" i="6"/>
  <c r="L108" i="6"/>
  <c r="J108" i="6"/>
  <c r="H108" i="6"/>
  <c r="F108" i="6"/>
  <c r="D108" i="6"/>
  <c r="O104" i="6"/>
  <c r="M104" i="6"/>
  <c r="K104" i="6"/>
  <c r="I104" i="6"/>
  <c r="G104" i="6"/>
  <c r="E104" i="6"/>
  <c r="C104" i="6"/>
  <c r="Y103" i="6"/>
  <c r="W103" i="6"/>
  <c r="U103" i="6"/>
  <c r="S103" i="6"/>
  <c r="AA103" i="6" s="1"/>
  <c r="AC103" i="6" s="1"/>
  <c r="Q103" i="6"/>
  <c r="Y102" i="6"/>
  <c r="W102" i="6"/>
  <c r="U102" i="6"/>
  <c r="S102" i="6"/>
  <c r="AA102" i="6" s="1"/>
  <c r="Q102" i="6"/>
  <c r="AC102" i="6" s="1"/>
  <c r="Y101" i="6"/>
  <c r="W101" i="6"/>
  <c r="U101" i="6"/>
  <c r="S101" i="6"/>
  <c r="AA101" i="6" s="1"/>
  <c r="Q101" i="6"/>
  <c r="Y100" i="6"/>
  <c r="Y104" i="6" s="1"/>
  <c r="W100" i="6"/>
  <c r="W104" i="6" s="1"/>
  <c r="U100" i="6"/>
  <c r="U104" i="6" s="1"/>
  <c r="S100" i="6"/>
  <c r="AA100" i="6" s="1"/>
  <c r="Q100" i="6"/>
  <c r="Q104" i="6" s="1"/>
  <c r="O97" i="6"/>
  <c r="M97" i="6"/>
  <c r="K97" i="6"/>
  <c r="I97" i="6"/>
  <c r="G97" i="6"/>
  <c r="E97" i="6"/>
  <c r="C97" i="6"/>
  <c r="Y96" i="6"/>
  <c r="W96" i="6"/>
  <c r="U96" i="6"/>
  <c r="S96" i="6"/>
  <c r="AA96" i="6" s="1"/>
  <c r="Q96" i="6"/>
  <c r="AC96" i="6" s="1"/>
  <c r="Y95" i="6"/>
  <c r="W95" i="6"/>
  <c r="U95" i="6"/>
  <c r="S95" i="6"/>
  <c r="AA95" i="6" s="1"/>
  <c r="Q95" i="6"/>
  <c r="Y94" i="6"/>
  <c r="W94" i="6"/>
  <c r="U94" i="6"/>
  <c r="S94" i="6"/>
  <c r="AA94" i="6" s="1"/>
  <c r="AC94" i="6" s="1"/>
  <c r="Q94" i="6"/>
  <c r="Y93" i="6"/>
  <c r="W93" i="6"/>
  <c r="U93" i="6"/>
  <c r="S93" i="6"/>
  <c r="AA93" i="6" s="1"/>
  <c r="Q93" i="6"/>
  <c r="Y92" i="6"/>
  <c r="Y97" i="6" s="1"/>
  <c r="W92" i="6"/>
  <c r="W97" i="6" s="1"/>
  <c r="U92" i="6"/>
  <c r="U97" i="6" s="1"/>
  <c r="S92" i="6"/>
  <c r="AA92" i="6" s="1"/>
  <c r="Q92" i="6"/>
  <c r="Q97" i="6" s="1"/>
  <c r="O89" i="6"/>
  <c r="O106" i="6" s="1"/>
  <c r="M89" i="6"/>
  <c r="M106" i="6" s="1"/>
  <c r="K89" i="6"/>
  <c r="K106" i="6" s="1"/>
  <c r="I89" i="6"/>
  <c r="I106" i="6" s="1"/>
  <c r="G89" i="6"/>
  <c r="G106" i="6" s="1"/>
  <c r="E89" i="6"/>
  <c r="E106" i="6" s="1"/>
  <c r="C89" i="6"/>
  <c r="C106" i="6" s="1"/>
  <c r="Y88" i="6"/>
  <c r="W88" i="6"/>
  <c r="U88" i="6"/>
  <c r="S88" i="6"/>
  <c r="AA88" i="6" s="1"/>
  <c r="Q88" i="6"/>
  <c r="AC88" i="6" s="1"/>
  <c r="Y87" i="6"/>
  <c r="W87" i="6"/>
  <c r="U87" i="6"/>
  <c r="S87" i="6"/>
  <c r="AA87" i="6" s="1"/>
  <c r="Q87" i="6"/>
  <c r="Y86" i="6"/>
  <c r="W86" i="6"/>
  <c r="U86" i="6"/>
  <c r="S86" i="6"/>
  <c r="AA86" i="6" s="1"/>
  <c r="Q86" i="6"/>
  <c r="AC86" i="6" s="1"/>
  <c r="Y85" i="6"/>
  <c r="W85" i="6"/>
  <c r="U85" i="6"/>
  <c r="S85" i="6"/>
  <c r="AA85" i="6" s="1"/>
  <c r="AC85" i="6" s="1"/>
  <c r="Q85" i="6"/>
  <c r="Y84" i="6"/>
  <c r="W84" i="6"/>
  <c r="U84" i="6"/>
  <c r="S84" i="6"/>
  <c r="AA84" i="6" s="1"/>
  <c r="Q84" i="6"/>
  <c r="AC84" i="6" s="1"/>
  <c r="Y83" i="6"/>
  <c r="W83" i="6"/>
  <c r="U83" i="6"/>
  <c r="S83" i="6"/>
  <c r="AA83" i="6" s="1"/>
  <c r="Q83" i="6"/>
  <c r="Y82" i="6"/>
  <c r="W82" i="6"/>
  <c r="U82" i="6"/>
  <c r="S82" i="6"/>
  <c r="AA82" i="6" s="1"/>
  <c r="Q82" i="6"/>
  <c r="AC82" i="6" s="1"/>
  <c r="Y81" i="6"/>
  <c r="W81" i="6"/>
  <c r="U81" i="6"/>
  <c r="S81" i="6"/>
  <c r="AA81" i="6" s="1"/>
  <c r="AC81" i="6" s="1"/>
  <c r="Q81" i="6"/>
  <c r="Y80" i="6"/>
  <c r="Y89" i="6" s="1"/>
  <c r="Y106" i="6" s="1"/>
  <c r="W80" i="6"/>
  <c r="W89" i="6" s="1"/>
  <c r="W106" i="6" s="1"/>
  <c r="U80" i="6"/>
  <c r="U89" i="6" s="1"/>
  <c r="U106" i="6" s="1"/>
  <c r="S80" i="6"/>
  <c r="S89" i="6" s="1"/>
  <c r="Q80" i="6"/>
  <c r="Q89" i="6" s="1"/>
  <c r="O73" i="6"/>
  <c r="M73" i="6"/>
  <c r="K73" i="6"/>
  <c r="I73" i="6"/>
  <c r="G73" i="6"/>
  <c r="E73" i="6"/>
  <c r="C73" i="6"/>
  <c r="Y72" i="6"/>
  <c r="W72" i="6"/>
  <c r="U72" i="6"/>
  <c r="S72" i="6"/>
  <c r="AA72" i="6" s="1"/>
  <c r="Q72" i="6"/>
  <c r="AC72" i="6" s="1"/>
  <c r="Y71" i="6"/>
  <c r="W71" i="6"/>
  <c r="U71" i="6"/>
  <c r="S71" i="6"/>
  <c r="AA71" i="6" s="1"/>
  <c r="Q71" i="6"/>
  <c r="Y70" i="6"/>
  <c r="W70" i="6"/>
  <c r="U70" i="6"/>
  <c r="S70" i="6"/>
  <c r="AA70" i="6" s="1"/>
  <c r="AC70" i="6" s="1"/>
  <c r="Q70" i="6"/>
  <c r="Y69" i="6"/>
  <c r="W69" i="6"/>
  <c r="U69" i="6"/>
  <c r="S69" i="6"/>
  <c r="AA69" i="6" s="1"/>
  <c r="Q69" i="6"/>
  <c r="Y68" i="6"/>
  <c r="W68" i="6"/>
  <c r="U68" i="6"/>
  <c r="S68" i="6"/>
  <c r="AA68" i="6" s="1"/>
  <c r="Q68" i="6"/>
  <c r="AC68" i="6" s="1"/>
  <c r="Y67" i="6"/>
  <c r="W67" i="6"/>
  <c r="U67" i="6"/>
  <c r="S67" i="6"/>
  <c r="AA67" i="6" s="1"/>
  <c r="Q67" i="6"/>
  <c r="Y66" i="6"/>
  <c r="W66" i="6"/>
  <c r="U66" i="6"/>
  <c r="S66" i="6"/>
  <c r="AA66" i="6" s="1"/>
  <c r="AC66" i="6" s="1"/>
  <c r="Q66" i="6"/>
  <c r="Y65" i="6"/>
  <c r="W65" i="6"/>
  <c r="U65" i="6"/>
  <c r="S65" i="6"/>
  <c r="AA65" i="6" s="1"/>
  <c r="Q65" i="6"/>
  <c r="Y64" i="6"/>
  <c r="W64" i="6"/>
  <c r="U64" i="6"/>
  <c r="S64" i="6"/>
  <c r="AA64" i="6" s="1"/>
  <c r="Q64" i="6"/>
  <c r="AC64" i="6" s="1"/>
  <c r="Y63" i="6"/>
  <c r="W63" i="6"/>
  <c r="U63" i="6"/>
  <c r="S63" i="6"/>
  <c r="AA63" i="6" s="1"/>
  <c r="Q63" i="6"/>
  <c r="Y62" i="6"/>
  <c r="W62" i="6"/>
  <c r="U62" i="6"/>
  <c r="S62" i="6"/>
  <c r="AA62" i="6" s="1"/>
  <c r="AC62" i="6" s="1"/>
  <c r="Q62" i="6"/>
  <c r="Y61" i="6"/>
  <c r="W61" i="6"/>
  <c r="U61" i="6"/>
  <c r="S61" i="6"/>
  <c r="AA61" i="6" s="1"/>
  <c r="Q61" i="6"/>
  <c r="Y60" i="6"/>
  <c r="W60" i="6"/>
  <c r="U60" i="6"/>
  <c r="S60" i="6"/>
  <c r="AA60" i="6" s="1"/>
  <c r="Q60" i="6"/>
  <c r="AC60" i="6" s="1"/>
  <c r="Y59" i="6"/>
  <c r="Y73" i="6" s="1"/>
  <c r="W59" i="6"/>
  <c r="W73" i="6" s="1"/>
  <c r="U59" i="6"/>
  <c r="U73" i="6" s="1"/>
  <c r="S59" i="6"/>
  <c r="AA59" i="6" s="1"/>
  <c r="AA73" i="6" s="1"/>
  <c r="Q59" i="6"/>
  <c r="Q73" i="6" s="1"/>
  <c r="O56" i="6"/>
  <c r="M56" i="6"/>
  <c r="K56" i="6"/>
  <c r="I56" i="6"/>
  <c r="G56" i="6"/>
  <c r="E56" i="6"/>
  <c r="C56" i="6"/>
  <c r="Y55" i="6"/>
  <c r="W55" i="6"/>
  <c r="U55" i="6"/>
  <c r="S55" i="6"/>
  <c r="AA55" i="6" s="1"/>
  <c r="Q55" i="6"/>
  <c r="Y54" i="6"/>
  <c r="W54" i="6"/>
  <c r="U54" i="6"/>
  <c r="S54" i="6"/>
  <c r="AA54" i="6" s="1"/>
  <c r="Q54" i="6"/>
  <c r="AC54" i="6" s="1"/>
  <c r="Y53" i="6"/>
  <c r="W53" i="6"/>
  <c r="U53" i="6"/>
  <c r="S53" i="6"/>
  <c r="AA53" i="6" s="1"/>
  <c r="AC53" i="6" s="1"/>
  <c r="Q53" i="6"/>
  <c r="Y52" i="6"/>
  <c r="Y56" i="6" s="1"/>
  <c r="W52" i="6"/>
  <c r="W56" i="6" s="1"/>
  <c r="U52" i="6"/>
  <c r="U56" i="6" s="1"/>
  <c r="S52" i="6"/>
  <c r="AA52" i="6" s="1"/>
  <c r="Q52" i="6"/>
  <c r="Q56" i="6" s="1"/>
  <c r="O49" i="6"/>
  <c r="M49" i="6"/>
  <c r="K49" i="6"/>
  <c r="I49" i="6"/>
  <c r="G49" i="6"/>
  <c r="E49" i="6"/>
  <c r="C49" i="6"/>
  <c r="Y48" i="6"/>
  <c r="W48" i="6"/>
  <c r="U48" i="6"/>
  <c r="S48" i="6"/>
  <c r="AA48" i="6" s="1"/>
  <c r="AC48" i="6" s="1"/>
  <c r="Q48" i="6"/>
  <c r="Y47" i="6"/>
  <c r="W47" i="6"/>
  <c r="U47" i="6"/>
  <c r="S47" i="6"/>
  <c r="AA47" i="6" s="1"/>
  <c r="Q47" i="6"/>
  <c r="Y46" i="6"/>
  <c r="W46" i="6"/>
  <c r="U46" i="6"/>
  <c r="S46" i="6"/>
  <c r="AA46" i="6" s="1"/>
  <c r="Q46" i="6"/>
  <c r="AC46" i="6" s="1"/>
  <c r="Y45" i="6"/>
  <c r="W45" i="6"/>
  <c r="U45" i="6"/>
  <c r="S45" i="6"/>
  <c r="AA45" i="6" s="1"/>
  <c r="Q45" i="6"/>
  <c r="Y44" i="6"/>
  <c r="W44" i="6"/>
  <c r="U44" i="6"/>
  <c r="S44" i="6"/>
  <c r="AA44" i="6" s="1"/>
  <c r="AC44" i="6" s="1"/>
  <c r="Q44" i="6"/>
  <c r="Y43" i="6"/>
  <c r="W43" i="6"/>
  <c r="U43" i="6"/>
  <c r="S43" i="6"/>
  <c r="AA43" i="6" s="1"/>
  <c r="Q43" i="6"/>
  <c r="Y42" i="6"/>
  <c r="W42" i="6"/>
  <c r="U42" i="6"/>
  <c r="S42" i="6"/>
  <c r="AA42" i="6" s="1"/>
  <c r="Q42" i="6"/>
  <c r="AC42" i="6" s="1"/>
  <c r="Y41" i="6"/>
  <c r="W41" i="6"/>
  <c r="U41" i="6"/>
  <c r="S41" i="6"/>
  <c r="AA41" i="6" s="1"/>
  <c r="Q41" i="6"/>
  <c r="Y40" i="6"/>
  <c r="W40" i="6"/>
  <c r="U40" i="6"/>
  <c r="S40" i="6"/>
  <c r="AA40" i="6" s="1"/>
  <c r="AC40" i="6" s="1"/>
  <c r="Q40" i="6"/>
  <c r="Y39" i="6"/>
  <c r="W39" i="6"/>
  <c r="U39" i="6"/>
  <c r="S39" i="6"/>
  <c r="AA39" i="6" s="1"/>
  <c r="Q39" i="6"/>
  <c r="Y38" i="6"/>
  <c r="W38" i="6"/>
  <c r="U38" i="6"/>
  <c r="S38" i="6"/>
  <c r="AA38" i="6" s="1"/>
  <c r="Q38" i="6"/>
  <c r="AC38" i="6" s="1"/>
  <c r="Y37" i="6"/>
  <c r="W37" i="6"/>
  <c r="U37" i="6"/>
  <c r="S37" i="6"/>
  <c r="AA37" i="6" s="1"/>
  <c r="Q37" i="6"/>
  <c r="Y36" i="6"/>
  <c r="W36" i="6"/>
  <c r="U36" i="6"/>
  <c r="S36" i="6"/>
  <c r="AA36" i="6" s="1"/>
  <c r="AC36" i="6" s="1"/>
  <c r="Q36" i="6"/>
  <c r="Y35" i="6"/>
  <c r="W35" i="6"/>
  <c r="U35" i="6"/>
  <c r="S35" i="6"/>
  <c r="AA35" i="6" s="1"/>
  <c r="Q35" i="6"/>
  <c r="Y34" i="6"/>
  <c r="W34" i="6"/>
  <c r="U34" i="6"/>
  <c r="S34" i="6"/>
  <c r="AA34" i="6" s="1"/>
  <c r="Q34" i="6"/>
  <c r="AC34" i="6" s="1"/>
  <c r="Y33" i="6"/>
  <c r="Y49" i="6" s="1"/>
  <c r="W33" i="6"/>
  <c r="W49" i="6" s="1"/>
  <c r="U33" i="6"/>
  <c r="U49" i="6" s="1"/>
  <c r="S33" i="6"/>
  <c r="AA33" i="6" s="1"/>
  <c r="Q33" i="6"/>
  <c r="Q49" i="6" s="1"/>
  <c r="O30" i="6"/>
  <c r="O76" i="6" s="1"/>
  <c r="O108" i="6" s="1"/>
  <c r="M30" i="6"/>
  <c r="M76" i="6" s="1"/>
  <c r="M108" i="6" s="1"/>
  <c r="K30" i="6"/>
  <c r="K76" i="6" s="1"/>
  <c r="K108" i="6" s="1"/>
  <c r="I30" i="6"/>
  <c r="I76" i="6" s="1"/>
  <c r="I108" i="6" s="1"/>
  <c r="C30" i="6"/>
  <c r="C76" i="6" s="1"/>
  <c r="C108" i="6" s="1"/>
  <c r="Y29" i="6"/>
  <c r="W29" i="6"/>
  <c r="U29" i="6"/>
  <c r="S29" i="6"/>
  <c r="AA29" i="6" s="1"/>
  <c r="Q29" i="6"/>
  <c r="Y28" i="6"/>
  <c r="W28" i="6"/>
  <c r="U28" i="6"/>
  <c r="S28" i="6"/>
  <c r="AA28" i="6" s="1"/>
  <c r="Q28" i="6"/>
  <c r="AC28" i="6" s="1"/>
  <c r="Y27" i="6"/>
  <c r="U27" i="6"/>
  <c r="S27" i="6"/>
  <c r="G27" i="6"/>
  <c r="Q27" i="6" s="1"/>
  <c r="Y26" i="6"/>
  <c r="W26" i="6"/>
  <c r="U26" i="6"/>
  <c r="S26" i="6"/>
  <c r="AA26" i="6" s="1"/>
  <c r="AC26" i="6" s="1"/>
  <c r="Q26" i="6"/>
  <c r="Y25" i="6"/>
  <c r="W25" i="6"/>
  <c r="U25" i="6"/>
  <c r="S25" i="6"/>
  <c r="AA25" i="6" s="1"/>
  <c r="Q25" i="6"/>
  <c r="AC25" i="6" s="1"/>
  <c r="Y24" i="6"/>
  <c r="W24" i="6"/>
  <c r="U24" i="6"/>
  <c r="S24" i="6"/>
  <c r="AA24" i="6" s="1"/>
  <c r="Q24" i="6"/>
  <c r="Y23" i="6"/>
  <c r="W23" i="6"/>
  <c r="U23" i="6"/>
  <c r="S23" i="6"/>
  <c r="AA23" i="6" s="1"/>
  <c r="Q23" i="6"/>
  <c r="AC23" i="6" s="1"/>
  <c r="Y22" i="6"/>
  <c r="W22" i="6"/>
  <c r="U22" i="6"/>
  <c r="S22" i="6"/>
  <c r="AA22" i="6" s="1"/>
  <c r="AC22" i="6" s="1"/>
  <c r="Q22" i="6"/>
  <c r="Y21" i="6"/>
  <c r="W21" i="6"/>
  <c r="U21" i="6"/>
  <c r="S21" i="6"/>
  <c r="AA21" i="6" s="1"/>
  <c r="Q21" i="6"/>
  <c r="AC21" i="6" s="1"/>
  <c r="Y20" i="6"/>
  <c r="W20" i="6"/>
  <c r="U20" i="6"/>
  <c r="S20" i="6"/>
  <c r="AA20" i="6" s="1"/>
  <c r="Q20" i="6"/>
  <c r="Y19" i="6"/>
  <c r="W19" i="6"/>
  <c r="U19" i="6"/>
  <c r="S19" i="6"/>
  <c r="AA19" i="6" s="1"/>
  <c r="Q19" i="6"/>
  <c r="AC19" i="6" s="1"/>
  <c r="Y18" i="6"/>
  <c r="U18" i="6"/>
  <c r="S18" i="6"/>
  <c r="E18" i="6"/>
  <c r="Q18" i="6" s="1"/>
  <c r="Y17" i="6"/>
  <c r="W17" i="6"/>
  <c r="U17" i="6"/>
  <c r="S17" i="6"/>
  <c r="AA17" i="6" s="1"/>
  <c r="AC17" i="6" s="1"/>
  <c r="Q17" i="6"/>
  <c r="Y16" i="6"/>
  <c r="W16" i="6"/>
  <c r="U16" i="6"/>
  <c r="S16" i="6"/>
  <c r="AA16" i="6" s="1"/>
  <c r="Q16" i="6"/>
  <c r="AC16" i="6" s="1"/>
  <c r="Y15" i="6"/>
  <c r="Y30" i="6" s="1"/>
  <c r="Y76" i="6" s="1"/>
  <c r="Y108" i="6" s="1"/>
  <c r="W15" i="6"/>
  <c r="U15" i="6"/>
  <c r="U30" i="6" s="1"/>
  <c r="U76" i="6" s="1"/>
  <c r="U108" i="6" s="1"/>
  <c r="S15" i="6"/>
  <c r="AA15" i="6" s="1"/>
  <c r="Q15" i="6"/>
  <c r="AI316" i="5"/>
  <c r="AG316" i="5"/>
  <c r="AF316" i="5"/>
  <c r="AE316" i="5"/>
  <c r="AC316" i="5"/>
  <c r="AA316" i="5"/>
  <c r="Y316" i="5"/>
  <c r="W316" i="5"/>
  <c r="U316" i="5"/>
  <c r="S316" i="5"/>
  <c r="Q316" i="5"/>
  <c r="O316" i="5"/>
  <c r="M316" i="5"/>
  <c r="K316" i="5"/>
  <c r="I316" i="5"/>
  <c r="G316" i="5"/>
  <c r="E316" i="5"/>
  <c r="C316" i="5"/>
  <c r="AI315" i="5"/>
  <c r="AG310" i="5"/>
  <c r="AF310" i="5"/>
  <c r="AE310" i="5"/>
  <c r="AC310" i="5"/>
  <c r="AA310" i="5"/>
  <c r="Y310" i="5"/>
  <c r="W310" i="5"/>
  <c r="U310" i="5"/>
  <c r="S310" i="5"/>
  <c r="Q310" i="5"/>
  <c r="O310" i="5"/>
  <c r="M310" i="5"/>
  <c r="K310" i="5"/>
  <c r="I310" i="5"/>
  <c r="G310" i="5"/>
  <c r="E310" i="5"/>
  <c r="C310" i="5"/>
  <c r="AI309" i="5"/>
  <c r="AI310" i="5" s="1"/>
  <c r="AI305" i="5"/>
  <c r="AG304" i="5"/>
  <c r="AF304" i="5"/>
  <c r="AE304" i="5"/>
  <c r="AC304" i="5"/>
  <c r="AA304" i="5"/>
  <c r="Y304" i="5"/>
  <c r="W304" i="5"/>
  <c r="U304" i="5"/>
  <c r="S304" i="5"/>
  <c r="Q304" i="5"/>
  <c r="O304" i="5"/>
  <c r="M304" i="5"/>
  <c r="K304" i="5"/>
  <c r="I304" i="5"/>
  <c r="G304" i="5"/>
  <c r="E304" i="5"/>
  <c r="C304" i="5"/>
  <c r="AI304" i="5" s="1"/>
  <c r="AG303" i="5"/>
  <c r="AF303" i="5"/>
  <c r="AE303" i="5"/>
  <c r="AC303" i="5"/>
  <c r="AA303" i="5"/>
  <c r="Y303" i="5"/>
  <c r="W303" i="5"/>
  <c r="U303" i="5"/>
  <c r="Q303" i="5"/>
  <c r="O303" i="5"/>
  <c r="M303" i="5"/>
  <c r="K303" i="5"/>
  <c r="I303" i="5"/>
  <c r="G303" i="5"/>
  <c r="E303" i="5"/>
  <c r="C303" i="5"/>
  <c r="AG302" i="5"/>
  <c r="AE302" i="5"/>
  <c r="AC302" i="5"/>
  <c r="AA302" i="5"/>
  <c r="Y302" i="5"/>
  <c r="W302" i="5"/>
  <c r="U302" i="5"/>
  <c r="S302" i="5"/>
  <c r="Q302" i="5"/>
  <c r="O302" i="5"/>
  <c r="M302" i="5"/>
  <c r="K302" i="5"/>
  <c r="I302" i="5"/>
  <c r="G302" i="5"/>
  <c r="E302" i="5"/>
  <c r="C302" i="5"/>
  <c r="AI302" i="5" s="1"/>
  <c r="AG301" i="5"/>
  <c r="AF301" i="5"/>
  <c r="AE301" i="5"/>
  <c r="AC301" i="5"/>
  <c r="AA301" i="5"/>
  <c r="Y301" i="5"/>
  <c r="W301" i="5"/>
  <c r="U301" i="5"/>
  <c r="S301" i="5"/>
  <c r="Q301" i="5"/>
  <c r="O301" i="5"/>
  <c r="M301" i="5"/>
  <c r="K301" i="5"/>
  <c r="I301" i="5"/>
  <c r="G301" i="5"/>
  <c r="E301" i="5"/>
  <c r="C301" i="5"/>
  <c r="AI301" i="5" s="1"/>
  <c r="AG300" i="5"/>
  <c r="AF300" i="5"/>
  <c r="AE300" i="5"/>
  <c r="AC300" i="5"/>
  <c r="AA300" i="5"/>
  <c r="Y300" i="5"/>
  <c r="W300" i="5"/>
  <c r="U300" i="5"/>
  <c r="S300" i="5"/>
  <c r="Q300" i="5"/>
  <c r="O300" i="5"/>
  <c r="M300" i="5"/>
  <c r="K300" i="5"/>
  <c r="I300" i="5"/>
  <c r="G300" i="5"/>
  <c r="E300" i="5"/>
  <c r="C300" i="5"/>
  <c r="AI300" i="5" s="1"/>
  <c r="AG299" i="5"/>
  <c r="AF299" i="5"/>
  <c r="AE299" i="5"/>
  <c r="AC299" i="5"/>
  <c r="AA299" i="5"/>
  <c r="Y299" i="5"/>
  <c r="W299" i="5"/>
  <c r="U299" i="5"/>
  <c r="S299" i="5"/>
  <c r="Q299" i="5"/>
  <c r="O299" i="5"/>
  <c r="M299" i="5"/>
  <c r="K299" i="5"/>
  <c r="I299" i="5"/>
  <c r="G299" i="5"/>
  <c r="E299" i="5"/>
  <c r="C299" i="5"/>
  <c r="AI299" i="5" s="1"/>
  <c r="AG298" i="5"/>
  <c r="AF298" i="5"/>
  <c r="AE298" i="5"/>
  <c r="AC298" i="5"/>
  <c r="AA298" i="5"/>
  <c r="Y298" i="5"/>
  <c r="W298" i="5"/>
  <c r="U298" i="5"/>
  <c r="S298" i="5"/>
  <c r="Q298" i="5"/>
  <c r="O298" i="5"/>
  <c r="M298" i="5"/>
  <c r="K298" i="5"/>
  <c r="I298" i="5"/>
  <c r="G298" i="5"/>
  <c r="E298" i="5"/>
  <c r="C298" i="5"/>
  <c r="AI298" i="5" s="1"/>
  <c r="AG297" i="5"/>
  <c r="AF297" i="5"/>
  <c r="AE297" i="5"/>
  <c r="AC297" i="5"/>
  <c r="AA297" i="5"/>
  <c r="Y297" i="5"/>
  <c r="W297" i="5"/>
  <c r="U297" i="5"/>
  <c r="S297" i="5"/>
  <c r="Q297" i="5"/>
  <c r="O297" i="5"/>
  <c r="M297" i="5"/>
  <c r="K297" i="5"/>
  <c r="I297" i="5"/>
  <c r="G297" i="5"/>
  <c r="E297" i="5"/>
  <c r="C297" i="5"/>
  <c r="AI297" i="5" s="1"/>
  <c r="AG296" i="5"/>
  <c r="AF296" i="5"/>
  <c r="AE296" i="5"/>
  <c r="AC296" i="5"/>
  <c r="AA296" i="5"/>
  <c r="Y296" i="5"/>
  <c r="W296" i="5"/>
  <c r="U296" i="5"/>
  <c r="S296" i="5"/>
  <c r="Q296" i="5"/>
  <c r="O296" i="5"/>
  <c r="M296" i="5"/>
  <c r="K296" i="5"/>
  <c r="I296" i="5"/>
  <c r="G296" i="5"/>
  <c r="E296" i="5"/>
  <c r="C296" i="5"/>
  <c r="AI296" i="5" s="1"/>
  <c r="AG295" i="5"/>
  <c r="AF295" i="5"/>
  <c r="AE295" i="5"/>
  <c r="AC295" i="5"/>
  <c r="AA295" i="5"/>
  <c r="Y295" i="5"/>
  <c r="W295" i="5"/>
  <c r="U295" i="5"/>
  <c r="S295" i="5"/>
  <c r="Q295" i="5"/>
  <c r="O295" i="5"/>
  <c r="M295" i="5"/>
  <c r="K295" i="5"/>
  <c r="I295" i="5"/>
  <c r="G295" i="5"/>
  <c r="E295" i="5"/>
  <c r="C295" i="5"/>
  <c r="AI295" i="5" s="1"/>
  <c r="AG294" i="5"/>
  <c r="AG306" i="5" s="1"/>
  <c r="AG312" i="5" s="1"/>
  <c r="AG319" i="5" s="1"/>
  <c r="AF294" i="5"/>
  <c r="AE294" i="5"/>
  <c r="AE306" i="5" s="1"/>
  <c r="AE312" i="5" s="1"/>
  <c r="AE319" i="5" s="1"/>
  <c r="AC294" i="5"/>
  <c r="AC306" i="5" s="1"/>
  <c r="AC312" i="5" s="1"/>
  <c r="AC319" i="5" s="1"/>
  <c r="AA294" i="5"/>
  <c r="AA306" i="5" s="1"/>
  <c r="AA312" i="5" s="1"/>
  <c r="AA319" i="5" s="1"/>
  <c r="Y294" i="5"/>
  <c r="Y306" i="5" s="1"/>
  <c r="Y312" i="5" s="1"/>
  <c r="Y319" i="5" s="1"/>
  <c r="W294" i="5"/>
  <c r="W306" i="5" s="1"/>
  <c r="W312" i="5" s="1"/>
  <c r="W319" i="5" s="1"/>
  <c r="U294" i="5"/>
  <c r="U306" i="5" s="1"/>
  <c r="U312" i="5" s="1"/>
  <c r="U319" i="5" s="1"/>
  <c r="Q294" i="5"/>
  <c r="Q306" i="5" s="1"/>
  <c r="Q312" i="5" s="1"/>
  <c r="Q319" i="5" s="1"/>
  <c r="O294" i="5"/>
  <c r="O306" i="5" s="1"/>
  <c r="O312" i="5" s="1"/>
  <c r="O319" i="5" s="1"/>
  <c r="M294" i="5"/>
  <c r="M306" i="5" s="1"/>
  <c r="M312" i="5" s="1"/>
  <c r="M319" i="5" s="1"/>
  <c r="K294" i="5"/>
  <c r="K306" i="5" s="1"/>
  <c r="K312" i="5" s="1"/>
  <c r="K319" i="5" s="1"/>
  <c r="I294" i="5"/>
  <c r="I306" i="5" s="1"/>
  <c r="I312" i="5" s="1"/>
  <c r="I319" i="5" s="1"/>
  <c r="G294" i="5"/>
  <c r="G306" i="5" s="1"/>
  <c r="G312" i="5" s="1"/>
  <c r="G319" i="5" s="1"/>
  <c r="E294" i="5"/>
  <c r="E306" i="5" s="1"/>
  <c r="E312" i="5" s="1"/>
  <c r="E319" i="5" s="1"/>
  <c r="C294" i="5"/>
  <c r="AG291" i="5"/>
  <c r="AF291" i="5"/>
  <c r="AE291" i="5"/>
  <c r="AC291" i="5"/>
  <c r="AA291" i="5"/>
  <c r="Y291" i="5"/>
  <c r="W291" i="5"/>
  <c r="U291" i="5"/>
  <c r="S291" i="5"/>
  <c r="Q291" i="5"/>
  <c r="O291" i="5"/>
  <c r="M291" i="5"/>
  <c r="K291" i="5"/>
  <c r="I291" i="5"/>
  <c r="G291" i="5"/>
  <c r="E291" i="5"/>
  <c r="C291" i="5"/>
  <c r="AI290" i="5"/>
  <c r="AI289" i="5"/>
  <c r="AI288" i="5"/>
  <c r="AI287" i="5"/>
  <c r="AI286" i="5"/>
  <c r="AI285" i="5"/>
  <c r="AI284" i="5"/>
  <c r="AI291" i="5" s="1"/>
  <c r="AG281" i="5"/>
  <c r="AF281" i="5"/>
  <c r="AF302" i="5" s="1"/>
  <c r="AE281" i="5"/>
  <c r="AC281" i="5"/>
  <c r="AA281" i="5"/>
  <c r="Y281" i="5"/>
  <c r="W281" i="5"/>
  <c r="U281" i="5"/>
  <c r="Q281" i="5"/>
  <c r="O281" i="5"/>
  <c r="M281" i="5"/>
  <c r="K281" i="5"/>
  <c r="I281" i="5"/>
  <c r="G281" i="5"/>
  <c r="E281" i="5"/>
  <c r="C281" i="5"/>
  <c r="AI280" i="5"/>
  <c r="AI279" i="5"/>
  <c r="S279" i="5"/>
  <c r="AI278" i="5"/>
  <c r="AI277" i="5"/>
  <c r="AI276" i="5"/>
  <c r="AI275" i="5"/>
  <c r="S274" i="5"/>
  <c r="S281" i="5" s="1"/>
  <c r="AG271" i="5"/>
  <c r="AF271" i="5"/>
  <c r="AE271" i="5"/>
  <c r="AC271" i="5"/>
  <c r="AA271" i="5"/>
  <c r="Y271" i="5"/>
  <c r="W271" i="5"/>
  <c r="U271" i="5"/>
  <c r="Q271" i="5"/>
  <c r="O271" i="5"/>
  <c r="M271" i="5"/>
  <c r="K271" i="5"/>
  <c r="I271" i="5"/>
  <c r="G271" i="5"/>
  <c r="E271" i="5"/>
  <c r="C271" i="5"/>
  <c r="AI270" i="5"/>
  <c r="AI269" i="5"/>
  <c r="AI268" i="5"/>
  <c r="S268" i="5"/>
  <c r="S303" i="5" s="1"/>
  <c r="AI267" i="5"/>
  <c r="AI266" i="5"/>
  <c r="AI265" i="5"/>
  <c r="AI264" i="5"/>
  <c r="AI263" i="5"/>
  <c r="AI262" i="5"/>
  <c r="AI261" i="5"/>
  <c r="AI260" i="5"/>
  <c r="S259" i="5"/>
  <c r="S271" i="5" s="1"/>
  <c r="AG250" i="5"/>
  <c r="AF250" i="5"/>
  <c r="AE250" i="5"/>
  <c r="AC250" i="5"/>
  <c r="AA250" i="5"/>
  <c r="Y250" i="5"/>
  <c r="W250" i="5"/>
  <c r="U250" i="5"/>
  <c r="S250" i="5"/>
  <c r="Q250" i="5"/>
  <c r="O250" i="5"/>
  <c r="M250" i="5"/>
  <c r="K250" i="5"/>
  <c r="I250" i="5"/>
  <c r="G250" i="5"/>
  <c r="E250" i="5"/>
  <c r="C250" i="5"/>
  <c r="AQ248" i="5"/>
  <c r="AQ250" i="5" s="1"/>
  <c r="AO248" i="5"/>
  <c r="AO250" i="5" s="1"/>
  <c r="AM248" i="5"/>
  <c r="AM250" i="5" s="1"/>
  <c r="AK248" i="5"/>
  <c r="AK250" i="5" s="1"/>
  <c r="AI248" i="5"/>
  <c r="AI250" i="5" s="1"/>
  <c r="AI244" i="5"/>
  <c r="AG244" i="5"/>
  <c r="AF244" i="5"/>
  <c r="AE244" i="5"/>
  <c r="AC244" i="5"/>
  <c r="AA244" i="5"/>
  <c r="Y244" i="5"/>
  <c r="W244" i="5"/>
  <c r="U244" i="5"/>
  <c r="S244" i="5"/>
  <c r="Q244" i="5"/>
  <c r="O244" i="5"/>
  <c r="M244" i="5"/>
  <c r="K244" i="5"/>
  <c r="I244" i="5"/>
  <c r="G244" i="5"/>
  <c r="E244" i="5"/>
  <c r="C244" i="5"/>
  <c r="AQ242" i="5"/>
  <c r="AQ244" i="5" s="1"/>
  <c r="AO242" i="5"/>
  <c r="AO244" i="5" s="1"/>
  <c r="AM242" i="5"/>
  <c r="AM244" i="5" s="1"/>
  <c r="AK242" i="5"/>
  <c r="AK244" i="5" s="1"/>
  <c r="AU237" i="5"/>
  <c r="AU236" i="5"/>
  <c r="AG235" i="5"/>
  <c r="AF235" i="5"/>
  <c r="AE235" i="5"/>
  <c r="AC235" i="5"/>
  <c r="AA235" i="5"/>
  <c r="Y235" i="5"/>
  <c r="W235" i="5"/>
  <c r="U235" i="5"/>
  <c r="S235" i="5"/>
  <c r="Q235" i="5"/>
  <c r="O235" i="5"/>
  <c r="M235" i="5"/>
  <c r="K235" i="5"/>
  <c r="I235" i="5"/>
  <c r="G235" i="5"/>
  <c r="E235" i="5"/>
  <c r="C235" i="5"/>
  <c r="AQ234" i="5"/>
  <c r="AO234" i="5"/>
  <c r="AM234" i="5"/>
  <c r="AK234" i="5"/>
  <c r="AS234" i="5" s="1"/>
  <c r="AI234" i="5"/>
  <c r="AU234" i="5" s="1"/>
  <c r="AQ233" i="5"/>
  <c r="AO233" i="5"/>
  <c r="AM233" i="5"/>
  <c r="AK233" i="5"/>
  <c r="AS233" i="5" s="1"/>
  <c r="AI233" i="5"/>
  <c r="AQ232" i="5"/>
  <c r="AO232" i="5"/>
  <c r="AM232" i="5"/>
  <c r="AK232" i="5"/>
  <c r="AS232" i="5" s="1"/>
  <c r="AI232" i="5"/>
  <c r="AU232" i="5" s="1"/>
  <c r="AQ231" i="5"/>
  <c r="AO231" i="5"/>
  <c r="AM231" i="5"/>
  <c r="AK231" i="5"/>
  <c r="AS231" i="5" s="1"/>
  <c r="AI231" i="5"/>
  <c r="AQ230" i="5"/>
  <c r="AO230" i="5"/>
  <c r="AM230" i="5"/>
  <c r="AK230" i="5"/>
  <c r="AS230" i="5" s="1"/>
  <c r="AI230" i="5"/>
  <c r="AU230" i="5" s="1"/>
  <c r="AQ229" i="5"/>
  <c r="AO229" i="5"/>
  <c r="AM229" i="5"/>
  <c r="AK229" i="5"/>
  <c r="AS229" i="5" s="1"/>
  <c r="AI229" i="5"/>
  <c r="AQ228" i="5"/>
  <c r="AO228" i="5"/>
  <c r="AM228" i="5"/>
  <c r="AK228" i="5"/>
  <c r="AS228" i="5" s="1"/>
  <c r="AI228" i="5"/>
  <c r="AU228" i="5" s="1"/>
  <c r="AQ227" i="5"/>
  <c r="AO227" i="5"/>
  <c r="AM227" i="5"/>
  <c r="AK227" i="5"/>
  <c r="AS227" i="5" s="1"/>
  <c r="AI227" i="5"/>
  <c r="AQ226" i="5"/>
  <c r="AO226" i="5"/>
  <c r="AM226" i="5"/>
  <c r="AK226" i="5"/>
  <c r="AS226" i="5" s="1"/>
  <c r="AI226" i="5"/>
  <c r="AU226" i="5" s="1"/>
  <c r="AQ225" i="5"/>
  <c r="AO225" i="5"/>
  <c r="AM225" i="5"/>
  <c r="AK225" i="5"/>
  <c r="AS225" i="5" s="1"/>
  <c r="AI225" i="5"/>
  <c r="AQ224" i="5"/>
  <c r="AO224" i="5"/>
  <c r="AM224" i="5"/>
  <c r="AK224" i="5"/>
  <c r="AS224" i="5" s="1"/>
  <c r="AI224" i="5"/>
  <c r="AU224" i="5" s="1"/>
  <c r="AQ223" i="5"/>
  <c r="AO223" i="5"/>
  <c r="AM223" i="5"/>
  <c r="AK223" i="5"/>
  <c r="AS223" i="5" s="1"/>
  <c r="AI223" i="5"/>
  <c r="AQ222" i="5"/>
  <c r="AO222" i="5"/>
  <c r="AM222" i="5"/>
  <c r="AK222" i="5"/>
  <c r="AS222" i="5" s="1"/>
  <c r="AU222" i="5" s="1"/>
  <c r="AI222" i="5"/>
  <c r="AQ221" i="5"/>
  <c r="AQ235" i="5" s="1"/>
  <c r="AO221" i="5"/>
  <c r="AO235" i="5" s="1"/>
  <c r="AM221" i="5"/>
  <c r="AM235" i="5" s="1"/>
  <c r="AK221" i="5"/>
  <c r="AS221" i="5" s="1"/>
  <c r="AS235" i="5" s="1"/>
  <c r="AI221" i="5"/>
  <c r="AI235" i="5" s="1"/>
  <c r="AG218" i="5"/>
  <c r="AF218" i="5"/>
  <c r="AE218" i="5"/>
  <c r="AC218" i="5"/>
  <c r="AA218" i="5"/>
  <c r="Y218" i="5"/>
  <c r="W218" i="5"/>
  <c r="U218" i="5"/>
  <c r="S218" i="5"/>
  <c r="Q218" i="5"/>
  <c r="O218" i="5"/>
  <c r="M218" i="5"/>
  <c r="K218" i="5"/>
  <c r="I218" i="5"/>
  <c r="G218" i="5"/>
  <c r="E218" i="5"/>
  <c r="C218" i="5"/>
  <c r="AQ217" i="5"/>
  <c r="AO217" i="5"/>
  <c r="AM217" i="5"/>
  <c r="AK217" i="5"/>
  <c r="AS217" i="5" s="1"/>
  <c r="AI217" i="5"/>
  <c r="AQ216" i="5"/>
  <c r="AO216" i="5"/>
  <c r="AM216" i="5"/>
  <c r="AK216" i="5"/>
  <c r="AS216" i="5" s="1"/>
  <c r="AI216" i="5"/>
  <c r="AU216" i="5" s="1"/>
  <c r="AQ215" i="5"/>
  <c r="AO215" i="5"/>
  <c r="AM215" i="5"/>
  <c r="AK215" i="5"/>
  <c r="AS215" i="5" s="1"/>
  <c r="AU215" i="5" s="1"/>
  <c r="AI215" i="5"/>
  <c r="AQ214" i="5"/>
  <c r="AO214" i="5"/>
  <c r="AM214" i="5"/>
  <c r="AK214" i="5"/>
  <c r="AS214" i="5" s="1"/>
  <c r="AI214" i="5"/>
  <c r="AU214" i="5" s="1"/>
  <c r="AQ213" i="5"/>
  <c r="AO213" i="5"/>
  <c r="AM213" i="5"/>
  <c r="AK213" i="5"/>
  <c r="AS213" i="5" s="1"/>
  <c r="AI213" i="5"/>
  <c r="AQ212" i="5"/>
  <c r="AO212" i="5"/>
  <c r="AM212" i="5"/>
  <c r="AK212" i="5"/>
  <c r="AS212" i="5" s="1"/>
  <c r="AI212" i="5"/>
  <c r="AU212" i="5" s="1"/>
  <c r="AQ211" i="5"/>
  <c r="AO211" i="5"/>
  <c r="AM211" i="5"/>
  <c r="AK211" i="5"/>
  <c r="AS211" i="5" s="1"/>
  <c r="AU211" i="5" s="1"/>
  <c r="AI211" i="5"/>
  <c r="AQ210" i="5"/>
  <c r="AO210" i="5"/>
  <c r="AM210" i="5"/>
  <c r="AK210" i="5"/>
  <c r="AS210" i="5" s="1"/>
  <c r="AI210" i="5"/>
  <c r="AU210" i="5" s="1"/>
  <c r="AQ209" i="5"/>
  <c r="AO209" i="5"/>
  <c r="AM209" i="5"/>
  <c r="AK209" i="5"/>
  <c r="AS209" i="5" s="1"/>
  <c r="AI209" i="5"/>
  <c r="AQ208" i="5"/>
  <c r="AO208" i="5"/>
  <c r="AM208" i="5"/>
  <c r="AK208" i="5"/>
  <c r="AS208" i="5" s="1"/>
  <c r="AI208" i="5"/>
  <c r="AU208" i="5" s="1"/>
  <c r="AQ207" i="5"/>
  <c r="AQ218" i="5" s="1"/>
  <c r="AO207" i="5"/>
  <c r="AO218" i="5" s="1"/>
  <c r="AM207" i="5"/>
  <c r="AM218" i="5" s="1"/>
  <c r="AK207" i="5"/>
  <c r="AK218" i="5" s="1"/>
  <c r="AI207" i="5"/>
  <c r="AI218" i="5" s="1"/>
  <c r="AG204" i="5"/>
  <c r="AF204" i="5"/>
  <c r="AE204" i="5"/>
  <c r="AC204" i="5"/>
  <c r="AA204" i="5"/>
  <c r="Y204" i="5"/>
  <c r="W204" i="5"/>
  <c r="U204" i="5"/>
  <c r="S204" i="5"/>
  <c r="Q204" i="5"/>
  <c r="O204" i="5"/>
  <c r="M204" i="5"/>
  <c r="K204" i="5"/>
  <c r="I204" i="5"/>
  <c r="G204" i="5"/>
  <c r="E204" i="5"/>
  <c r="C204" i="5"/>
  <c r="AQ203" i="5"/>
  <c r="AO203" i="5"/>
  <c r="AM203" i="5"/>
  <c r="AK203" i="5"/>
  <c r="AS203" i="5" s="1"/>
  <c r="AI203" i="5"/>
  <c r="AQ202" i="5"/>
  <c r="AO202" i="5"/>
  <c r="AM202" i="5"/>
  <c r="AK202" i="5"/>
  <c r="AS202" i="5" s="1"/>
  <c r="AI202" i="5"/>
  <c r="AU202" i="5" s="1"/>
  <c r="AQ201" i="5"/>
  <c r="AO201" i="5"/>
  <c r="AM201" i="5"/>
  <c r="AK201" i="5"/>
  <c r="AS201" i="5" s="1"/>
  <c r="AI201" i="5"/>
  <c r="AQ200" i="5"/>
  <c r="AO200" i="5"/>
  <c r="AM200" i="5"/>
  <c r="AK200" i="5"/>
  <c r="AS200" i="5" s="1"/>
  <c r="AU200" i="5" s="1"/>
  <c r="AI200" i="5"/>
  <c r="AQ199" i="5"/>
  <c r="AO199" i="5"/>
  <c r="AM199" i="5"/>
  <c r="AK199" i="5"/>
  <c r="AS199" i="5" s="1"/>
  <c r="AI199" i="5"/>
  <c r="AQ198" i="5"/>
  <c r="AO198" i="5"/>
  <c r="AM198" i="5"/>
  <c r="AK198" i="5"/>
  <c r="AS198" i="5" s="1"/>
  <c r="AI198" i="5"/>
  <c r="AU198" i="5" s="1"/>
  <c r="AQ197" i="5"/>
  <c r="AO197" i="5"/>
  <c r="AM197" i="5"/>
  <c r="AK197" i="5"/>
  <c r="AS197" i="5" s="1"/>
  <c r="AI197" i="5"/>
  <c r="AQ196" i="5"/>
  <c r="AO196" i="5"/>
  <c r="AM196" i="5"/>
  <c r="AK196" i="5"/>
  <c r="AS196" i="5" s="1"/>
  <c r="AU196" i="5" s="1"/>
  <c r="AI196" i="5"/>
  <c r="AQ195" i="5"/>
  <c r="AO195" i="5"/>
  <c r="AM195" i="5"/>
  <c r="AK195" i="5"/>
  <c r="AS195" i="5" s="1"/>
  <c r="AI195" i="5"/>
  <c r="AQ194" i="5"/>
  <c r="AO194" i="5"/>
  <c r="AM194" i="5"/>
  <c r="AK194" i="5"/>
  <c r="AS194" i="5" s="1"/>
  <c r="AI194" i="5"/>
  <c r="AU194" i="5" s="1"/>
  <c r="AQ193" i="5"/>
  <c r="AQ204" i="5" s="1"/>
  <c r="AO193" i="5"/>
  <c r="AO204" i="5" s="1"/>
  <c r="AM193" i="5"/>
  <c r="AM204" i="5" s="1"/>
  <c r="AK193" i="5"/>
  <c r="AS193" i="5" s="1"/>
  <c r="AS204" i="5" s="1"/>
  <c r="AI193" i="5"/>
  <c r="AI204" i="5" s="1"/>
  <c r="AG190" i="5"/>
  <c r="AF190" i="5"/>
  <c r="AE190" i="5"/>
  <c r="AC190" i="5"/>
  <c r="AA190" i="5"/>
  <c r="Y190" i="5"/>
  <c r="W190" i="5"/>
  <c r="U190" i="5"/>
  <c r="S190" i="5"/>
  <c r="Q190" i="5"/>
  <c r="O190" i="5"/>
  <c r="M190" i="5"/>
  <c r="K190" i="5"/>
  <c r="I190" i="5"/>
  <c r="G190" i="5"/>
  <c r="E190" i="5"/>
  <c r="C190" i="5"/>
  <c r="AQ189" i="5"/>
  <c r="AO189" i="5"/>
  <c r="AM189" i="5"/>
  <c r="AK189" i="5"/>
  <c r="AS189" i="5" s="1"/>
  <c r="AU189" i="5" s="1"/>
  <c r="AI189" i="5"/>
  <c r="AQ188" i="5"/>
  <c r="AO188" i="5"/>
  <c r="AM188" i="5"/>
  <c r="AK188" i="5"/>
  <c r="AS188" i="5" s="1"/>
  <c r="AI188" i="5"/>
  <c r="AU188" i="5" s="1"/>
  <c r="AQ187" i="5"/>
  <c r="AO187" i="5"/>
  <c r="AM187" i="5"/>
  <c r="AK187" i="5"/>
  <c r="AS187" i="5" s="1"/>
  <c r="AI187" i="5"/>
  <c r="AQ186" i="5"/>
  <c r="AQ190" i="5" s="1"/>
  <c r="AO186" i="5"/>
  <c r="AO190" i="5" s="1"/>
  <c r="AM186" i="5"/>
  <c r="AM190" i="5" s="1"/>
  <c r="AK186" i="5"/>
  <c r="AS186" i="5" s="1"/>
  <c r="AI186" i="5"/>
  <c r="AI190" i="5" s="1"/>
  <c r="AG183" i="5"/>
  <c r="AF183" i="5"/>
  <c r="AE183" i="5"/>
  <c r="AC183" i="5"/>
  <c r="AA183" i="5"/>
  <c r="Y183" i="5"/>
  <c r="W183" i="5"/>
  <c r="U183" i="5"/>
  <c r="S183" i="5"/>
  <c r="Q183" i="5"/>
  <c r="O183" i="5"/>
  <c r="M183" i="5"/>
  <c r="K183" i="5"/>
  <c r="I183" i="5"/>
  <c r="G183" i="5"/>
  <c r="E183" i="5"/>
  <c r="C183" i="5"/>
  <c r="AQ182" i="5"/>
  <c r="AO182" i="5"/>
  <c r="AM182" i="5"/>
  <c r="AK182" i="5"/>
  <c r="AS182" i="5" s="1"/>
  <c r="AU182" i="5" s="1"/>
  <c r="AI182" i="5"/>
  <c r="AQ181" i="5"/>
  <c r="AO181" i="5"/>
  <c r="AM181" i="5"/>
  <c r="AK181" i="5"/>
  <c r="AS181" i="5" s="1"/>
  <c r="AI181" i="5"/>
  <c r="AQ180" i="5"/>
  <c r="AO180" i="5"/>
  <c r="AM180" i="5"/>
  <c r="AK180" i="5"/>
  <c r="AS180" i="5" s="1"/>
  <c r="AI180" i="5"/>
  <c r="AU180" i="5" s="1"/>
  <c r="AQ179" i="5"/>
  <c r="AO179" i="5"/>
  <c r="AM179" i="5"/>
  <c r="AK179" i="5"/>
  <c r="AS179" i="5" s="1"/>
  <c r="AI179" i="5"/>
  <c r="AQ178" i="5"/>
  <c r="AO178" i="5"/>
  <c r="AM178" i="5"/>
  <c r="AK178" i="5"/>
  <c r="AS178" i="5" s="1"/>
  <c r="AU178" i="5" s="1"/>
  <c r="AI178" i="5"/>
  <c r="AQ177" i="5"/>
  <c r="AO177" i="5"/>
  <c r="AM177" i="5"/>
  <c r="AK177" i="5"/>
  <c r="AS177" i="5" s="1"/>
  <c r="AI177" i="5"/>
  <c r="AQ176" i="5"/>
  <c r="AO176" i="5"/>
  <c r="AM176" i="5"/>
  <c r="AK176" i="5"/>
  <c r="AS176" i="5" s="1"/>
  <c r="AI176" i="5"/>
  <c r="AU176" i="5" s="1"/>
  <c r="AQ175" i="5"/>
  <c r="AQ183" i="5" s="1"/>
  <c r="AO175" i="5"/>
  <c r="AO183" i="5" s="1"/>
  <c r="AM175" i="5"/>
  <c r="AM183" i="5" s="1"/>
  <c r="AK175" i="5"/>
  <c r="AS175" i="5" s="1"/>
  <c r="AI175" i="5"/>
  <c r="AI183" i="5" s="1"/>
  <c r="AG172" i="5"/>
  <c r="AF172" i="5"/>
  <c r="AE172" i="5"/>
  <c r="AC172" i="5"/>
  <c r="AA172" i="5"/>
  <c r="Y172" i="5"/>
  <c r="W172" i="5"/>
  <c r="U172" i="5"/>
  <c r="S172" i="5"/>
  <c r="Q172" i="5"/>
  <c r="O172" i="5"/>
  <c r="M172" i="5"/>
  <c r="K172" i="5"/>
  <c r="I172" i="5"/>
  <c r="G172" i="5"/>
  <c r="E172" i="5"/>
  <c r="C172" i="5"/>
  <c r="AQ171" i="5"/>
  <c r="AO171" i="5"/>
  <c r="AM171" i="5"/>
  <c r="AK171" i="5"/>
  <c r="AS171" i="5" s="1"/>
  <c r="AU171" i="5" s="1"/>
  <c r="AI171" i="5"/>
  <c r="AQ170" i="5"/>
  <c r="AO170" i="5"/>
  <c r="AM170" i="5"/>
  <c r="AK170" i="5"/>
  <c r="AS170" i="5" s="1"/>
  <c r="AI170" i="5"/>
  <c r="AU170" i="5" s="1"/>
  <c r="AQ169" i="5"/>
  <c r="AO169" i="5"/>
  <c r="AM169" i="5"/>
  <c r="AK169" i="5"/>
  <c r="AS169" i="5" s="1"/>
  <c r="AI169" i="5"/>
  <c r="AQ168" i="5"/>
  <c r="AO168" i="5"/>
  <c r="AM168" i="5"/>
  <c r="AK168" i="5"/>
  <c r="AS168" i="5" s="1"/>
  <c r="AI168" i="5"/>
  <c r="AU168" i="5" s="1"/>
  <c r="AQ167" i="5"/>
  <c r="AO167" i="5"/>
  <c r="AM167" i="5"/>
  <c r="AK167" i="5"/>
  <c r="AS167" i="5" s="1"/>
  <c r="AU167" i="5" s="1"/>
  <c r="AI167" i="5"/>
  <c r="AQ166" i="5"/>
  <c r="AO166" i="5"/>
  <c r="AM166" i="5"/>
  <c r="AK166" i="5"/>
  <c r="AS166" i="5" s="1"/>
  <c r="AI166" i="5"/>
  <c r="AU166" i="5" s="1"/>
  <c r="AQ165" i="5"/>
  <c r="AO165" i="5"/>
  <c r="AM165" i="5"/>
  <c r="AK165" i="5"/>
  <c r="AS165" i="5" s="1"/>
  <c r="AI165" i="5"/>
  <c r="AQ164" i="5"/>
  <c r="AO164" i="5"/>
  <c r="AM164" i="5"/>
  <c r="AK164" i="5"/>
  <c r="AS164" i="5" s="1"/>
  <c r="AI164" i="5"/>
  <c r="AU164" i="5" s="1"/>
  <c r="AQ163" i="5"/>
  <c r="AO163" i="5"/>
  <c r="AM163" i="5"/>
  <c r="AK163" i="5"/>
  <c r="AS163" i="5" s="1"/>
  <c r="AU163" i="5" s="1"/>
  <c r="AI163" i="5"/>
  <c r="AQ162" i="5"/>
  <c r="AO162" i="5"/>
  <c r="AM162" i="5"/>
  <c r="AK162" i="5"/>
  <c r="AS162" i="5" s="1"/>
  <c r="AI162" i="5"/>
  <c r="AU162" i="5" s="1"/>
  <c r="AQ161" i="5"/>
  <c r="AO161" i="5"/>
  <c r="AM161" i="5"/>
  <c r="AK161" i="5"/>
  <c r="AS161" i="5" s="1"/>
  <c r="AI161" i="5"/>
  <c r="AQ160" i="5"/>
  <c r="AO160" i="5"/>
  <c r="AM160" i="5"/>
  <c r="AK160" i="5"/>
  <c r="AS160" i="5" s="1"/>
  <c r="AI160" i="5"/>
  <c r="AU160" i="5" s="1"/>
  <c r="AQ159" i="5"/>
  <c r="AO159" i="5"/>
  <c r="AM159" i="5"/>
  <c r="AK159" i="5"/>
  <c r="AS159" i="5" s="1"/>
  <c r="AU159" i="5" s="1"/>
  <c r="AI159" i="5"/>
  <c r="AQ158" i="5"/>
  <c r="AO158" i="5"/>
  <c r="AM158" i="5"/>
  <c r="AK158" i="5"/>
  <c r="AS158" i="5" s="1"/>
  <c r="AI158" i="5"/>
  <c r="AU158" i="5" s="1"/>
  <c r="AQ157" i="5"/>
  <c r="AO157" i="5"/>
  <c r="AM157" i="5"/>
  <c r="AK157" i="5"/>
  <c r="AS157" i="5" s="1"/>
  <c r="AI157" i="5"/>
  <c r="AQ156" i="5"/>
  <c r="AO156" i="5"/>
  <c r="AM156" i="5"/>
  <c r="AK156" i="5"/>
  <c r="AS156" i="5" s="1"/>
  <c r="AI156" i="5"/>
  <c r="AU156" i="5" s="1"/>
  <c r="AQ155" i="5"/>
  <c r="AQ172" i="5" s="1"/>
  <c r="AO155" i="5"/>
  <c r="AO172" i="5" s="1"/>
  <c r="AM155" i="5"/>
  <c r="AM172" i="5" s="1"/>
  <c r="AK155" i="5"/>
  <c r="AK172" i="5" s="1"/>
  <c r="AI155" i="5"/>
  <c r="AI172" i="5" s="1"/>
  <c r="AG152" i="5"/>
  <c r="AG238" i="5" s="1"/>
  <c r="AF152" i="5"/>
  <c r="AF238" i="5" s="1"/>
  <c r="AE152" i="5"/>
  <c r="AE238" i="5" s="1"/>
  <c r="AC152" i="5"/>
  <c r="AC238" i="5" s="1"/>
  <c r="AA152" i="5"/>
  <c r="AA238" i="5" s="1"/>
  <c r="Y152" i="5"/>
  <c r="Y238" i="5" s="1"/>
  <c r="W152" i="5"/>
  <c r="W238" i="5" s="1"/>
  <c r="U152" i="5"/>
  <c r="U238" i="5" s="1"/>
  <c r="S152" i="5"/>
  <c r="S238" i="5" s="1"/>
  <c r="Q152" i="5"/>
  <c r="Q238" i="5" s="1"/>
  <c r="O152" i="5"/>
  <c r="O238" i="5" s="1"/>
  <c r="M152" i="5"/>
  <c r="M238" i="5" s="1"/>
  <c r="K152" i="5"/>
  <c r="K238" i="5" s="1"/>
  <c r="I152" i="5"/>
  <c r="I238" i="5" s="1"/>
  <c r="G152" i="5"/>
  <c r="G238" i="5" s="1"/>
  <c r="E152" i="5"/>
  <c r="E238" i="5" s="1"/>
  <c r="C152" i="5"/>
  <c r="C238" i="5" s="1"/>
  <c r="AQ151" i="5"/>
  <c r="AO151" i="5"/>
  <c r="AM151" i="5"/>
  <c r="AK151" i="5"/>
  <c r="AS151" i="5" s="1"/>
  <c r="AI151" i="5"/>
  <c r="AQ150" i="5"/>
  <c r="AO150" i="5"/>
  <c r="AM150" i="5"/>
  <c r="AK150" i="5"/>
  <c r="AS150" i="5" s="1"/>
  <c r="AI150" i="5"/>
  <c r="AU150" i="5" s="1"/>
  <c r="AQ149" i="5"/>
  <c r="AO149" i="5"/>
  <c r="AM149" i="5"/>
  <c r="AK149" i="5"/>
  <c r="AS149" i="5" s="1"/>
  <c r="AI149" i="5"/>
  <c r="AQ148" i="5"/>
  <c r="AO148" i="5"/>
  <c r="AM148" i="5"/>
  <c r="AK148" i="5"/>
  <c r="AS148" i="5" s="1"/>
  <c r="AU148" i="5" s="1"/>
  <c r="AI148" i="5"/>
  <c r="AQ147" i="5"/>
  <c r="AO147" i="5"/>
  <c r="AM147" i="5"/>
  <c r="AK147" i="5"/>
  <c r="AS147" i="5" s="1"/>
  <c r="AI147" i="5"/>
  <c r="AQ146" i="5"/>
  <c r="AO146" i="5"/>
  <c r="AM146" i="5"/>
  <c r="AK146" i="5"/>
  <c r="AS146" i="5" s="1"/>
  <c r="AI146" i="5"/>
  <c r="AU146" i="5" s="1"/>
  <c r="AQ145" i="5"/>
  <c r="AO145" i="5"/>
  <c r="AM145" i="5"/>
  <c r="AK145" i="5"/>
  <c r="AS145" i="5" s="1"/>
  <c r="AI145" i="5"/>
  <c r="AQ144" i="5"/>
  <c r="AO144" i="5"/>
  <c r="AM144" i="5"/>
  <c r="AK144" i="5"/>
  <c r="AS144" i="5" s="1"/>
  <c r="AU144" i="5" s="1"/>
  <c r="AI144" i="5"/>
  <c r="AQ143" i="5"/>
  <c r="AO143" i="5"/>
  <c r="AM143" i="5"/>
  <c r="AK143" i="5"/>
  <c r="AS143" i="5" s="1"/>
  <c r="AI143" i="5"/>
  <c r="AQ142" i="5"/>
  <c r="AO142" i="5"/>
  <c r="AM142" i="5"/>
  <c r="AK142" i="5"/>
  <c r="AS142" i="5" s="1"/>
  <c r="AI142" i="5"/>
  <c r="AU142" i="5" s="1"/>
  <c r="AQ141" i="5"/>
  <c r="AO141" i="5"/>
  <c r="AM141" i="5"/>
  <c r="AK141" i="5"/>
  <c r="AS141" i="5" s="1"/>
  <c r="AI141" i="5"/>
  <c r="AQ140" i="5"/>
  <c r="AO140" i="5"/>
  <c r="AM140" i="5"/>
  <c r="AK140" i="5"/>
  <c r="AS140" i="5" s="1"/>
  <c r="AU140" i="5" s="1"/>
  <c r="AI140" i="5"/>
  <c r="AQ139" i="5"/>
  <c r="AO139" i="5"/>
  <c r="AM139" i="5"/>
  <c r="AK139" i="5"/>
  <c r="AS139" i="5" s="1"/>
  <c r="AI139" i="5"/>
  <c r="AQ138" i="5"/>
  <c r="AO138" i="5"/>
  <c r="AM138" i="5"/>
  <c r="AK138" i="5"/>
  <c r="AS138" i="5" s="1"/>
  <c r="AI138" i="5"/>
  <c r="AU138" i="5" s="1"/>
  <c r="AQ137" i="5"/>
  <c r="AQ152" i="5" s="1"/>
  <c r="AQ238" i="5" s="1"/>
  <c r="AO137" i="5"/>
  <c r="AO152" i="5" s="1"/>
  <c r="AO238" i="5" s="1"/>
  <c r="AM137" i="5"/>
  <c r="AM152" i="5" s="1"/>
  <c r="AM238" i="5" s="1"/>
  <c r="AK137" i="5"/>
  <c r="AS137" i="5" s="1"/>
  <c r="AS152" i="5" s="1"/>
  <c r="AI137" i="5"/>
  <c r="AI152" i="5" s="1"/>
  <c r="AG132" i="5"/>
  <c r="AF132" i="5"/>
  <c r="AE132" i="5"/>
  <c r="AC132" i="5"/>
  <c r="AA132" i="5"/>
  <c r="Y132" i="5"/>
  <c r="W132" i="5"/>
  <c r="U132" i="5"/>
  <c r="S132" i="5"/>
  <c r="Q132" i="5"/>
  <c r="O132" i="5"/>
  <c r="M132" i="5"/>
  <c r="K132" i="5"/>
  <c r="I132" i="5"/>
  <c r="G132" i="5"/>
  <c r="E132" i="5"/>
  <c r="C132" i="5"/>
  <c r="K130" i="5"/>
  <c r="AQ129" i="5"/>
  <c r="AO129" i="5"/>
  <c r="AM129" i="5"/>
  <c r="AK129" i="5"/>
  <c r="AS129" i="5" s="1"/>
  <c r="AI129" i="5"/>
  <c r="AU129" i="5" s="1"/>
  <c r="AQ128" i="5"/>
  <c r="AQ132" i="5" s="1"/>
  <c r="AO128" i="5"/>
  <c r="AO132" i="5" s="1"/>
  <c r="AM128" i="5"/>
  <c r="AM132" i="5" s="1"/>
  <c r="AK128" i="5"/>
  <c r="AS128" i="5" s="1"/>
  <c r="AS132" i="5" s="1"/>
  <c r="AI128" i="5"/>
  <c r="AI132" i="5" s="1"/>
  <c r="AG124" i="5"/>
  <c r="AF124" i="5"/>
  <c r="AE124" i="5"/>
  <c r="AC124" i="5"/>
  <c r="AA124" i="5"/>
  <c r="Y124" i="5"/>
  <c r="W124" i="5"/>
  <c r="U124" i="5"/>
  <c r="S124" i="5"/>
  <c r="Q124" i="5"/>
  <c r="O124" i="5"/>
  <c r="M124" i="5"/>
  <c r="K124" i="5"/>
  <c r="I124" i="5"/>
  <c r="G124" i="5"/>
  <c r="E124" i="5"/>
  <c r="C124" i="5"/>
  <c r="AU123" i="5"/>
  <c r="AQ122" i="5"/>
  <c r="AO122" i="5"/>
  <c r="AM122" i="5"/>
  <c r="AK122" i="5"/>
  <c r="AS122" i="5" s="1"/>
  <c r="AI122" i="5"/>
  <c r="AU122" i="5" s="1"/>
  <c r="AQ121" i="5"/>
  <c r="AQ124" i="5" s="1"/>
  <c r="AO121" i="5"/>
  <c r="AO124" i="5" s="1"/>
  <c r="AM121" i="5"/>
  <c r="AM124" i="5" s="1"/>
  <c r="AK121" i="5"/>
  <c r="AK124" i="5" s="1"/>
  <c r="AI121" i="5"/>
  <c r="AI124" i="5" s="1"/>
  <c r="AG115" i="5"/>
  <c r="AF115" i="5"/>
  <c r="AE115" i="5"/>
  <c r="AC115" i="5"/>
  <c r="AA115" i="5"/>
  <c r="Y115" i="5"/>
  <c r="W115" i="5"/>
  <c r="U115" i="5"/>
  <c r="Q115" i="5"/>
  <c r="O115" i="5"/>
  <c r="M115" i="5"/>
  <c r="K115" i="5"/>
  <c r="I115" i="5"/>
  <c r="G115" i="5"/>
  <c r="C115" i="5"/>
  <c r="AQ114" i="5"/>
  <c r="AO114" i="5"/>
  <c r="AM114" i="5"/>
  <c r="AK114" i="5"/>
  <c r="AS114" i="5" s="1"/>
  <c r="AI114" i="5"/>
  <c r="AQ113" i="5"/>
  <c r="AO113" i="5"/>
  <c r="AM113" i="5"/>
  <c r="AK113" i="5"/>
  <c r="AS113" i="5" s="1"/>
  <c r="AI113" i="5"/>
  <c r="AQ112" i="5"/>
  <c r="AM112" i="5"/>
  <c r="AK112" i="5"/>
  <c r="S112" i="5"/>
  <c r="AI112" i="5" s="1"/>
  <c r="AQ111" i="5"/>
  <c r="AO111" i="5"/>
  <c r="AM111" i="5"/>
  <c r="AK111" i="5"/>
  <c r="AS111" i="5" s="1"/>
  <c r="AI111" i="5"/>
  <c r="AQ110" i="5"/>
  <c r="AO110" i="5"/>
  <c r="AM110" i="5"/>
  <c r="AK110" i="5"/>
  <c r="AS110" i="5" s="1"/>
  <c r="AU110" i="5" s="1"/>
  <c r="AI110" i="5"/>
  <c r="AQ109" i="5"/>
  <c r="AM109" i="5"/>
  <c r="AK109" i="5"/>
  <c r="AI109" i="5"/>
  <c r="S109" i="5"/>
  <c r="AO109" i="5" s="1"/>
  <c r="AQ108" i="5"/>
  <c r="AO108" i="5"/>
  <c r="AM108" i="5"/>
  <c r="AK108" i="5"/>
  <c r="AS108" i="5" s="1"/>
  <c r="AI108" i="5"/>
  <c r="AQ107" i="5"/>
  <c r="AO107" i="5"/>
  <c r="AM107" i="5"/>
  <c r="AK107" i="5"/>
  <c r="AS107" i="5" s="1"/>
  <c r="AI107" i="5"/>
  <c r="AQ106" i="5"/>
  <c r="AO106" i="5"/>
  <c r="AM106" i="5"/>
  <c r="AK106" i="5"/>
  <c r="AS106" i="5" s="1"/>
  <c r="AI106" i="5"/>
  <c r="AU106" i="5" s="1"/>
  <c r="AQ105" i="5"/>
  <c r="AM105" i="5"/>
  <c r="AK105" i="5"/>
  <c r="S105" i="5"/>
  <c r="S115" i="5" s="1"/>
  <c r="AQ104" i="5"/>
  <c r="AO104" i="5"/>
  <c r="AM104" i="5"/>
  <c r="AK104" i="5"/>
  <c r="AS104" i="5" s="1"/>
  <c r="AU104" i="5" s="1"/>
  <c r="AI104" i="5"/>
  <c r="AQ103" i="5"/>
  <c r="AO103" i="5"/>
  <c r="AM103" i="5"/>
  <c r="AK103" i="5"/>
  <c r="AS103" i="5" s="1"/>
  <c r="AI103" i="5"/>
  <c r="AQ102" i="5"/>
  <c r="AO102" i="5"/>
  <c r="AM102" i="5"/>
  <c r="AK102" i="5"/>
  <c r="AS102" i="5" s="1"/>
  <c r="AI102" i="5"/>
  <c r="AQ101" i="5"/>
  <c r="AQ115" i="5" s="1"/>
  <c r="AM101" i="5"/>
  <c r="AM115" i="5" s="1"/>
  <c r="AK101" i="5"/>
  <c r="E101" i="5"/>
  <c r="AI101" i="5" s="1"/>
  <c r="AG98" i="5"/>
  <c r="AF98" i="5"/>
  <c r="AC98" i="5"/>
  <c r="AA98" i="5"/>
  <c r="Y98" i="5"/>
  <c r="W98" i="5"/>
  <c r="U98" i="5"/>
  <c r="S98" i="5"/>
  <c r="Q98" i="5"/>
  <c r="O98" i="5"/>
  <c r="K98" i="5"/>
  <c r="I98" i="5"/>
  <c r="G98" i="5"/>
  <c r="E98" i="5"/>
  <c r="C98" i="5"/>
  <c r="AQ97" i="5"/>
  <c r="AO97" i="5"/>
  <c r="AM97" i="5"/>
  <c r="AK97" i="5"/>
  <c r="AS97" i="5" s="1"/>
  <c r="Y97" i="5"/>
  <c r="AI97" i="5" s="1"/>
  <c r="AQ96" i="5"/>
  <c r="AO96" i="5"/>
  <c r="AM96" i="5"/>
  <c r="AK96" i="5"/>
  <c r="AS96" i="5" s="1"/>
  <c r="AE96" i="5"/>
  <c r="AE98" i="5" s="1"/>
  <c r="AQ95" i="5"/>
  <c r="AO95" i="5"/>
  <c r="AM95" i="5"/>
  <c r="AK95" i="5"/>
  <c r="AS95" i="5" s="1"/>
  <c r="AU95" i="5" s="1"/>
  <c r="AI95" i="5"/>
  <c r="AQ94" i="5"/>
  <c r="AO94" i="5"/>
  <c r="AM94" i="5"/>
  <c r="AK94" i="5"/>
  <c r="AS94" i="5" s="1"/>
  <c r="AI94" i="5"/>
  <c r="AQ93" i="5"/>
  <c r="AO93" i="5"/>
  <c r="AM93" i="5"/>
  <c r="AK93" i="5"/>
  <c r="AS93" i="5" s="1"/>
  <c r="AI93" i="5"/>
  <c r="AU93" i="5" s="1"/>
  <c r="AQ92" i="5"/>
  <c r="AO92" i="5"/>
  <c r="AM92" i="5"/>
  <c r="AK92" i="5"/>
  <c r="AS92" i="5" s="1"/>
  <c r="AI92" i="5"/>
  <c r="AU92" i="5" s="1"/>
  <c r="AQ91" i="5"/>
  <c r="AO91" i="5"/>
  <c r="AM91" i="5"/>
  <c r="AK91" i="5"/>
  <c r="AS91" i="5" s="1"/>
  <c r="AU91" i="5" s="1"/>
  <c r="AI91" i="5"/>
  <c r="AQ90" i="5"/>
  <c r="AO90" i="5"/>
  <c r="AM90" i="5"/>
  <c r="AK90" i="5"/>
  <c r="AS90" i="5" s="1"/>
  <c r="AI90" i="5"/>
  <c r="AQ89" i="5"/>
  <c r="AM89" i="5"/>
  <c r="AK89" i="5"/>
  <c r="AI89" i="5"/>
  <c r="M89" i="5"/>
  <c r="M98" i="5" s="1"/>
  <c r="AQ88" i="5"/>
  <c r="AO88" i="5"/>
  <c r="AM88" i="5"/>
  <c r="AK88" i="5"/>
  <c r="AS88" i="5" s="1"/>
  <c r="AI88" i="5"/>
  <c r="AU88" i="5" s="1"/>
  <c r="AQ87" i="5"/>
  <c r="AO87" i="5"/>
  <c r="AM87" i="5"/>
  <c r="AK87" i="5"/>
  <c r="AS87" i="5" s="1"/>
  <c r="AI87" i="5"/>
  <c r="AQ86" i="5"/>
  <c r="AQ98" i="5" s="1"/>
  <c r="AO86" i="5"/>
  <c r="AM86" i="5"/>
  <c r="AM98" i="5" s="1"/>
  <c r="AK86" i="5"/>
  <c r="AK98" i="5" s="1"/>
  <c r="AI86" i="5"/>
  <c r="AG83" i="5"/>
  <c r="AF83" i="5"/>
  <c r="AE83" i="5"/>
  <c r="AC83" i="5"/>
  <c r="AA83" i="5"/>
  <c r="Y83" i="5"/>
  <c r="W83" i="5"/>
  <c r="U83" i="5"/>
  <c r="S83" i="5"/>
  <c r="Q83" i="5"/>
  <c r="O83" i="5"/>
  <c r="M83" i="5"/>
  <c r="K83" i="5"/>
  <c r="I83" i="5"/>
  <c r="G83" i="5"/>
  <c r="E83" i="5"/>
  <c r="C83" i="5"/>
  <c r="AQ82" i="5"/>
  <c r="AO82" i="5"/>
  <c r="AM82" i="5"/>
  <c r="AK82" i="5"/>
  <c r="AS82" i="5" s="1"/>
  <c r="AI82" i="5"/>
  <c r="AU82" i="5" s="1"/>
  <c r="AQ81" i="5"/>
  <c r="AO81" i="5"/>
  <c r="AM81" i="5"/>
  <c r="AK81" i="5"/>
  <c r="AS81" i="5" s="1"/>
  <c r="AI81" i="5"/>
  <c r="AQ80" i="5"/>
  <c r="AO80" i="5"/>
  <c r="AM80" i="5"/>
  <c r="AK80" i="5"/>
  <c r="AS80" i="5" s="1"/>
  <c r="AI80" i="5"/>
  <c r="AQ79" i="5"/>
  <c r="AO79" i="5"/>
  <c r="AM79" i="5"/>
  <c r="AK79" i="5"/>
  <c r="AS79" i="5" s="1"/>
  <c r="AU79" i="5" s="1"/>
  <c r="AI79" i="5"/>
  <c r="AQ78" i="5"/>
  <c r="AO78" i="5"/>
  <c r="AM78" i="5"/>
  <c r="AK78" i="5"/>
  <c r="AS78" i="5" s="1"/>
  <c r="AI78" i="5"/>
  <c r="AU78" i="5" s="1"/>
  <c r="AQ77" i="5"/>
  <c r="AO77" i="5"/>
  <c r="AM77" i="5"/>
  <c r="AK77" i="5"/>
  <c r="AS77" i="5" s="1"/>
  <c r="AI77" i="5"/>
  <c r="AQ76" i="5"/>
  <c r="AO76" i="5"/>
  <c r="AM76" i="5"/>
  <c r="AK76" i="5"/>
  <c r="AS76" i="5" s="1"/>
  <c r="AI76" i="5"/>
  <c r="AQ75" i="5"/>
  <c r="AO75" i="5"/>
  <c r="AM75" i="5"/>
  <c r="AK75" i="5"/>
  <c r="AS75" i="5" s="1"/>
  <c r="AU75" i="5" s="1"/>
  <c r="AI75" i="5"/>
  <c r="AQ74" i="5"/>
  <c r="AO74" i="5"/>
  <c r="AM74" i="5"/>
  <c r="AK74" i="5"/>
  <c r="AS74" i="5" s="1"/>
  <c r="AI74" i="5"/>
  <c r="AU74" i="5" s="1"/>
  <c r="AQ73" i="5"/>
  <c r="AO73" i="5"/>
  <c r="AM73" i="5"/>
  <c r="AK73" i="5"/>
  <c r="AS73" i="5" s="1"/>
  <c r="AI73" i="5"/>
  <c r="AQ72" i="5"/>
  <c r="AQ83" i="5" s="1"/>
  <c r="AO72" i="5"/>
  <c r="AO83" i="5" s="1"/>
  <c r="AM72" i="5"/>
  <c r="AM83" i="5" s="1"/>
  <c r="AK72" i="5"/>
  <c r="AS72" i="5" s="1"/>
  <c r="AI72" i="5"/>
  <c r="AI83" i="5" s="1"/>
  <c r="AG69" i="5"/>
  <c r="AF69" i="5"/>
  <c r="AE69" i="5"/>
  <c r="AC69" i="5"/>
  <c r="AA69" i="5"/>
  <c r="Y69" i="5"/>
  <c r="W69" i="5"/>
  <c r="U69" i="5"/>
  <c r="S69" i="5"/>
  <c r="Q69" i="5"/>
  <c r="O69" i="5"/>
  <c r="M69" i="5"/>
  <c r="K69" i="5"/>
  <c r="I69" i="5"/>
  <c r="G69" i="5"/>
  <c r="E69" i="5"/>
  <c r="C69" i="5"/>
  <c r="AQ68" i="5"/>
  <c r="AO68" i="5"/>
  <c r="AM68" i="5"/>
  <c r="AK68" i="5"/>
  <c r="AS68" i="5" s="1"/>
  <c r="AU68" i="5" s="1"/>
  <c r="AI68" i="5"/>
  <c r="AQ67" i="5"/>
  <c r="AO67" i="5"/>
  <c r="AM67" i="5"/>
  <c r="AK67" i="5"/>
  <c r="AS67" i="5" s="1"/>
  <c r="AI67" i="5"/>
  <c r="AQ66" i="5"/>
  <c r="AO66" i="5"/>
  <c r="AM66" i="5"/>
  <c r="AK66" i="5"/>
  <c r="AS66" i="5" s="1"/>
  <c r="AI66" i="5"/>
  <c r="AQ65" i="5"/>
  <c r="AQ69" i="5" s="1"/>
  <c r="AO65" i="5"/>
  <c r="AO69" i="5" s="1"/>
  <c r="AM65" i="5"/>
  <c r="AM69" i="5" s="1"/>
  <c r="AK65" i="5"/>
  <c r="AS65" i="5" s="1"/>
  <c r="AI65" i="5"/>
  <c r="AI69" i="5" s="1"/>
  <c r="AG62" i="5"/>
  <c r="AF62" i="5"/>
  <c r="AE62" i="5"/>
  <c r="AC62" i="5"/>
  <c r="AA62" i="5"/>
  <c r="Y62" i="5"/>
  <c r="W62" i="5"/>
  <c r="U62" i="5"/>
  <c r="S62" i="5"/>
  <c r="Q62" i="5"/>
  <c r="O62" i="5"/>
  <c r="M62" i="5"/>
  <c r="K62" i="5"/>
  <c r="I62" i="5"/>
  <c r="G62" i="5"/>
  <c r="E62" i="5"/>
  <c r="C62" i="5"/>
  <c r="AQ61" i="5"/>
  <c r="AO61" i="5"/>
  <c r="AM61" i="5"/>
  <c r="AK61" i="5"/>
  <c r="AS61" i="5" s="1"/>
  <c r="AU61" i="5" s="1"/>
  <c r="AI61" i="5"/>
  <c r="AQ60" i="5"/>
  <c r="AO60" i="5"/>
  <c r="AM60" i="5"/>
  <c r="AK60" i="5"/>
  <c r="AS60" i="5" s="1"/>
  <c r="AI60" i="5"/>
  <c r="AQ59" i="5"/>
  <c r="AO59" i="5"/>
  <c r="AM59" i="5"/>
  <c r="AK59" i="5"/>
  <c r="AS59" i="5" s="1"/>
  <c r="AI59" i="5"/>
  <c r="AU59" i="5" s="1"/>
  <c r="AQ58" i="5"/>
  <c r="AO58" i="5"/>
  <c r="AM58" i="5"/>
  <c r="AK58" i="5"/>
  <c r="AS58" i="5" s="1"/>
  <c r="AI58" i="5"/>
  <c r="AU58" i="5" s="1"/>
  <c r="AQ57" i="5"/>
  <c r="AO57" i="5"/>
  <c r="AM57" i="5"/>
  <c r="AK57" i="5"/>
  <c r="AS57" i="5" s="1"/>
  <c r="AU57" i="5" s="1"/>
  <c r="AI57" i="5"/>
  <c r="AQ56" i="5"/>
  <c r="AO56" i="5"/>
  <c r="AM56" i="5"/>
  <c r="AK56" i="5"/>
  <c r="AS56" i="5" s="1"/>
  <c r="AI56" i="5"/>
  <c r="AQ55" i="5"/>
  <c r="AO55" i="5"/>
  <c r="AM55" i="5"/>
  <c r="AK55" i="5"/>
  <c r="AS55" i="5" s="1"/>
  <c r="AI55" i="5"/>
  <c r="AU55" i="5" s="1"/>
  <c r="AQ54" i="5"/>
  <c r="AQ62" i="5" s="1"/>
  <c r="AO54" i="5"/>
  <c r="AO62" i="5" s="1"/>
  <c r="AM54" i="5"/>
  <c r="AM62" i="5" s="1"/>
  <c r="AK54" i="5"/>
  <c r="AS54" i="5" s="1"/>
  <c r="AI54" i="5"/>
  <c r="AI62" i="5" s="1"/>
  <c r="AG51" i="5"/>
  <c r="AF51" i="5"/>
  <c r="AE51" i="5"/>
  <c r="AC51" i="5"/>
  <c r="AA51" i="5"/>
  <c r="Y51" i="5"/>
  <c r="W51" i="5"/>
  <c r="U51" i="5"/>
  <c r="S51" i="5"/>
  <c r="Q51" i="5"/>
  <c r="O51" i="5"/>
  <c r="M51" i="5"/>
  <c r="K51" i="5"/>
  <c r="I51" i="5"/>
  <c r="G51" i="5"/>
  <c r="E51" i="5"/>
  <c r="C51" i="5"/>
  <c r="AQ50" i="5"/>
  <c r="AO50" i="5"/>
  <c r="AM50" i="5"/>
  <c r="AK50" i="5"/>
  <c r="AS50" i="5" s="1"/>
  <c r="AU50" i="5" s="1"/>
  <c r="AI50" i="5"/>
  <c r="AQ49" i="5"/>
  <c r="AO49" i="5"/>
  <c r="AM49" i="5"/>
  <c r="AK49" i="5"/>
  <c r="AS49" i="5" s="1"/>
  <c r="AI49" i="5"/>
  <c r="AU49" i="5" s="1"/>
  <c r="AQ48" i="5"/>
  <c r="AO48" i="5"/>
  <c r="AM48" i="5"/>
  <c r="AK48" i="5"/>
  <c r="AS48" i="5" s="1"/>
  <c r="AI48" i="5"/>
  <c r="AU48" i="5" s="1"/>
  <c r="AQ47" i="5"/>
  <c r="AO47" i="5"/>
  <c r="AM47" i="5"/>
  <c r="AK47" i="5"/>
  <c r="AS47" i="5" s="1"/>
  <c r="AI47" i="5"/>
  <c r="AQ46" i="5"/>
  <c r="AO46" i="5"/>
  <c r="AM46" i="5"/>
  <c r="AK46" i="5"/>
  <c r="AS46" i="5" s="1"/>
  <c r="AU46" i="5" s="1"/>
  <c r="AI46" i="5"/>
  <c r="AQ45" i="5"/>
  <c r="AO45" i="5"/>
  <c r="AM45" i="5"/>
  <c r="AK45" i="5"/>
  <c r="AS45" i="5" s="1"/>
  <c r="AI45" i="5"/>
  <c r="AU45" i="5" s="1"/>
  <c r="AQ44" i="5"/>
  <c r="AO44" i="5"/>
  <c r="AM44" i="5"/>
  <c r="AK44" i="5"/>
  <c r="AS44" i="5" s="1"/>
  <c r="AI44" i="5"/>
  <c r="AU44" i="5" s="1"/>
  <c r="AQ43" i="5"/>
  <c r="AO43" i="5"/>
  <c r="AM43" i="5"/>
  <c r="AK43" i="5"/>
  <c r="AS43" i="5" s="1"/>
  <c r="AI43" i="5"/>
  <c r="AQ42" i="5"/>
  <c r="AO42" i="5"/>
  <c r="AM42" i="5"/>
  <c r="AK42" i="5"/>
  <c r="AS42" i="5" s="1"/>
  <c r="AU42" i="5" s="1"/>
  <c r="AI42" i="5"/>
  <c r="AQ41" i="5"/>
  <c r="AO41" i="5"/>
  <c r="AM41" i="5"/>
  <c r="AK41" i="5"/>
  <c r="AS41" i="5" s="1"/>
  <c r="AI41" i="5"/>
  <c r="AU41" i="5" s="1"/>
  <c r="AQ40" i="5"/>
  <c r="AO40" i="5"/>
  <c r="AM40" i="5"/>
  <c r="AK40" i="5"/>
  <c r="AS40" i="5" s="1"/>
  <c r="AI40" i="5"/>
  <c r="AU40" i="5" s="1"/>
  <c r="AQ39" i="5"/>
  <c r="AO39" i="5"/>
  <c r="AM39" i="5"/>
  <c r="AK39" i="5"/>
  <c r="AS39" i="5" s="1"/>
  <c r="AI39" i="5"/>
  <c r="AQ38" i="5"/>
  <c r="AO38" i="5"/>
  <c r="AM38" i="5"/>
  <c r="AK38" i="5"/>
  <c r="AS38" i="5" s="1"/>
  <c r="AU38" i="5" s="1"/>
  <c r="AI38" i="5"/>
  <c r="AQ37" i="5"/>
  <c r="AO37" i="5"/>
  <c r="AM37" i="5"/>
  <c r="AK37" i="5"/>
  <c r="AS37" i="5" s="1"/>
  <c r="AI37" i="5"/>
  <c r="AU37" i="5" s="1"/>
  <c r="AQ36" i="5"/>
  <c r="AO36" i="5"/>
  <c r="AM36" i="5"/>
  <c r="AK36" i="5"/>
  <c r="AS36" i="5" s="1"/>
  <c r="AI36" i="5"/>
  <c r="AU36" i="5" s="1"/>
  <c r="AQ35" i="5"/>
  <c r="AO35" i="5"/>
  <c r="AM35" i="5"/>
  <c r="AK35" i="5"/>
  <c r="AS35" i="5" s="1"/>
  <c r="AI35" i="5"/>
  <c r="AQ34" i="5"/>
  <c r="AQ51" i="5" s="1"/>
  <c r="AO34" i="5"/>
  <c r="AO51" i="5" s="1"/>
  <c r="AM34" i="5"/>
  <c r="AM51" i="5" s="1"/>
  <c r="AK34" i="5"/>
  <c r="AK51" i="5" s="1"/>
  <c r="AI34" i="5"/>
  <c r="AI51" i="5" s="1"/>
  <c r="AG31" i="5"/>
  <c r="AG118" i="5" s="1"/>
  <c r="AG253" i="5" s="1"/>
  <c r="AF31" i="5"/>
  <c r="AF118" i="5" s="1"/>
  <c r="AF253" i="5" s="1"/>
  <c r="AE31" i="5"/>
  <c r="AE118" i="5" s="1"/>
  <c r="AE253" i="5" s="1"/>
  <c r="AC31" i="5"/>
  <c r="AC118" i="5" s="1"/>
  <c r="AC253" i="5" s="1"/>
  <c r="AA31" i="5"/>
  <c r="AA118" i="5" s="1"/>
  <c r="AA253" i="5" s="1"/>
  <c r="Y31" i="5"/>
  <c r="Y118" i="5" s="1"/>
  <c r="Y253" i="5" s="1"/>
  <c r="W31" i="5"/>
  <c r="W118" i="5" s="1"/>
  <c r="W253" i="5" s="1"/>
  <c r="U31" i="5"/>
  <c r="U118" i="5" s="1"/>
  <c r="U253" i="5" s="1"/>
  <c r="Q31" i="5"/>
  <c r="Q118" i="5" s="1"/>
  <c r="Q253" i="5" s="1"/>
  <c r="O31" i="5"/>
  <c r="O118" i="5" s="1"/>
  <c r="O253" i="5" s="1"/>
  <c r="K31" i="5"/>
  <c r="K118" i="5" s="1"/>
  <c r="K253" i="5" s="1"/>
  <c r="I31" i="5"/>
  <c r="I118" i="5" s="1"/>
  <c r="I253" i="5" s="1"/>
  <c r="G31" i="5"/>
  <c r="G118" i="5" s="1"/>
  <c r="G253" i="5" s="1"/>
  <c r="E31" i="5"/>
  <c r="C31" i="5"/>
  <c r="C118" i="5" s="1"/>
  <c r="C253" i="5" s="1"/>
  <c r="AQ30" i="5"/>
  <c r="AO30" i="5"/>
  <c r="AM30" i="5"/>
  <c r="AK30" i="5"/>
  <c r="AS30" i="5" s="1"/>
  <c r="AI30" i="5"/>
  <c r="AQ29" i="5"/>
  <c r="AO29" i="5"/>
  <c r="AM29" i="5"/>
  <c r="AK29" i="5"/>
  <c r="AS29" i="5" s="1"/>
  <c r="AI29" i="5"/>
  <c r="AU29" i="5" s="1"/>
  <c r="AQ28" i="5"/>
  <c r="AM28" i="5"/>
  <c r="AK28" i="5"/>
  <c r="AQ27" i="5"/>
  <c r="AM27" i="5"/>
  <c r="AK27" i="5"/>
  <c r="M27" i="5"/>
  <c r="AI27" i="5" s="1"/>
  <c r="AQ26" i="5"/>
  <c r="AO26" i="5"/>
  <c r="AM26" i="5"/>
  <c r="AK26" i="5"/>
  <c r="AS26" i="5" s="1"/>
  <c r="AI26" i="5"/>
  <c r="AU26" i="5" s="1"/>
  <c r="AQ25" i="5"/>
  <c r="AO25" i="5"/>
  <c r="AM25" i="5"/>
  <c r="AK25" i="5"/>
  <c r="AS25" i="5" s="1"/>
  <c r="AU25" i="5" s="1"/>
  <c r="AI25" i="5"/>
  <c r="AQ24" i="5"/>
  <c r="AO24" i="5"/>
  <c r="AM24" i="5"/>
  <c r="AK24" i="5"/>
  <c r="AS24" i="5" s="1"/>
  <c r="AI24" i="5"/>
  <c r="AQ23" i="5"/>
  <c r="AO23" i="5"/>
  <c r="AM23" i="5"/>
  <c r="AK23" i="5"/>
  <c r="AS23" i="5" s="1"/>
  <c r="AI23" i="5"/>
  <c r="AQ22" i="5"/>
  <c r="AO22" i="5"/>
  <c r="AM22" i="5"/>
  <c r="AK22" i="5"/>
  <c r="AS22" i="5" s="1"/>
  <c r="AI22" i="5"/>
  <c r="AU22" i="5" s="1"/>
  <c r="AQ21" i="5"/>
  <c r="AO21" i="5"/>
  <c r="AM21" i="5"/>
  <c r="AK21" i="5"/>
  <c r="AS21" i="5" s="1"/>
  <c r="AU21" i="5" s="1"/>
  <c r="AI21" i="5"/>
  <c r="AQ20" i="5"/>
  <c r="AM20" i="5"/>
  <c r="AK20" i="5"/>
  <c r="AI20" i="5"/>
  <c r="S20" i="5"/>
  <c r="S31" i="5" s="1"/>
  <c r="S118" i="5" s="1"/>
  <c r="S253" i="5" s="1"/>
  <c r="AQ19" i="5"/>
  <c r="AO19" i="5"/>
  <c r="AM19" i="5"/>
  <c r="AK19" i="5"/>
  <c r="AS19" i="5" s="1"/>
  <c r="AI19" i="5"/>
  <c r="AQ18" i="5"/>
  <c r="AO18" i="5"/>
  <c r="AM18" i="5"/>
  <c r="AK18" i="5"/>
  <c r="AS18" i="5" s="1"/>
  <c r="AI18" i="5"/>
  <c r="AU18" i="5" s="1"/>
  <c r="AQ17" i="5"/>
  <c r="AO17" i="5"/>
  <c r="AM17" i="5"/>
  <c r="AK17" i="5"/>
  <c r="AS17" i="5" s="1"/>
  <c r="AI17" i="5"/>
  <c r="AU17" i="5" s="1"/>
  <c r="AQ16" i="5"/>
  <c r="AO16" i="5"/>
  <c r="AM16" i="5"/>
  <c r="AK16" i="5"/>
  <c r="AS16" i="5" s="1"/>
  <c r="AU16" i="5" s="1"/>
  <c r="AI16" i="5"/>
  <c r="AQ15" i="5"/>
  <c r="AQ31" i="5" s="1"/>
  <c r="AQ118" i="5" s="1"/>
  <c r="AQ253" i="5" s="1"/>
  <c r="AO15" i="5"/>
  <c r="AM15" i="5"/>
  <c r="AM31" i="5" s="1"/>
  <c r="AM118" i="5" s="1"/>
  <c r="AM253" i="5" s="1"/>
  <c r="AK15" i="5"/>
  <c r="AK31" i="5" s="1"/>
  <c r="AI15" i="5"/>
  <c r="T208" i="4"/>
  <c r="R208" i="4"/>
  <c r="P208" i="4"/>
  <c r="N208" i="4"/>
  <c r="L208" i="4"/>
  <c r="J208" i="4"/>
  <c r="H208" i="4"/>
  <c r="D208" i="4"/>
  <c r="F207" i="4"/>
  <c r="AA210" i="4" s="1"/>
  <c r="AA167" i="4" s="1"/>
  <c r="AN167" i="4" s="1"/>
  <c r="AN12" i="4" s="1"/>
  <c r="L204" i="4"/>
  <c r="L205" i="4" s="1"/>
  <c r="H204" i="4"/>
  <c r="H205" i="4" s="1"/>
  <c r="F204" i="4"/>
  <c r="F205" i="4" s="1"/>
  <c r="D204" i="4"/>
  <c r="D205" i="4" s="1"/>
  <c r="T201" i="4"/>
  <c r="L201" i="4"/>
  <c r="D201" i="4"/>
  <c r="V201" i="4"/>
  <c r="R201" i="4"/>
  <c r="P201" i="4"/>
  <c r="AO18" i="4" s="1"/>
  <c r="N201" i="4"/>
  <c r="AH210" i="4"/>
  <c r="J201" i="4"/>
  <c r="H201" i="4"/>
  <c r="F201" i="4"/>
  <c r="T197" i="4"/>
  <c r="L197" i="4"/>
  <c r="D197" i="4"/>
  <c r="V197" i="4"/>
  <c r="R197" i="4"/>
  <c r="P197" i="4"/>
  <c r="N197" i="4"/>
  <c r="J197" i="4"/>
  <c r="H197" i="4"/>
  <c r="F197" i="4"/>
  <c r="D193" i="4"/>
  <c r="H192" i="4"/>
  <c r="H193" i="4" s="1"/>
  <c r="F192" i="4"/>
  <c r="F193" i="4" s="1"/>
  <c r="D192" i="4"/>
  <c r="N187" i="4"/>
  <c r="L187" i="4"/>
  <c r="D187" i="4"/>
  <c r="N186" i="4"/>
  <c r="L186" i="4"/>
  <c r="D186" i="4"/>
  <c r="N185" i="4"/>
  <c r="L185" i="4"/>
  <c r="D185" i="4"/>
  <c r="N184" i="4"/>
  <c r="L184" i="4"/>
  <c r="D184" i="4"/>
  <c r="N183" i="4"/>
  <c r="L183" i="4"/>
  <c r="D183" i="4"/>
  <c r="N182" i="4"/>
  <c r="L182" i="4"/>
  <c r="D182" i="4"/>
  <c r="N181" i="4"/>
  <c r="N188" i="4" s="1"/>
  <c r="L181" i="4"/>
  <c r="D181" i="4"/>
  <c r="N177" i="4"/>
  <c r="L177" i="4"/>
  <c r="D177" i="4"/>
  <c r="N176" i="4"/>
  <c r="L176" i="4"/>
  <c r="D176" i="4"/>
  <c r="N175" i="4"/>
  <c r="L175" i="4"/>
  <c r="D175" i="4"/>
  <c r="N174" i="4"/>
  <c r="L174" i="4"/>
  <c r="D174" i="4"/>
  <c r="N173" i="4"/>
  <c r="L173" i="4"/>
  <c r="D173" i="4"/>
  <c r="N172" i="4"/>
  <c r="L172" i="4"/>
  <c r="D172" i="4"/>
  <c r="N171" i="4"/>
  <c r="L171" i="4"/>
  <c r="D171" i="4"/>
  <c r="AG167" i="4"/>
  <c r="L165" i="4"/>
  <c r="N164" i="4"/>
  <c r="D164" i="4"/>
  <c r="D127" i="4" s="1"/>
  <c r="N163" i="4"/>
  <c r="D163" i="4"/>
  <c r="N162" i="4"/>
  <c r="D162" i="4"/>
  <c r="D125" i="4" s="1"/>
  <c r="N161" i="4"/>
  <c r="N124" i="4" s="1"/>
  <c r="D161" i="4"/>
  <c r="N160" i="4"/>
  <c r="D160" i="4"/>
  <c r="D165" i="4" s="1"/>
  <c r="R157" i="4"/>
  <c r="T156" i="4"/>
  <c r="T157" i="4" s="1"/>
  <c r="R156" i="4"/>
  <c r="P156" i="4"/>
  <c r="P157" i="4" s="1"/>
  <c r="N156" i="4"/>
  <c r="N157" i="4" s="1"/>
  <c r="L156" i="4"/>
  <c r="L157" i="4" s="1"/>
  <c r="J156" i="4"/>
  <c r="J157" i="4" s="1"/>
  <c r="H156" i="4"/>
  <c r="H157" i="4" s="1"/>
  <c r="F156" i="4"/>
  <c r="F157" i="4" s="1"/>
  <c r="D156" i="4"/>
  <c r="D157" i="4" s="1"/>
  <c r="D153" i="4"/>
  <c r="N152" i="4"/>
  <c r="N153" i="4" s="1"/>
  <c r="L152" i="4"/>
  <c r="L153" i="4" s="1"/>
  <c r="D152" i="4"/>
  <c r="N148" i="4"/>
  <c r="L148" i="4"/>
  <c r="D148" i="4"/>
  <c r="N147" i="4"/>
  <c r="L147" i="4"/>
  <c r="D147" i="4"/>
  <c r="N146" i="4"/>
  <c r="L146" i="4"/>
  <c r="D146" i="4"/>
  <c r="N145" i="4"/>
  <c r="L145" i="4"/>
  <c r="D145" i="4"/>
  <c r="N144" i="4"/>
  <c r="L144" i="4"/>
  <c r="D144" i="4"/>
  <c r="N143" i="4"/>
  <c r="L143" i="4"/>
  <c r="D143" i="4"/>
  <c r="N142" i="4"/>
  <c r="L142" i="4"/>
  <c r="D142" i="4"/>
  <c r="N141" i="4"/>
  <c r="L141" i="4"/>
  <c r="D141" i="4"/>
  <c r="N140" i="4"/>
  <c r="L140" i="4"/>
  <c r="D140" i="4"/>
  <c r="N139" i="4"/>
  <c r="L139" i="4"/>
  <c r="D139" i="4"/>
  <c r="N138" i="4"/>
  <c r="L138" i="4"/>
  <c r="D138" i="4"/>
  <c r="N137" i="4"/>
  <c r="L137" i="4"/>
  <c r="D137" i="4"/>
  <c r="T127" i="4"/>
  <c r="N127" i="4"/>
  <c r="L127" i="4"/>
  <c r="O126" i="4"/>
  <c r="N126" i="4"/>
  <c r="L126" i="4"/>
  <c r="J126" i="4"/>
  <c r="D126" i="4"/>
  <c r="N125" i="4"/>
  <c r="L125" i="4"/>
  <c r="L124" i="4"/>
  <c r="D124" i="4"/>
  <c r="N123" i="4"/>
  <c r="L123" i="4"/>
  <c r="J123" i="4"/>
  <c r="T120" i="4"/>
  <c r="R120" i="4"/>
  <c r="P120" i="4"/>
  <c r="N120" i="4"/>
  <c r="L120" i="4"/>
  <c r="D119" i="4"/>
  <c r="D118" i="4"/>
  <c r="D117" i="4"/>
  <c r="D116" i="4"/>
  <c r="D82" i="4" s="1"/>
  <c r="D115" i="4"/>
  <c r="R107" i="4"/>
  <c r="P107" i="4"/>
  <c r="N107" i="4"/>
  <c r="L107" i="4"/>
  <c r="J103" i="4"/>
  <c r="J105" i="4" s="1"/>
  <c r="J107" i="4" s="1"/>
  <c r="H103" i="4"/>
  <c r="H105" i="4" s="1"/>
  <c r="H107" i="4" s="1"/>
  <c r="D103" i="4"/>
  <c r="D105" i="4" s="1"/>
  <c r="D107" i="4" s="1"/>
  <c r="D108" i="4" s="1"/>
  <c r="AQ98" i="4"/>
  <c r="AQ11" i="4" s="1"/>
  <c r="AN98" i="4"/>
  <c r="AN11" i="4" s="1"/>
  <c r="AE98" i="4"/>
  <c r="AE11" i="4" s="1"/>
  <c r="R98" i="4"/>
  <c r="P98" i="4"/>
  <c r="N98" i="4"/>
  <c r="L98" i="4"/>
  <c r="D94" i="4"/>
  <c r="D96" i="4" s="1"/>
  <c r="D98" i="4" s="1"/>
  <c r="D99" i="4" s="1"/>
  <c r="T85" i="4"/>
  <c r="R85" i="4"/>
  <c r="P85" i="4"/>
  <c r="N85" i="4"/>
  <c r="L85" i="4"/>
  <c r="D85" i="4"/>
  <c r="T84" i="4"/>
  <c r="R84" i="4"/>
  <c r="P84" i="4"/>
  <c r="N84" i="4"/>
  <c r="L84" i="4"/>
  <c r="D84" i="4"/>
  <c r="T83" i="4"/>
  <c r="R83" i="4"/>
  <c r="P83" i="4"/>
  <c r="N83" i="4"/>
  <c r="L83" i="4"/>
  <c r="D83" i="4"/>
  <c r="T82" i="4"/>
  <c r="R82" i="4"/>
  <c r="P82" i="4"/>
  <c r="N82" i="4"/>
  <c r="N86" i="4" s="1"/>
  <c r="N88" i="4" s="1"/>
  <c r="L82" i="4"/>
  <c r="T81" i="4"/>
  <c r="R81" i="4"/>
  <c r="R86" i="4" s="1"/>
  <c r="R88" i="4" s="1"/>
  <c r="P81" i="4"/>
  <c r="P86" i="4" s="1"/>
  <c r="P88" i="4" s="1"/>
  <c r="N81" i="4"/>
  <c r="L81" i="4"/>
  <c r="D81" i="4"/>
  <c r="D76" i="4"/>
  <c r="D75" i="4"/>
  <c r="D74" i="4"/>
  <c r="D73" i="4"/>
  <c r="D72" i="4"/>
  <c r="D71" i="4"/>
  <c r="D70" i="4"/>
  <c r="D63" i="4"/>
  <c r="D62" i="4"/>
  <c r="D61" i="4"/>
  <c r="J54" i="4"/>
  <c r="H54" i="4"/>
  <c r="D54" i="4"/>
  <c r="J53" i="4"/>
  <c r="J56" i="4" s="1"/>
  <c r="H53" i="4"/>
  <c r="F53" i="4"/>
  <c r="D53" i="4"/>
  <c r="D56" i="4" s="1"/>
  <c r="D46" i="4"/>
  <c r="D45" i="4"/>
  <c r="D44" i="4"/>
  <c r="D43" i="4"/>
  <c r="D42" i="4"/>
  <c r="D41" i="4"/>
  <c r="D40" i="4"/>
  <c r="D48" i="4" s="1"/>
  <c r="AN30" i="4"/>
  <c r="D18" i="4"/>
  <c r="AS17" i="4"/>
  <c r="AT17" i="4" s="1"/>
  <c r="AM18" i="4"/>
  <c r="AQ15" i="4"/>
  <c r="AL15" i="4"/>
  <c r="AK15" i="4"/>
  <c r="AG15" i="4"/>
  <c r="AC15" i="4"/>
  <c r="Y15" i="4"/>
  <c r="AQ14" i="4"/>
  <c r="AO14" i="4"/>
  <c r="AN14" i="4"/>
  <c r="AL14" i="4"/>
  <c r="AK14" i="4"/>
  <c r="Y14" i="4"/>
  <c r="D14" i="4"/>
  <c r="AO13" i="4"/>
  <c r="AN13" i="4"/>
  <c r="AL13" i="4"/>
  <c r="AK13" i="4"/>
  <c r="AG13" i="4"/>
  <c r="AE13" i="4"/>
  <c r="AD13" i="4"/>
  <c r="Y13" i="4"/>
  <c r="X13" i="4"/>
  <c r="AQ12" i="4"/>
  <c r="AO12" i="4"/>
  <c r="AL12" i="4"/>
  <c r="AG12" i="4"/>
  <c r="AF12" i="4"/>
  <c r="AC12" i="4"/>
  <c r="AA12" i="4"/>
  <c r="Z12" i="4"/>
  <c r="Z16" i="4" s="1"/>
  <c r="Y12" i="4"/>
  <c r="AO11" i="4"/>
  <c r="AL11" i="4"/>
  <c r="AK11" i="4"/>
  <c r="AG11" i="4"/>
  <c r="Y11" i="4"/>
  <c r="X11" i="4"/>
  <c r="AQ10" i="4"/>
  <c r="AO10" i="4"/>
  <c r="AN10" i="4"/>
  <c r="AL10" i="4"/>
  <c r="AJ10" i="4"/>
  <c r="AJ20" i="4" s="1"/>
  <c r="AI20" i="4"/>
  <c r="AG10" i="4"/>
  <c r="AF10" i="4"/>
  <c r="AF20" i="4" s="1"/>
  <c r="AD10" i="4"/>
  <c r="Y10" i="4"/>
  <c r="X10" i="4"/>
  <c r="D10" i="4"/>
  <c r="Q27" i="3"/>
  <c r="Q26" i="3"/>
  <c r="M26" i="3"/>
  <c r="M27" i="3" s="1"/>
  <c r="G26" i="3"/>
  <c r="G27" i="3" s="1"/>
  <c r="E26" i="3"/>
  <c r="E27" i="3" s="1"/>
  <c r="C26" i="3"/>
  <c r="C27" i="3" s="1"/>
  <c r="S23" i="3"/>
  <c r="K23" i="3"/>
  <c r="G23" i="3"/>
  <c r="E23" i="3"/>
  <c r="C23" i="3"/>
  <c r="S22" i="3"/>
  <c r="T204" i="4" s="1"/>
  <c r="T205" i="4" s="1"/>
  <c r="Q22" i="3"/>
  <c r="R204" i="4" s="1"/>
  <c r="R205" i="4" s="1"/>
  <c r="O22" i="3"/>
  <c r="P204" i="4" s="1"/>
  <c r="P205" i="4" s="1"/>
  <c r="M22" i="3"/>
  <c r="N204" i="4" s="1"/>
  <c r="N205" i="4" s="1"/>
  <c r="I22" i="3"/>
  <c r="J204" i="4" s="1"/>
  <c r="J205" i="4" s="1"/>
  <c r="S19" i="3"/>
  <c r="Q19" i="3"/>
  <c r="O19" i="3"/>
  <c r="M19" i="3"/>
  <c r="I19" i="3"/>
  <c r="G19" i="3"/>
  <c r="E19" i="3"/>
  <c r="C19" i="3"/>
  <c r="O18" i="3"/>
  <c r="O26" i="3" s="1"/>
  <c r="O27" i="3" s="1"/>
  <c r="K18" i="3"/>
  <c r="U18" i="3" s="1"/>
  <c r="S15" i="3"/>
  <c r="Q15" i="3"/>
  <c r="O15" i="3"/>
  <c r="M15" i="3"/>
  <c r="K15" i="3"/>
  <c r="I15" i="3"/>
  <c r="G15" i="3"/>
  <c r="E15" i="3"/>
  <c r="C15" i="3"/>
  <c r="U14" i="3"/>
  <c r="U15" i="3" s="1"/>
  <c r="G11" i="3"/>
  <c r="E11" i="3"/>
  <c r="C10" i="3"/>
  <c r="C11" i="3" s="1"/>
  <c r="M67" i="2"/>
  <c r="K67" i="2"/>
  <c r="C67" i="2"/>
  <c r="G61" i="2"/>
  <c r="E61" i="2"/>
  <c r="C61" i="2"/>
  <c r="S60" i="2"/>
  <c r="S61" i="2" s="1"/>
  <c r="Q60" i="2"/>
  <c r="Q61" i="2" s="1"/>
  <c r="O60" i="2"/>
  <c r="M60" i="2"/>
  <c r="M61" i="2" s="1"/>
  <c r="K60" i="2"/>
  <c r="K61" i="2" s="1"/>
  <c r="I60" i="2"/>
  <c r="I61" i="2" s="1"/>
  <c r="M55" i="2"/>
  <c r="K55" i="2"/>
  <c r="C55" i="2"/>
  <c r="M54" i="2"/>
  <c r="K54" i="2"/>
  <c r="C54" i="2"/>
  <c r="M53" i="2"/>
  <c r="K53" i="2"/>
  <c r="C53" i="2"/>
  <c r="M52" i="2"/>
  <c r="K52" i="2"/>
  <c r="C52" i="2"/>
  <c r="M51" i="2"/>
  <c r="K51" i="2"/>
  <c r="C51" i="2"/>
  <c r="M50" i="2"/>
  <c r="K50" i="2"/>
  <c r="C50" i="2"/>
  <c r="M49" i="2"/>
  <c r="K49" i="2"/>
  <c r="C49" i="2"/>
  <c r="M48" i="2"/>
  <c r="K48" i="2"/>
  <c r="C48" i="2"/>
  <c r="M47" i="2"/>
  <c r="K47" i="2"/>
  <c r="C47" i="2"/>
  <c r="M46" i="2"/>
  <c r="K46" i="2"/>
  <c r="C46" i="2"/>
  <c r="M45" i="2"/>
  <c r="K45" i="2"/>
  <c r="C45" i="2"/>
  <c r="C57" i="2" s="1"/>
  <c r="C63" i="2" s="1"/>
  <c r="C70" i="2" s="1"/>
  <c r="M42" i="2"/>
  <c r="K42" i="2"/>
  <c r="C42" i="2"/>
  <c r="M32" i="2"/>
  <c r="K32" i="2"/>
  <c r="C32" i="2"/>
  <c r="M22" i="2"/>
  <c r="K22" i="2"/>
  <c r="C22" i="2"/>
  <c r="W22" i="2" s="1"/>
  <c r="J63" i="1"/>
  <c r="H63" i="1"/>
  <c r="D63" i="1"/>
  <c r="L61" i="1"/>
  <c r="L63" i="1" s="1"/>
  <c r="F103" i="4"/>
  <c r="D56" i="1"/>
  <c r="D67" i="1" s="1"/>
  <c r="D49" i="1"/>
  <c r="D36" i="1"/>
  <c r="J27" i="1"/>
  <c r="H27" i="1"/>
  <c r="D27" i="1"/>
  <c r="F25" i="1"/>
  <c r="F54" i="4" s="1"/>
  <c r="L24" i="1"/>
  <c r="N24" i="1" s="1"/>
  <c r="D19" i="1"/>
  <c r="D86" i="4" l="1"/>
  <c r="M57" i="2"/>
  <c r="M63" i="2" s="1"/>
  <c r="M70" i="2" s="1"/>
  <c r="AL20" i="4"/>
  <c r="L149" i="4"/>
  <c r="L178" i="4"/>
  <c r="D188" i="4"/>
  <c r="C48" i="25"/>
  <c r="K53" i="25"/>
  <c r="K57" i="25"/>
  <c r="M58" i="25"/>
  <c r="C35" i="25"/>
  <c r="M45" i="25"/>
  <c r="T54" i="4"/>
  <c r="V54" i="4" s="1"/>
  <c r="N61" i="1"/>
  <c r="N63" i="1" s="1"/>
  <c r="D120" i="4"/>
  <c r="N149" i="4"/>
  <c r="N178" i="4"/>
  <c r="N210" i="4" s="1"/>
  <c r="L188" i="4"/>
  <c r="AG210" i="4"/>
  <c r="C51" i="25"/>
  <c r="C60" i="25" s="1"/>
  <c r="C66" i="25" s="1"/>
  <c r="C73" i="25" s="1"/>
  <c r="C55" i="25"/>
  <c r="K57" i="2"/>
  <c r="K63" i="2" s="1"/>
  <c r="K70" i="2" s="1"/>
  <c r="H56" i="4"/>
  <c r="D178" i="4"/>
  <c r="D210" i="4" s="1"/>
  <c r="D211" i="4" s="1"/>
  <c r="K50" i="25"/>
  <c r="K60" i="25" s="1"/>
  <c r="K66" i="25" s="1"/>
  <c r="K73" i="25" s="1"/>
  <c r="M51" i="25"/>
  <c r="M60" i="25" s="1"/>
  <c r="M66" i="25" s="1"/>
  <c r="M73" i="25" s="1"/>
  <c r="K45" i="25"/>
  <c r="Y20" i="4"/>
  <c r="L86" i="4"/>
  <c r="L88" i="4" s="1"/>
  <c r="T86" i="4"/>
  <c r="AD20" i="4"/>
  <c r="AK20" i="4"/>
  <c r="L128" i="4"/>
  <c r="L130" i="4" s="1"/>
  <c r="F208" i="4"/>
  <c r="AG20" i="4"/>
  <c r="AN20" i="4"/>
  <c r="AN31" i="4" s="1"/>
  <c r="AA15" i="4"/>
  <c r="AA20" i="4" s="1"/>
  <c r="V207" i="4"/>
  <c r="V208" i="4" s="1"/>
  <c r="N128" i="4"/>
  <c r="N130" i="4" s="1"/>
  <c r="J217" i="22"/>
  <c r="J33" i="26"/>
  <c r="D123" i="4"/>
  <c r="D128" i="4" s="1"/>
  <c r="D130" i="4" s="1"/>
  <c r="D131" i="4" s="1"/>
  <c r="L167" i="4"/>
  <c r="B93" i="26"/>
  <c r="B117" i="26"/>
  <c r="B230" i="26"/>
  <c r="B336" i="26"/>
  <c r="B389" i="26"/>
  <c r="B437" i="26"/>
  <c r="B445" i="26"/>
  <c r="B462" i="26"/>
  <c r="B465" i="26" s="1"/>
  <c r="B217" i="22"/>
  <c r="N165" i="4"/>
  <c r="N167" i="4" s="1"/>
  <c r="B449" i="22"/>
  <c r="J55" i="23"/>
  <c r="J93" i="26"/>
  <c r="J117" i="26"/>
  <c r="J230" i="26"/>
  <c r="J352" i="26"/>
  <c r="J437" i="26"/>
  <c r="J445" i="26"/>
  <c r="H41" i="4"/>
  <c r="L13" i="1"/>
  <c r="N13" i="1" s="1"/>
  <c r="F42" i="4"/>
  <c r="J44" i="4"/>
  <c r="H45" i="4"/>
  <c r="L17" i="1"/>
  <c r="N17" i="1" s="1"/>
  <c r="F46" i="4"/>
  <c r="J61" i="4"/>
  <c r="J36" i="1"/>
  <c r="H62" i="4"/>
  <c r="F63" i="4"/>
  <c r="L34" i="1"/>
  <c r="N34" i="1" s="1"/>
  <c r="H70" i="4"/>
  <c r="H49" i="1"/>
  <c r="L42" i="1"/>
  <c r="N42" i="1" s="1"/>
  <c r="F71" i="4"/>
  <c r="J73" i="4"/>
  <c r="H74" i="4"/>
  <c r="L46" i="1"/>
  <c r="N46" i="1" s="1"/>
  <c r="F75" i="4"/>
  <c r="L54" i="1"/>
  <c r="F94" i="4"/>
  <c r="F56" i="1"/>
  <c r="G10" i="25"/>
  <c r="H137" i="4"/>
  <c r="G45" i="2"/>
  <c r="G22" i="2"/>
  <c r="S10" i="25"/>
  <c r="T137" i="4"/>
  <c r="S22" i="2"/>
  <c r="U10" i="2"/>
  <c r="S45" i="2"/>
  <c r="I11" i="25"/>
  <c r="I49" i="25" s="1"/>
  <c r="J138" i="4"/>
  <c r="I46" i="2"/>
  <c r="O12" i="25"/>
  <c r="P139" i="4"/>
  <c r="O47" i="2"/>
  <c r="E13" i="25"/>
  <c r="C14" i="10"/>
  <c r="U14" i="10" s="1"/>
  <c r="W14" i="10" s="1"/>
  <c r="F140" i="4"/>
  <c r="E48" i="2"/>
  <c r="Q13" i="25"/>
  <c r="R140" i="4"/>
  <c r="Q48" i="2"/>
  <c r="G14" i="25"/>
  <c r="G52" i="25" s="1"/>
  <c r="H141" i="4"/>
  <c r="G49" i="2"/>
  <c r="S14" i="25"/>
  <c r="T141" i="4"/>
  <c r="U14" i="2"/>
  <c r="U49" i="2" s="1"/>
  <c r="S49" i="2"/>
  <c r="I15" i="25"/>
  <c r="J142" i="4"/>
  <c r="I50" i="2"/>
  <c r="O16" i="25"/>
  <c r="O54" i="25" s="1"/>
  <c r="P143" i="4"/>
  <c r="O51" i="2"/>
  <c r="E17" i="25"/>
  <c r="C18" i="10"/>
  <c r="U18" i="10" s="1"/>
  <c r="W18" i="10" s="1"/>
  <c r="F144" i="4"/>
  <c r="E52" i="2"/>
  <c r="Q17" i="25"/>
  <c r="R144" i="4"/>
  <c r="Q52" i="2"/>
  <c r="G18" i="25"/>
  <c r="G56" i="25" s="1"/>
  <c r="H145" i="4"/>
  <c r="G53" i="2"/>
  <c r="S18" i="25"/>
  <c r="T145" i="4"/>
  <c r="U18" i="2"/>
  <c r="U53" i="2" s="1"/>
  <c r="S53" i="2"/>
  <c r="I19" i="25"/>
  <c r="J146" i="4"/>
  <c r="I54" i="2"/>
  <c r="O20" i="25"/>
  <c r="P147" i="4"/>
  <c r="O55" i="2"/>
  <c r="E21" i="25"/>
  <c r="F148" i="4"/>
  <c r="Q21" i="25"/>
  <c r="R148" i="4"/>
  <c r="I25" i="25"/>
  <c r="J171" i="4"/>
  <c r="I32" i="2"/>
  <c r="O26" i="25"/>
  <c r="P172" i="4"/>
  <c r="E27" i="25"/>
  <c r="F173" i="4"/>
  <c r="Q27" i="25"/>
  <c r="R173" i="4"/>
  <c r="G28" i="25"/>
  <c r="H174" i="4"/>
  <c r="S28" i="25"/>
  <c r="T174" i="4"/>
  <c r="U28" i="2"/>
  <c r="I30" i="25"/>
  <c r="J175" i="4"/>
  <c r="O32" i="25"/>
  <c r="P176" i="4"/>
  <c r="E34" i="25"/>
  <c r="F177" i="4"/>
  <c r="Q34" i="25"/>
  <c r="Q33" i="25"/>
  <c r="R177" i="4"/>
  <c r="O38" i="25"/>
  <c r="P181" i="4"/>
  <c r="O42" i="2"/>
  <c r="E39" i="25"/>
  <c r="F182" i="4"/>
  <c r="Q39" i="25"/>
  <c r="R182" i="4"/>
  <c r="G40" i="25"/>
  <c r="H183" i="4"/>
  <c r="S40" i="25"/>
  <c r="T183" i="4"/>
  <c r="U37" i="2"/>
  <c r="I41" i="25"/>
  <c r="J184" i="4"/>
  <c r="O42" i="25"/>
  <c r="P185" i="4"/>
  <c r="E43" i="25"/>
  <c r="F186" i="4"/>
  <c r="Q43" i="25"/>
  <c r="R186" i="4"/>
  <c r="G44" i="25"/>
  <c r="H187" i="4"/>
  <c r="S44" i="25"/>
  <c r="T187" i="4"/>
  <c r="U41" i="2"/>
  <c r="I69" i="25"/>
  <c r="I70" i="25" s="1"/>
  <c r="J152" i="4"/>
  <c r="J153" i="4" s="1"/>
  <c r="I67" i="2"/>
  <c r="H42" i="4"/>
  <c r="J45" i="4"/>
  <c r="H46" i="4"/>
  <c r="J62" i="4"/>
  <c r="H63" i="4"/>
  <c r="J70" i="4"/>
  <c r="J49" i="1"/>
  <c r="H71" i="4"/>
  <c r="F72" i="4"/>
  <c r="L43" i="1"/>
  <c r="N43" i="1" s="1"/>
  <c r="J74" i="4"/>
  <c r="H75" i="4"/>
  <c r="F76" i="4"/>
  <c r="L47" i="1"/>
  <c r="N47" i="1" s="1"/>
  <c r="H94" i="4"/>
  <c r="H96" i="4" s="1"/>
  <c r="H98" i="4" s="1"/>
  <c r="H56" i="1"/>
  <c r="I10" i="25"/>
  <c r="J137" i="4"/>
  <c r="I45" i="2"/>
  <c r="I22" i="2"/>
  <c r="O11" i="25"/>
  <c r="O49" i="25" s="1"/>
  <c r="P138" i="4"/>
  <c r="O46" i="2"/>
  <c r="E12" i="25"/>
  <c r="F139" i="4"/>
  <c r="C13" i="10"/>
  <c r="U13" i="10" s="1"/>
  <c r="W13" i="10" s="1"/>
  <c r="E47" i="2"/>
  <c r="Q12" i="25"/>
  <c r="R139" i="4"/>
  <c r="Q47" i="2"/>
  <c r="G13" i="25"/>
  <c r="H140" i="4"/>
  <c r="G48" i="2"/>
  <c r="S13" i="25"/>
  <c r="T140" i="4"/>
  <c r="S48" i="2"/>
  <c r="U13" i="2"/>
  <c r="I14" i="25"/>
  <c r="I52" i="25" s="1"/>
  <c r="J141" i="4"/>
  <c r="I49" i="2"/>
  <c r="O15" i="25"/>
  <c r="P142" i="4"/>
  <c r="O50" i="2"/>
  <c r="E16" i="25"/>
  <c r="E54" i="25" s="1"/>
  <c r="F143" i="4"/>
  <c r="C17" i="10"/>
  <c r="E51" i="2"/>
  <c r="Q16" i="25"/>
  <c r="Q54" i="25" s="1"/>
  <c r="R143" i="4"/>
  <c r="Q51" i="2"/>
  <c r="G17" i="25"/>
  <c r="H144" i="4"/>
  <c r="G52" i="2"/>
  <c r="S17" i="25"/>
  <c r="T144" i="4"/>
  <c r="S52" i="2"/>
  <c r="U17" i="2"/>
  <c r="I18" i="25"/>
  <c r="I56" i="25" s="1"/>
  <c r="J145" i="4"/>
  <c r="I53" i="2"/>
  <c r="O19" i="25"/>
  <c r="P146" i="4"/>
  <c r="O54" i="2"/>
  <c r="E20" i="25"/>
  <c r="E58" i="25" s="1"/>
  <c r="C21" i="10"/>
  <c r="F147" i="4"/>
  <c r="E55" i="2"/>
  <c r="Q20" i="25"/>
  <c r="Q58" i="25" s="1"/>
  <c r="R147" i="4"/>
  <c r="Q55" i="2"/>
  <c r="G21" i="25"/>
  <c r="H148" i="4"/>
  <c r="S21" i="25"/>
  <c r="T148" i="4"/>
  <c r="U21" i="2"/>
  <c r="O25" i="25"/>
  <c r="P171" i="4"/>
  <c r="O32" i="2"/>
  <c r="E26" i="25"/>
  <c r="F172" i="4"/>
  <c r="Q26" i="25"/>
  <c r="R172" i="4"/>
  <c r="G27" i="25"/>
  <c r="H173" i="4"/>
  <c r="S27" i="25"/>
  <c r="T173" i="4"/>
  <c r="U27" i="2"/>
  <c r="I28" i="25"/>
  <c r="J174" i="4"/>
  <c r="O30" i="25"/>
  <c r="P175" i="4"/>
  <c r="E32" i="25"/>
  <c r="F176" i="4"/>
  <c r="Q32" i="25"/>
  <c r="R176" i="4"/>
  <c r="G34" i="25"/>
  <c r="G33" i="25"/>
  <c r="H177" i="4"/>
  <c r="S33" i="25"/>
  <c r="S34" i="25"/>
  <c r="T177" i="4"/>
  <c r="U31" i="2"/>
  <c r="E38" i="25"/>
  <c r="F181" i="4"/>
  <c r="E42" i="2"/>
  <c r="Q38" i="25"/>
  <c r="R181" i="4"/>
  <c r="Q42" i="2"/>
  <c r="G39" i="25"/>
  <c r="H182" i="4"/>
  <c r="S39" i="25"/>
  <c r="T182" i="4"/>
  <c r="U36" i="2"/>
  <c r="I40" i="25"/>
  <c r="J183" i="4"/>
  <c r="O41" i="25"/>
  <c r="P184" i="4"/>
  <c r="E42" i="25"/>
  <c r="F185" i="4"/>
  <c r="Q42" i="25"/>
  <c r="R185" i="4"/>
  <c r="G43" i="25"/>
  <c r="H186" i="4"/>
  <c r="S43" i="25"/>
  <c r="T186" i="4"/>
  <c r="U40" i="2"/>
  <c r="I44" i="25"/>
  <c r="J187" i="4"/>
  <c r="O69" i="25"/>
  <c r="O70" i="25" s="1"/>
  <c r="P152" i="4"/>
  <c r="P153" i="4" s="1"/>
  <c r="O67" i="2"/>
  <c r="J41" i="4"/>
  <c r="L11" i="1"/>
  <c r="F19" i="1"/>
  <c r="F40" i="4"/>
  <c r="H43" i="4"/>
  <c r="L15" i="1"/>
  <c r="N15" i="1" s="1"/>
  <c r="F44" i="4"/>
  <c r="J46" i="4"/>
  <c r="F61" i="4"/>
  <c r="F36" i="1"/>
  <c r="L32" i="1"/>
  <c r="J63" i="4"/>
  <c r="J71" i="4"/>
  <c r="H72" i="4"/>
  <c r="F73" i="4"/>
  <c r="L44" i="1"/>
  <c r="N44" i="1" s="1"/>
  <c r="J75" i="4"/>
  <c r="H76" i="4"/>
  <c r="J94" i="4"/>
  <c r="J96" i="4" s="1"/>
  <c r="J98" i="4" s="1"/>
  <c r="AM98" i="4" s="1"/>
  <c r="AM11" i="4" s="1"/>
  <c r="J56" i="1"/>
  <c r="O10" i="25"/>
  <c r="P137" i="4"/>
  <c r="O45" i="2"/>
  <c r="O22" i="2"/>
  <c r="E11" i="25"/>
  <c r="E49" i="25" s="1"/>
  <c r="C12" i="10"/>
  <c r="F138" i="4"/>
  <c r="E46" i="2"/>
  <c r="Q11" i="25"/>
  <c r="Q49" i="25" s="1"/>
  <c r="R138" i="4"/>
  <c r="Q46" i="2"/>
  <c r="G12" i="25"/>
  <c r="H139" i="4"/>
  <c r="G47" i="2"/>
  <c r="S12" i="25"/>
  <c r="T139" i="4"/>
  <c r="U12" i="2"/>
  <c r="S47" i="2"/>
  <c r="I13" i="25"/>
  <c r="J140" i="4"/>
  <c r="I48" i="2"/>
  <c r="O14" i="25"/>
  <c r="O52" i="25" s="1"/>
  <c r="P141" i="4"/>
  <c r="O49" i="2"/>
  <c r="E15" i="25"/>
  <c r="C16" i="10"/>
  <c r="U16" i="10" s="1"/>
  <c r="W16" i="10" s="1"/>
  <c r="F142" i="4"/>
  <c r="E50" i="2"/>
  <c r="Q15" i="25"/>
  <c r="R142" i="4"/>
  <c r="Q50" i="2"/>
  <c r="G16" i="25"/>
  <c r="G54" i="25" s="1"/>
  <c r="H143" i="4"/>
  <c r="V143" i="4" s="1"/>
  <c r="G51" i="2"/>
  <c r="S16" i="25"/>
  <c r="T143" i="4"/>
  <c r="U16" i="2"/>
  <c r="U51" i="2" s="1"/>
  <c r="S51" i="2"/>
  <c r="I17" i="25"/>
  <c r="J144" i="4"/>
  <c r="I52" i="2"/>
  <c r="O18" i="25"/>
  <c r="O56" i="25" s="1"/>
  <c r="P145" i="4"/>
  <c r="O53" i="2"/>
  <c r="E19" i="25"/>
  <c r="E57" i="25" s="1"/>
  <c r="F146" i="4"/>
  <c r="C20" i="10"/>
  <c r="U20" i="10" s="1"/>
  <c r="W20" i="10" s="1"/>
  <c r="E54" i="2"/>
  <c r="Q19" i="25"/>
  <c r="Q57" i="25" s="1"/>
  <c r="R146" i="4"/>
  <c r="Q54" i="2"/>
  <c r="G20" i="25"/>
  <c r="G58" i="25" s="1"/>
  <c r="H147" i="4"/>
  <c r="V147" i="4" s="1"/>
  <c r="G55" i="2"/>
  <c r="S20" i="25"/>
  <c r="T147" i="4"/>
  <c r="U20" i="2"/>
  <c r="U55" i="2" s="1"/>
  <c r="S55" i="2"/>
  <c r="I21" i="25"/>
  <c r="J148" i="4"/>
  <c r="E25" i="25"/>
  <c r="F171" i="4"/>
  <c r="E32" i="2"/>
  <c r="Q25" i="25"/>
  <c r="R171" i="4"/>
  <c r="Q32" i="2"/>
  <c r="G26" i="25"/>
  <c r="H172" i="4"/>
  <c r="S26" i="25"/>
  <c r="T172" i="4"/>
  <c r="U26" i="2"/>
  <c r="I27" i="25"/>
  <c r="J173" i="4"/>
  <c r="O28" i="25"/>
  <c r="P174" i="4"/>
  <c r="E30" i="25"/>
  <c r="F175" i="4"/>
  <c r="Q30" i="25"/>
  <c r="R175" i="4"/>
  <c r="G32" i="25"/>
  <c r="H176" i="4"/>
  <c r="S32" i="25"/>
  <c r="T176" i="4"/>
  <c r="U30" i="2"/>
  <c r="I34" i="25"/>
  <c r="I33" i="25"/>
  <c r="J177" i="4"/>
  <c r="G38" i="25"/>
  <c r="H181" i="4"/>
  <c r="G42" i="2"/>
  <c r="S38" i="25"/>
  <c r="T181" i="4"/>
  <c r="U35" i="2"/>
  <c r="S42" i="2"/>
  <c r="I39" i="25"/>
  <c r="J182" i="4"/>
  <c r="O40" i="25"/>
  <c r="P183" i="4"/>
  <c r="E41" i="25"/>
  <c r="F184" i="4"/>
  <c r="Q41" i="25"/>
  <c r="R184" i="4"/>
  <c r="G42" i="25"/>
  <c r="H185" i="4"/>
  <c r="S42" i="25"/>
  <c r="T185" i="4"/>
  <c r="U39" i="2"/>
  <c r="I43" i="25"/>
  <c r="J186" i="4"/>
  <c r="O44" i="25"/>
  <c r="P187" i="4"/>
  <c r="E69" i="25"/>
  <c r="E70" i="25" s="1"/>
  <c r="F152" i="4"/>
  <c r="C26" i="10"/>
  <c r="E67" i="2"/>
  <c r="Q69" i="25"/>
  <c r="Q70" i="25" s="1"/>
  <c r="R152" i="4"/>
  <c r="R153" i="4" s="1"/>
  <c r="Q67" i="2"/>
  <c r="J40" i="4"/>
  <c r="J19" i="1"/>
  <c r="F43" i="4"/>
  <c r="L14" i="1"/>
  <c r="N14" i="1" s="1"/>
  <c r="J42" i="4"/>
  <c r="H19" i="1"/>
  <c r="H40" i="4"/>
  <c r="F41" i="4"/>
  <c r="L12" i="1"/>
  <c r="N12" i="1" s="1"/>
  <c r="J43" i="4"/>
  <c r="H44" i="4"/>
  <c r="F45" i="4"/>
  <c r="L16" i="1"/>
  <c r="N16" i="1" s="1"/>
  <c r="H36" i="1"/>
  <c r="H61" i="4"/>
  <c r="H65" i="4" s="1"/>
  <c r="L33" i="1"/>
  <c r="N33" i="1" s="1"/>
  <c r="F62" i="4"/>
  <c r="F70" i="4"/>
  <c r="F49" i="1"/>
  <c r="L41" i="1"/>
  <c r="J72" i="4"/>
  <c r="H73" i="4"/>
  <c r="F74" i="4"/>
  <c r="T74" i="4" s="1"/>
  <c r="L45" i="1"/>
  <c r="N45" i="1" s="1"/>
  <c r="E10" i="25"/>
  <c r="C11" i="10"/>
  <c r="F137" i="4"/>
  <c r="E45" i="2"/>
  <c r="E22" i="2"/>
  <c r="Q10" i="25"/>
  <c r="R137" i="4"/>
  <c r="Q45" i="2"/>
  <c r="Q22" i="2"/>
  <c r="G11" i="25"/>
  <c r="G49" i="25" s="1"/>
  <c r="H138" i="4"/>
  <c r="G46" i="2"/>
  <c r="S11" i="25"/>
  <c r="T138" i="4"/>
  <c r="S46" i="2"/>
  <c r="U11" i="2"/>
  <c r="U46" i="2" s="1"/>
  <c r="I12" i="25"/>
  <c r="J139" i="4"/>
  <c r="I47" i="2"/>
  <c r="O13" i="25"/>
  <c r="P140" i="4"/>
  <c r="O48" i="2"/>
  <c r="E14" i="25"/>
  <c r="E52" i="25" s="1"/>
  <c r="F141" i="4"/>
  <c r="C15" i="10"/>
  <c r="E49" i="2"/>
  <c r="Q14" i="25"/>
  <c r="Q52" i="25" s="1"/>
  <c r="R141" i="4"/>
  <c r="Q49" i="2"/>
  <c r="G15" i="25"/>
  <c r="H142" i="4"/>
  <c r="G50" i="2"/>
  <c r="S15" i="25"/>
  <c r="T142" i="4"/>
  <c r="S50" i="2"/>
  <c r="U15" i="2"/>
  <c r="I16" i="25"/>
  <c r="I54" i="25" s="1"/>
  <c r="J143" i="4"/>
  <c r="I51" i="2"/>
  <c r="O17" i="25"/>
  <c r="O55" i="25" s="1"/>
  <c r="P144" i="4"/>
  <c r="O52" i="2"/>
  <c r="E18" i="25"/>
  <c r="E56" i="25" s="1"/>
  <c r="F145" i="4"/>
  <c r="C19" i="10"/>
  <c r="E53" i="2"/>
  <c r="Q18" i="25"/>
  <c r="Q56" i="25" s="1"/>
  <c r="R145" i="4"/>
  <c r="Q53" i="2"/>
  <c r="G19" i="25"/>
  <c r="G57" i="25" s="1"/>
  <c r="H146" i="4"/>
  <c r="G54" i="2"/>
  <c r="S19" i="25"/>
  <c r="T146" i="4"/>
  <c r="S54" i="2"/>
  <c r="U19" i="2"/>
  <c r="U54" i="2" s="1"/>
  <c r="I20" i="25"/>
  <c r="I58" i="25" s="1"/>
  <c r="J147" i="4"/>
  <c r="I55" i="2"/>
  <c r="O21" i="25"/>
  <c r="P148" i="4"/>
  <c r="G25" i="25"/>
  <c r="H171" i="4"/>
  <c r="G32" i="2"/>
  <c r="S25" i="25"/>
  <c r="T171" i="4"/>
  <c r="S32" i="2"/>
  <c r="U25" i="2"/>
  <c r="I26" i="25"/>
  <c r="J172" i="4"/>
  <c r="O27" i="25"/>
  <c r="P173" i="4"/>
  <c r="E28" i="25"/>
  <c r="F174" i="4"/>
  <c r="Q28" i="25"/>
  <c r="R174" i="4"/>
  <c r="G30" i="25"/>
  <c r="H175" i="4"/>
  <c r="S30" i="25"/>
  <c r="T175" i="4"/>
  <c r="U29" i="2"/>
  <c r="I32" i="25"/>
  <c r="J176" i="4"/>
  <c r="O34" i="25"/>
  <c r="O33" i="25"/>
  <c r="P177" i="4"/>
  <c r="I38" i="25"/>
  <c r="J181" i="4"/>
  <c r="I42" i="2"/>
  <c r="O39" i="25"/>
  <c r="P182" i="4"/>
  <c r="E40" i="25"/>
  <c r="F183" i="4"/>
  <c r="Q40" i="25"/>
  <c r="R183" i="4"/>
  <c r="G41" i="25"/>
  <c r="H184" i="4"/>
  <c r="S41" i="25"/>
  <c r="T184" i="4"/>
  <c r="U38" i="2"/>
  <c r="I42" i="25"/>
  <c r="J185" i="4"/>
  <c r="O43" i="25"/>
  <c r="P186" i="4"/>
  <c r="E44" i="25"/>
  <c r="F187" i="4"/>
  <c r="Q44" i="25"/>
  <c r="R187" i="4"/>
  <c r="G69" i="25"/>
  <c r="G70" i="25" s="1"/>
  <c r="H152" i="4"/>
  <c r="H153" i="4" s="1"/>
  <c r="G67" i="2"/>
  <c r="S69" i="25"/>
  <c r="T152" i="4"/>
  <c r="T153" i="4" s="1"/>
  <c r="S67" i="2"/>
  <c r="U66" i="2"/>
  <c r="U67" i="2" s="1"/>
  <c r="D27" i="14"/>
  <c r="D11" i="13"/>
  <c r="D10" i="12"/>
  <c r="D11" i="11"/>
  <c r="H13" i="13"/>
  <c r="J13" i="14"/>
  <c r="L13" i="14" s="1"/>
  <c r="H12" i="12"/>
  <c r="H13" i="11"/>
  <c r="F14" i="13"/>
  <c r="F13" i="12"/>
  <c r="F14" i="11"/>
  <c r="D15" i="13"/>
  <c r="D14" i="12"/>
  <c r="D15" i="11"/>
  <c r="H17" i="13"/>
  <c r="J17" i="14"/>
  <c r="L17" i="14" s="1"/>
  <c r="H16" i="12"/>
  <c r="H17" i="11"/>
  <c r="F18" i="13"/>
  <c r="F17" i="12"/>
  <c r="F18" i="11"/>
  <c r="D19" i="13"/>
  <c r="D18" i="12"/>
  <c r="D19" i="11"/>
  <c r="H21" i="13"/>
  <c r="J21" i="14"/>
  <c r="L21" i="14" s="1"/>
  <c r="H20" i="12"/>
  <c r="H21" i="11"/>
  <c r="H23" i="13"/>
  <c r="J23" i="14"/>
  <c r="L23" i="14" s="1"/>
  <c r="H23" i="11"/>
  <c r="H22" i="12"/>
  <c r="F24" i="13"/>
  <c r="F23" i="12"/>
  <c r="F24" i="11"/>
  <c r="D25" i="13"/>
  <c r="D24" i="12"/>
  <c r="D25" i="11"/>
  <c r="D47" i="14"/>
  <c r="D30" i="13"/>
  <c r="D29" i="12"/>
  <c r="D30" i="11"/>
  <c r="H32" i="13"/>
  <c r="J32" i="14"/>
  <c r="L32" i="14" s="1"/>
  <c r="H31" i="12"/>
  <c r="H32" i="11"/>
  <c r="F33" i="13"/>
  <c r="F33" i="11"/>
  <c r="F32" i="12"/>
  <c r="D34" i="13"/>
  <c r="D33" i="12"/>
  <c r="D34" i="11"/>
  <c r="H36" i="13"/>
  <c r="J36" i="14"/>
  <c r="L36" i="14" s="1"/>
  <c r="H35" i="12"/>
  <c r="H36" i="11"/>
  <c r="F37" i="13"/>
  <c r="F37" i="11"/>
  <c r="F36" i="12"/>
  <c r="D38" i="13"/>
  <c r="D37" i="12"/>
  <c r="D38" i="11"/>
  <c r="H40" i="13"/>
  <c r="J40" i="14"/>
  <c r="L40" i="14" s="1"/>
  <c r="H39" i="12"/>
  <c r="H40" i="11"/>
  <c r="F41" i="13"/>
  <c r="F41" i="11"/>
  <c r="F40" i="12"/>
  <c r="D42" i="13"/>
  <c r="D41" i="12"/>
  <c r="D42" i="11"/>
  <c r="H44" i="13"/>
  <c r="J44" i="14"/>
  <c r="L44" i="14" s="1"/>
  <c r="H43" i="12"/>
  <c r="H44" i="11"/>
  <c r="F45" i="13"/>
  <c r="F45" i="11"/>
  <c r="F44" i="12"/>
  <c r="D46" i="13"/>
  <c r="D45" i="12"/>
  <c r="D46" i="11"/>
  <c r="F58" i="14"/>
  <c r="F50" i="13"/>
  <c r="F49" i="12"/>
  <c r="F50" i="11"/>
  <c r="D51" i="13"/>
  <c r="D50" i="12"/>
  <c r="D51" i="11"/>
  <c r="H53" i="13"/>
  <c r="J53" i="14"/>
  <c r="L53" i="14" s="1"/>
  <c r="H53" i="11"/>
  <c r="H52" i="12"/>
  <c r="F54" i="13"/>
  <c r="F53" i="12"/>
  <c r="F54" i="11"/>
  <c r="D55" i="13"/>
  <c r="D54" i="12"/>
  <c r="D55" i="11"/>
  <c r="H57" i="13"/>
  <c r="J57" i="14"/>
  <c r="L57" i="14" s="1"/>
  <c r="H57" i="11"/>
  <c r="H56" i="12"/>
  <c r="H62" i="13"/>
  <c r="J62" i="14"/>
  <c r="L62" i="14" s="1"/>
  <c r="H61" i="12"/>
  <c r="H62" i="11"/>
  <c r="F63" i="13"/>
  <c r="F63" i="11"/>
  <c r="F62" i="12"/>
  <c r="D64" i="13"/>
  <c r="D63" i="12"/>
  <c r="D64" i="11"/>
  <c r="F68" i="13"/>
  <c r="F79" i="14"/>
  <c r="F67" i="12"/>
  <c r="F68" i="11"/>
  <c r="D69" i="13"/>
  <c r="D68" i="12"/>
  <c r="D69" i="11"/>
  <c r="H71" i="13"/>
  <c r="J71" i="14"/>
  <c r="L71" i="14" s="1"/>
  <c r="H71" i="11"/>
  <c r="H70" i="12"/>
  <c r="F72" i="13"/>
  <c r="F71" i="12"/>
  <c r="F72" i="11"/>
  <c r="D73" i="13"/>
  <c r="D72" i="12"/>
  <c r="D73" i="11"/>
  <c r="H75" i="13"/>
  <c r="J75" i="14"/>
  <c r="L75" i="14" s="1"/>
  <c r="H75" i="11"/>
  <c r="H74" i="12"/>
  <c r="F76" i="13"/>
  <c r="F75" i="12"/>
  <c r="F76" i="11"/>
  <c r="D77" i="13"/>
  <c r="D76" i="12"/>
  <c r="D77" i="11"/>
  <c r="D94" i="14"/>
  <c r="D82" i="13"/>
  <c r="D81" i="12"/>
  <c r="D82" i="11"/>
  <c r="H84" i="13"/>
  <c r="J84" i="14"/>
  <c r="L84" i="14" s="1"/>
  <c r="H83" i="12"/>
  <c r="H84" i="11"/>
  <c r="F85" i="13"/>
  <c r="F85" i="11"/>
  <c r="F84" i="12"/>
  <c r="D86" i="13"/>
  <c r="D85" i="12"/>
  <c r="D86" i="11"/>
  <c r="H88" i="13"/>
  <c r="H87" i="12"/>
  <c r="J88" i="14"/>
  <c r="L88" i="14" s="1"/>
  <c r="H88" i="11"/>
  <c r="F88" i="12"/>
  <c r="F89" i="13"/>
  <c r="F89" i="11"/>
  <c r="D90" i="13"/>
  <c r="D89" i="12"/>
  <c r="D90" i="11"/>
  <c r="H92" i="13"/>
  <c r="H91" i="12"/>
  <c r="J92" i="14"/>
  <c r="L92" i="14" s="1"/>
  <c r="H92" i="11"/>
  <c r="F92" i="12"/>
  <c r="F93" i="13"/>
  <c r="F93" i="11"/>
  <c r="H111" i="14"/>
  <c r="J97" i="14"/>
  <c r="H97" i="13"/>
  <c r="H96" i="12"/>
  <c r="H97" i="11"/>
  <c r="F98" i="13"/>
  <c r="F98" i="11"/>
  <c r="F97" i="12"/>
  <c r="D99" i="13"/>
  <c r="D98" i="12"/>
  <c r="D99" i="11"/>
  <c r="J101" i="14"/>
  <c r="L101" i="14" s="1"/>
  <c r="H101" i="13"/>
  <c r="H100" i="12"/>
  <c r="H101" i="11"/>
  <c r="F102" i="13"/>
  <c r="F102" i="11"/>
  <c r="F101" i="12"/>
  <c r="D103" i="13"/>
  <c r="D102" i="12"/>
  <c r="D103" i="11"/>
  <c r="J105" i="14"/>
  <c r="L105" i="14" s="1"/>
  <c r="H105" i="13"/>
  <c r="H104" i="12"/>
  <c r="H105" i="11"/>
  <c r="F106" i="13"/>
  <c r="F106" i="11"/>
  <c r="F105" i="12"/>
  <c r="D107" i="13"/>
  <c r="D106" i="12"/>
  <c r="D107" i="11"/>
  <c r="H109" i="13"/>
  <c r="J109" i="14"/>
  <c r="L109" i="14" s="1"/>
  <c r="H108" i="12"/>
  <c r="H109" i="11"/>
  <c r="F110" i="13"/>
  <c r="F110" i="11"/>
  <c r="F109" i="12"/>
  <c r="D131" i="14"/>
  <c r="D117" i="12"/>
  <c r="D118" i="12"/>
  <c r="D119" i="12"/>
  <c r="F120" i="12"/>
  <c r="D122" i="12"/>
  <c r="F125" i="12"/>
  <c r="F11" i="13"/>
  <c r="F27" i="14"/>
  <c r="F10" i="12"/>
  <c r="F11" i="11"/>
  <c r="D12" i="13"/>
  <c r="D12" i="11"/>
  <c r="D11" i="12"/>
  <c r="J14" i="14"/>
  <c r="L14" i="14" s="1"/>
  <c r="H14" i="13"/>
  <c r="H13" i="12"/>
  <c r="H14" i="11"/>
  <c r="F15" i="13"/>
  <c r="F14" i="12"/>
  <c r="F15" i="11"/>
  <c r="D16" i="13"/>
  <c r="D16" i="11"/>
  <c r="D15" i="12"/>
  <c r="J18" i="14"/>
  <c r="L18" i="14" s="1"/>
  <c r="H18" i="13"/>
  <c r="H17" i="12"/>
  <c r="H18" i="11"/>
  <c r="F19" i="13"/>
  <c r="F18" i="12"/>
  <c r="F19" i="11"/>
  <c r="D20" i="13"/>
  <c r="D20" i="11"/>
  <c r="D19" i="12"/>
  <c r="J24" i="14"/>
  <c r="L24" i="14" s="1"/>
  <c r="H24" i="13"/>
  <c r="H23" i="12"/>
  <c r="H24" i="11"/>
  <c r="F25" i="13"/>
  <c r="F25" i="11"/>
  <c r="F24" i="12"/>
  <c r="D26" i="13"/>
  <c r="D25" i="12"/>
  <c r="D26" i="11"/>
  <c r="F47" i="14"/>
  <c r="F30" i="13"/>
  <c r="F29" i="12"/>
  <c r="F30" i="11"/>
  <c r="D31" i="13"/>
  <c r="D30" i="12"/>
  <c r="D31" i="11"/>
  <c r="J33" i="14"/>
  <c r="L33" i="14" s="1"/>
  <c r="H33" i="13"/>
  <c r="H33" i="11"/>
  <c r="H32" i="12"/>
  <c r="F34" i="13"/>
  <c r="F33" i="12"/>
  <c r="F34" i="11"/>
  <c r="D35" i="13"/>
  <c r="D34" i="12"/>
  <c r="D35" i="11"/>
  <c r="J37" i="14"/>
  <c r="L37" i="14" s="1"/>
  <c r="H37" i="13"/>
  <c r="H37" i="11"/>
  <c r="H36" i="12"/>
  <c r="F38" i="13"/>
  <c r="F37" i="12"/>
  <c r="F38" i="11"/>
  <c r="D39" i="13"/>
  <c r="D38" i="12"/>
  <c r="D39" i="11"/>
  <c r="J41" i="14"/>
  <c r="L41" i="14" s="1"/>
  <c r="H41" i="13"/>
  <c r="H41" i="11"/>
  <c r="H40" i="12"/>
  <c r="F42" i="13"/>
  <c r="F41" i="12"/>
  <c r="F42" i="11"/>
  <c r="D43" i="13"/>
  <c r="D42" i="12"/>
  <c r="D43" i="11"/>
  <c r="J45" i="14"/>
  <c r="L45" i="14" s="1"/>
  <c r="H45" i="13"/>
  <c r="H45" i="11"/>
  <c r="H44" i="12"/>
  <c r="F46" i="13"/>
  <c r="F45" i="12"/>
  <c r="F46" i="11"/>
  <c r="H58" i="14"/>
  <c r="J50" i="14"/>
  <c r="H50" i="13"/>
  <c r="H49" i="12"/>
  <c r="H50" i="11"/>
  <c r="F51" i="13"/>
  <c r="F51" i="11"/>
  <c r="F50" i="12"/>
  <c r="D52" i="13"/>
  <c r="D51" i="12"/>
  <c r="D52" i="11"/>
  <c r="J54" i="14"/>
  <c r="L54" i="14" s="1"/>
  <c r="H53" i="12"/>
  <c r="H54" i="11"/>
  <c r="F55" i="13"/>
  <c r="F55" i="11"/>
  <c r="F54" i="12"/>
  <c r="D56" i="13"/>
  <c r="D55" i="12"/>
  <c r="D56" i="11"/>
  <c r="D65" i="14"/>
  <c r="D61" i="13"/>
  <c r="D60" i="12"/>
  <c r="D61" i="11"/>
  <c r="J63" i="14"/>
  <c r="L63" i="14" s="1"/>
  <c r="H63" i="13"/>
  <c r="H63" i="11"/>
  <c r="H62" i="12"/>
  <c r="F64" i="13"/>
  <c r="F63" i="12"/>
  <c r="F64" i="11"/>
  <c r="J68" i="14"/>
  <c r="H68" i="13"/>
  <c r="H79" i="14"/>
  <c r="H67" i="12"/>
  <c r="H68" i="11"/>
  <c r="F69" i="13"/>
  <c r="F69" i="11"/>
  <c r="F68" i="12"/>
  <c r="D70" i="13"/>
  <c r="D69" i="12"/>
  <c r="D70" i="11"/>
  <c r="J72" i="14"/>
  <c r="L72" i="14" s="1"/>
  <c r="H72" i="13"/>
  <c r="H71" i="12"/>
  <c r="H72" i="11"/>
  <c r="F73" i="13"/>
  <c r="F73" i="11"/>
  <c r="F72" i="12"/>
  <c r="D74" i="13"/>
  <c r="D73" i="12"/>
  <c r="D74" i="11"/>
  <c r="J76" i="14"/>
  <c r="L76" i="14" s="1"/>
  <c r="H76" i="13"/>
  <c r="H75" i="12"/>
  <c r="H76" i="11"/>
  <c r="F77" i="13"/>
  <c r="F77" i="11"/>
  <c r="F76" i="12"/>
  <c r="D78" i="13"/>
  <c r="D77" i="12"/>
  <c r="D78" i="11"/>
  <c r="F94" i="14"/>
  <c r="F82" i="13"/>
  <c r="F81" i="12"/>
  <c r="F82" i="11"/>
  <c r="D83" i="13"/>
  <c r="D82" i="12"/>
  <c r="D83" i="11"/>
  <c r="J85" i="14"/>
  <c r="L85" i="14" s="1"/>
  <c r="H85" i="13"/>
  <c r="H85" i="11"/>
  <c r="H84" i="12"/>
  <c r="F86" i="13"/>
  <c r="F85" i="12"/>
  <c r="F86" i="11"/>
  <c r="D86" i="12"/>
  <c r="D87" i="13"/>
  <c r="D87" i="11"/>
  <c r="J89" i="14"/>
  <c r="L89" i="14" s="1"/>
  <c r="H89" i="13"/>
  <c r="H88" i="12"/>
  <c r="H89" i="11"/>
  <c r="F90" i="13"/>
  <c r="F90" i="11"/>
  <c r="F89" i="12"/>
  <c r="D90" i="12"/>
  <c r="D91" i="13"/>
  <c r="D91" i="11"/>
  <c r="J93" i="14"/>
  <c r="L93" i="14" s="1"/>
  <c r="H93" i="13"/>
  <c r="H92" i="12"/>
  <c r="H93" i="11"/>
  <c r="J98" i="14"/>
  <c r="L98" i="14" s="1"/>
  <c r="H97" i="12"/>
  <c r="H98" i="13"/>
  <c r="H98" i="11"/>
  <c r="F99" i="13"/>
  <c r="F98" i="12"/>
  <c r="F99" i="11"/>
  <c r="D100" i="13"/>
  <c r="D99" i="12"/>
  <c r="D100" i="11"/>
  <c r="J102" i="14"/>
  <c r="L102" i="14" s="1"/>
  <c r="H101" i="12"/>
  <c r="H102" i="13"/>
  <c r="H102" i="11"/>
  <c r="F103" i="13"/>
  <c r="F102" i="12"/>
  <c r="F103" i="11"/>
  <c r="D104" i="13"/>
  <c r="D103" i="12"/>
  <c r="D104" i="11"/>
  <c r="J106" i="14"/>
  <c r="L106" i="14" s="1"/>
  <c r="H105" i="12"/>
  <c r="H106" i="13"/>
  <c r="H106" i="11"/>
  <c r="F107" i="13"/>
  <c r="F106" i="12"/>
  <c r="F107" i="11"/>
  <c r="D108" i="13"/>
  <c r="D107" i="12"/>
  <c r="D108" i="11"/>
  <c r="J110" i="14"/>
  <c r="L110" i="14" s="1"/>
  <c r="H110" i="13"/>
  <c r="H109" i="12"/>
  <c r="H110" i="11"/>
  <c r="F131" i="14"/>
  <c r="F117" i="12"/>
  <c r="F118" i="12"/>
  <c r="J121" i="14"/>
  <c r="L121" i="14" s="1"/>
  <c r="H119" i="12"/>
  <c r="J122" i="14"/>
  <c r="L122" i="14" s="1"/>
  <c r="H120" i="12"/>
  <c r="J11" i="14"/>
  <c r="H11" i="13"/>
  <c r="H27" i="14"/>
  <c r="H10" i="12"/>
  <c r="H11" i="11"/>
  <c r="F12" i="13"/>
  <c r="F11" i="12"/>
  <c r="F12" i="11"/>
  <c r="D13" i="13"/>
  <c r="D12" i="12"/>
  <c r="D13" i="11"/>
  <c r="J15" i="14"/>
  <c r="L15" i="14" s="1"/>
  <c r="H15" i="13"/>
  <c r="J15" i="13" s="1"/>
  <c r="L15" i="13" s="1"/>
  <c r="H14" i="12"/>
  <c r="J14" i="12" s="1"/>
  <c r="L14" i="12" s="1"/>
  <c r="H15" i="11"/>
  <c r="J15" i="11" s="1"/>
  <c r="L15" i="11" s="1"/>
  <c r="F16" i="13"/>
  <c r="F15" i="12"/>
  <c r="F16" i="11"/>
  <c r="D17" i="13"/>
  <c r="D16" i="12"/>
  <c r="D17" i="11"/>
  <c r="J19" i="14"/>
  <c r="L19" i="14" s="1"/>
  <c r="H19" i="13"/>
  <c r="J19" i="13" s="1"/>
  <c r="L19" i="13" s="1"/>
  <c r="H18" i="12"/>
  <c r="J18" i="12" s="1"/>
  <c r="L18" i="12" s="1"/>
  <c r="H19" i="11"/>
  <c r="J19" i="11" s="1"/>
  <c r="L19" i="11" s="1"/>
  <c r="F20" i="13"/>
  <c r="F19" i="12"/>
  <c r="F20" i="11"/>
  <c r="D21" i="13"/>
  <c r="D20" i="12"/>
  <c r="D21" i="11"/>
  <c r="D23" i="13"/>
  <c r="D22" i="12"/>
  <c r="D23" i="11"/>
  <c r="J25" i="14"/>
  <c r="L25" i="14" s="1"/>
  <c r="H25" i="13"/>
  <c r="J25" i="13" s="1"/>
  <c r="L25" i="13" s="1"/>
  <c r="H25" i="11"/>
  <c r="J25" i="11" s="1"/>
  <c r="L25" i="11" s="1"/>
  <c r="H24" i="12"/>
  <c r="J24" i="12" s="1"/>
  <c r="L24" i="12" s="1"/>
  <c r="F26" i="13"/>
  <c r="F25" i="12"/>
  <c r="F26" i="11"/>
  <c r="J30" i="14"/>
  <c r="H30" i="13"/>
  <c r="H47" i="14"/>
  <c r="H29" i="12"/>
  <c r="H30" i="11"/>
  <c r="F31" i="13"/>
  <c r="F31" i="11"/>
  <c r="F30" i="12"/>
  <c r="D32" i="13"/>
  <c r="D31" i="12"/>
  <c r="D32" i="11"/>
  <c r="J34" i="14"/>
  <c r="L34" i="14" s="1"/>
  <c r="H34" i="13"/>
  <c r="J34" i="13" s="1"/>
  <c r="L34" i="13" s="1"/>
  <c r="H33" i="12"/>
  <c r="J33" i="12" s="1"/>
  <c r="L33" i="12" s="1"/>
  <c r="H34" i="11"/>
  <c r="J34" i="11" s="1"/>
  <c r="L34" i="11" s="1"/>
  <c r="F35" i="13"/>
  <c r="F35" i="11"/>
  <c r="F34" i="12"/>
  <c r="D36" i="13"/>
  <c r="D35" i="12"/>
  <c r="D36" i="11"/>
  <c r="J38" i="14"/>
  <c r="L38" i="14" s="1"/>
  <c r="H38" i="13"/>
  <c r="J38" i="13" s="1"/>
  <c r="L38" i="13" s="1"/>
  <c r="H37" i="12"/>
  <c r="J37" i="12" s="1"/>
  <c r="L37" i="12" s="1"/>
  <c r="H38" i="11"/>
  <c r="J38" i="11" s="1"/>
  <c r="L38" i="11" s="1"/>
  <c r="F39" i="13"/>
  <c r="F39" i="11"/>
  <c r="F38" i="12"/>
  <c r="D40" i="13"/>
  <c r="D39" i="12"/>
  <c r="D40" i="11"/>
  <c r="J42" i="14"/>
  <c r="L42" i="14" s="1"/>
  <c r="H42" i="13"/>
  <c r="J42" i="13" s="1"/>
  <c r="L42" i="13" s="1"/>
  <c r="H41" i="12"/>
  <c r="J41" i="12" s="1"/>
  <c r="L41" i="12" s="1"/>
  <c r="H42" i="11"/>
  <c r="J42" i="11" s="1"/>
  <c r="L42" i="11" s="1"/>
  <c r="F43" i="13"/>
  <c r="F43" i="11"/>
  <c r="F42" i="12"/>
  <c r="D44" i="13"/>
  <c r="D43" i="12"/>
  <c r="D44" i="11"/>
  <c r="J46" i="14"/>
  <c r="L46" i="14" s="1"/>
  <c r="H46" i="13"/>
  <c r="J46" i="13" s="1"/>
  <c r="L46" i="13" s="1"/>
  <c r="H45" i="12"/>
  <c r="J45" i="12" s="1"/>
  <c r="L45" i="12" s="1"/>
  <c r="H46" i="11"/>
  <c r="J46" i="11" s="1"/>
  <c r="L46" i="11" s="1"/>
  <c r="J51" i="14"/>
  <c r="L51" i="14" s="1"/>
  <c r="H51" i="13"/>
  <c r="J51" i="13" s="1"/>
  <c r="L51" i="13" s="1"/>
  <c r="H51" i="11"/>
  <c r="J51" i="11" s="1"/>
  <c r="L51" i="11" s="1"/>
  <c r="H50" i="12"/>
  <c r="J50" i="12" s="1"/>
  <c r="L50" i="12" s="1"/>
  <c r="F52" i="13"/>
  <c r="F51" i="12"/>
  <c r="F52" i="11"/>
  <c r="D53" i="13"/>
  <c r="D52" i="12"/>
  <c r="D53" i="11"/>
  <c r="J55" i="14"/>
  <c r="L55" i="14" s="1"/>
  <c r="H55" i="13"/>
  <c r="J55" i="13" s="1"/>
  <c r="L55" i="13" s="1"/>
  <c r="H55" i="11"/>
  <c r="J55" i="11" s="1"/>
  <c r="L55" i="11" s="1"/>
  <c r="H54" i="12"/>
  <c r="J54" i="12" s="1"/>
  <c r="L54" i="12" s="1"/>
  <c r="F56" i="13"/>
  <c r="F55" i="12"/>
  <c r="F56" i="11"/>
  <c r="D57" i="13"/>
  <c r="D56" i="12"/>
  <c r="D57" i="11"/>
  <c r="F65" i="14"/>
  <c r="F61" i="13"/>
  <c r="F61" i="11"/>
  <c r="F60" i="12"/>
  <c r="D62" i="13"/>
  <c r="D61" i="12"/>
  <c r="F119" i="4" s="1"/>
  <c r="F85" i="4" s="1"/>
  <c r="D62" i="11"/>
  <c r="J64" i="14"/>
  <c r="L64" i="14" s="1"/>
  <c r="H64" i="13"/>
  <c r="J64" i="13" s="1"/>
  <c r="L64" i="13" s="1"/>
  <c r="H63" i="12"/>
  <c r="J63" i="12" s="1"/>
  <c r="L63" i="12" s="1"/>
  <c r="H64" i="11"/>
  <c r="J64" i="11" s="1"/>
  <c r="L64" i="11" s="1"/>
  <c r="J69" i="14"/>
  <c r="L69" i="14" s="1"/>
  <c r="H69" i="13"/>
  <c r="J69" i="13" s="1"/>
  <c r="L69" i="13" s="1"/>
  <c r="H69" i="11"/>
  <c r="J69" i="11" s="1"/>
  <c r="L69" i="11" s="1"/>
  <c r="H68" i="12"/>
  <c r="J68" i="12" s="1"/>
  <c r="L68" i="12" s="1"/>
  <c r="F70" i="13"/>
  <c r="F69" i="12"/>
  <c r="F70" i="11"/>
  <c r="D71" i="13"/>
  <c r="D70" i="12"/>
  <c r="D71" i="11"/>
  <c r="J73" i="14"/>
  <c r="L73" i="14" s="1"/>
  <c r="H73" i="13"/>
  <c r="J73" i="13" s="1"/>
  <c r="L73" i="13" s="1"/>
  <c r="H73" i="11"/>
  <c r="J73" i="11" s="1"/>
  <c r="L73" i="11" s="1"/>
  <c r="H72" i="12"/>
  <c r="J72" i="12" s="1"/>
  <c r="L72" i="12" s="1"/>
  <c r="F74" i="13"/>
  <c r="F73" i="12"/>
  <c r="F74" i="11"/>
  <c r="D75" i="13"/>
  <c r="D74" i="12"/>
  <c r="D75" i="11"/>
  <c r="J77" i="14"/>
  <c r="L77" i="14" s="1"/>
  <c r="H77" i="13"/>
  <c r="J77" i="13" s="1"/>
  <c r="L77" i="13" s="1"/>
  <c r="H77" i="11"/>
  <c r="J77" i="11" s="1"/>
  <c r="L77" i="11" s="1"/>
  <c r="H76" i="12"/>
  <c r="J76" i="12" s="1"/>
  <c r="L76" i="12" s="1"/>
  <c r="F78" i="13"/>
  <c r="F77" i="12"/>
  <c r="F78" i="11"/>
  <c r="H94" i="14"/>
  <c r="J82" i="14"/>
  <c r="H82" i="13"/>
  <c r="H81" i="12"/>
  <c r="H82" i="11"/>
  <c r="F83" i="13"/>
  <c r="F83" i="11"/>
  <c r="F82" i="12"/>
  <c r="D84" i="13"/>
  <c r="D83" i="12"/>
  <c r="D84" i="11"/>
  <c r="J86" i="14"/>
  <c r="L86" i="14" s="1"/>
  <c r="H86" i="13"/>
  <c r="J86" i="13" s="1"/>
  <c r="L86" i="13" s="1"/>
  <c r="H85" i="12"/>
  <c r="J85" i="12" s="1"/>
  <c r="L85" i="12" s="1"/>
  <c r="H86" i="11"/>
  <c r="J86" i="11" s="1"/>
  <c r="L86" i="11" s="1"/>
  <c r="F87" i="13"/>
  <c r="F86" i="12"/>
  <c r="F87" i="11"/>
  <c r="D88" i="13"/>
  <c r="D87" i="12"/>
  <c r="D88" i="11"/>
  <c r="J90" i="14"/>
  <c r="L90" i="14" s="1"/>
  <c r="H90" i="13"/>
  <c r="J90" i="13" s="1"/>
  <c r="L90" i="13" s="1"/>
  <c r="H89" i="12"/>
  <c r="J89" i="12" s="1"/>
  <c r="L89" i="12" s="1"/>
  <c r="H90" i="11"/>
  <c r="J90" i="11" s="1"/>
  <c r="L90" i="11" s="1"/>
  <c r="F90" i="12"/>
  <c r="F91" i="13"/>
  <c r="F91" i="11"/>
  <c r="D92" i="13"/>
  <c r="D91" i="12"/>
  <c r="D92" i="11"/>
  <c r="D97" i="13"/>
  <c r="D96" i="12"/>
  <c r="D111" i="14"/>
  <c r="D97" i="11"/>
  <c r="J99" i="14"/>
  <c r="L99" i="14" s="1"/>
  <c r="H99" i="13"/>
  <c r="J99" i="13" s="1"/>
  <c r="L99" i="13" s="1"/>
  <c r="H98" i="12"/>
  <c r="J98" i="12" s="1"/>
  <c r="L98" i="12" s="1"/>
  <c r="H99" i="11"/>
  <c r="J99" i="11" s="1"/>
  <c r="L99" i="11" s="1"/>
  <c r="F100" i="13"/>
  <c r="F100" i="11"/>
  <c r="F99" i="12"/>
  <c r="D101" i="13"/>
  <c r="D100" i="12"/>
  <c r="D101" i="11"/>
  <c r="J103" i="14"/>
  <c r="L103" i="14" s="1"/>
  <c r="H103" i="13"/>
  <c r="J103" i="13" s="1"/>
  <c r="L103" i="13" s="1"/>
  <c r="H102" i="12"/>
  <c r="J102" i="12" s="1"/>
  <c r="L102" i="12" s="1"/>
  <c r="H103" i="11"/>
  <c r="J103" i="11" s="1"/>
  <c r="L103" i="11" s="1"/>
  <c r="F104" i="13"/>
  <c r="F104" i="11"/>
  <c r="F103" i="12"/>
  <c r="D105" i="13"/>
  <c r="D104" i="12"/>
  <c r="D105" i="11"/>
  <c r="J107" i="14"/>
  <c r="L107" i="14" s="1"/>
  <c r="H107" i="13"/>
  <c r="J107" i="13" s="1"/>
  <c r="L107" i="13" s="1"/>
  <c r="H106" i="12"/>
  <c r="J106" i="12" s="1"/>
  <c r="L106" i="12" s="1"/>
  <c r="H107" i="11"/>
  <c r="J107" i="11" s="1"/>
  <c r="L107" i="11" s="1"/>
  <c r="F108" i="13"/>
  <c r="F107" i="12"/>
  <c r="F108" i="11"/>
  <c r="D108" i="12"/>
  <c r="D109" i="13"/>
  <c r="D109" i="11"/>
  <c r="H131" i="14"/>
  <c r="J119" i="14"/>
  <c r="H117" i="12"/>
  <c r="H12" i="13"/>
  <c r="J12" i="13" s="1"/>
  <c r="L12" i="13" s="1"/>
  <c r="J12" i="14"/>
  <c r="L12" i="14" s="1"/>
  <c r="H11" i="12"/>
  <c r="J11" i="12" s="1"/>
  <c r="L11" i="12" s="1"/>
  <c r="H12" i="11"/>
  <c r="J12" i="11" s="1"/>
  <c r="L12" i="11" s="1"/>
  <c r="F13" i="13"/>
  <c r="F12" i="12"/>
  <c r="F13" i="11"/>
  <c r="D14" i="13"/>
  <c r="D14" i="11"/>
  <c r="D13" i="12"/>
  <c r="H16" i="13"/>
  <c r="J16" i="13" s="1"/>
  <c r="L16" i="13" s="1"/>
  <c r="J16" i="14"/>
  <c r="L16" i="14" s="1"/>
  <c r="H15" i="12"/>
  <c r="J15" i="12" s="1"/>
  <c r="L15" i="12" s="1"/>
  <c r="H16" i="11"/>
  <c r="J16" i="11" s="1"/>
  <c r="L16" i="11" s="1"/>
  <c r="F17" i="13"/>
  <c r="F16" i="12"/>
  <c r="F17" i="11"/>
  <c r="D18" i="13"/>
  <c r="D18" i="11"/>
  <c r="D17" i="12"/>
  <c r="H20" i="13"/>
  <c r="J20" i="13" s="1"/>
  <c r="L20" i="13" s="1"/>
  <c r="J20" i="14"/>
  <c r="L20" i="14" s="1"/>
  <c r="H19" i="12"/>
  <c r="J19" i="12" s="1"/>
  <c r="L19" i="12" s="1"/>
  <c r="H20" i="11"/>
  <c r="J20" i="11" s="1"/>
  <c r="L20" i="11" s="1"/>
  <c r="F21" i="13"/>
  <c r="F21" i="11"/>
  <c r="F20" i="12"/>
  <c r="J22" i="14"/>
  <c r="L22" i="14" s="1"/>
  <c r="D22" i="13"/>
  <c r="D22" i="11"/>
  <c r="D21" i="12"/>
  <c r="F23" i="13"/>
  <c r="F23" i="11"/>
  <c r="F22" i="12"/>
  <c r="D24" i="13"/>
  <c r="D23" i="12"/>
  <c r="D24" i="11"/>
  <c r="H26" i="13"/>
  <c r="J26" i="13" s="1"/>
  <c r="L26" i="13" s="1"/>
  <c r="J26" i="14"/>
  <c r="L26" i="14" s="1"/>
  <c r="H25" i="12"/>
  <c r="J25" i="12" s="1"/>
  <c r="L25" i="12" s="1"/>
  <c r="H26" i="11"/>
  <c r="J26" i="11" s="1"/>
  <c r="L26" i="11" s="1"/>
  <c r="H31" i="13"/>
  <c r="J31" i="13" s="1"/>
  <c r="L31" i="13" s="1"/>
  <c r="J31" i="14"/>
  <c r="L31" i="14" s="1"/>
  <c r="H31" i="11"/>
  <c r="J31" i="11" s="1"/>
  <c r="L31" i="11" s="1"/>
  <c r="H30" i="12"/>
  <c r="J30" i="12" s="1"/>
  <c r="L30" i="12" s="1"/>
  <c r="F32" i="13"/>
  <c r="F31" i="12"/>
  <c r="F32" i="11"/>
  <c r="D33" i="13"/>
  <c r="D32" i="12"/>
  <c r="D33" i="11"/>
  <c r="H35" i="13"/>
  <c r="J35" i="13" s="1"/>
  <c r="L35" i="13" s="1"/>
  <c r="J35" i="14"/>
  <c r="L35" i="14" s="1"/>
  <c r="H35" i="11"/>
  <c r="J35" i="11" s="1"/>
  <c r="L35" i="11" s="1"/>
  <c r="H34" i="12"/>
  <c r="J34" i="12" s="1"/>
  <c r="L34" i="12" s="1"/>
  <c r="F36" i="13"/>
  <c r="F35" i="12"/>
  <c r="F36" i="11"/>
  <c r="D37" i="13"/>
  <c r="D36" i="12"/>
  <c r="D37" i="11"/>
  <c r="H39" i="13"/>
  <c r="J39" i="13" s="1"/>
  <c r="L39" i="13" s="1"/>
  <c r="J39" i="14"/>
  <c r="L39" i="14" s="1"/>
  <c r="H39" i="11"/>
  <c r="J39" i="11" s="1"/>
  <c r="L39" i="11" s="1"/>
  <c r="H38" i="12"/>
  <c r="J38" i="12" s="1"/>
  <c r="L38" i="12" s="1"/>
  <c r="F40" i="13"/>
  <c r="F39" i="12"/>
  <c r="F40" i="11"/>
  <c r="D41" i="13"/>
  <c r="D40" i="12"/>
  <c r="D41" i="11"/>
  <c r="H43" i="13"/>
  <c r="J43" i="13" s="1"/>
  <c r="L43" i="13" s="1"/>
  <c r="J43" i="14"/>
  <c r="L43" i="14" s="1"/>
  <c r="H43" i="11"/>
  <c r="J43" i="11" s="1"/>
  <c r="L43" i="11" s="1"/>
  <c r="H42" i="12"/>
  <c r="J42" i="12" s="1"/>
  <c r="L42" i="12" s="1"/>
  <c r="F44" i="13"/>
  <c r="F43" i="12"/>
  <c r="F44" i="11"/>
  <c r="D45" i="13"/>
  <c r="D44" i="12"/>
  <c r="D45" i="11"/>
  <c r="D58" i="14"/>
  <c r="D50" i="13"/>
  <c r="D49" i="12"/>
  <c r="D50" i="11"/>
  <c r="H52" i="13"/>
  <c r="J52" i="13" s="1"/>
  <c r="L52" i="13" s="1"/>
  <c r="J52" i="14"/>
  <c r="L52" i="14" s="1"/>
  <c r="H51" i="12"/>
  <c r="J51" i="12" s="1"/>
  <c r="L51" i="12" s="1"/>
  <c r="H52" i="11"/>
  <c r="J52" i="11" s="1"/>
  <c r="L52" i="11" s="1"/>
  <c r="F53" i="13"/>
  <c r="F53" i="11"/>
  <c r="F52" i="12"/>
  <c r="D53" i="12"/>
  <c r="D54" i="11"/>
  <c r="H56" i="13"/>
  <c r="J56" i="13" s="1"/>
  <c r="L56" i="13" s="1"/>
  <c r="J56" i="14"/>
  <c r="L56" i="14" s="1"/>
  <c r="H55" i="12"/>
  <c r="J55" i="12" s="1"/>
  <c r="L55" i="12" s="1"/>
  <c r="H56" i="11"/>
  <c r="J56" i="11" s="1"/>
  <c r="L56" i="11" s="1"/>
  <c r="F57" i="13"/>
  <c r="F57" i="11"/>
  <c r="F56" i="12"/>
  <c r="H61" i="13"/>
  <c r="H65" i="14"/>
  <c r="J61" i="14"/>
  <c r="H61" i="11"/>
  <c r="H60" i="12"/>
  <c r="F62" i="13"/>
  <c r="F61" i="12"/>
  <c r="H119" i="4" s="1"/>
  <c r="H85" i="4" s="1"/>
  <c r="F62" i="11"/>
  <c r="D63" i="13"/>
  <c r="D62" i="12"/>
  <c r="D63" i="11"/>
  <c r="D79" i="14"/>
  <c r="D68" i="13"/>
  <c r="D67" i="12"/>
  <c r="D68" i="11"/>
  <c r="H70" i="13"/>
  <c r="J70" i="13" s="1"/>
  <c r="L70" i="13" s="1"/>
  <c r="J70" i="14"/>
  <c r="L70" i="14" s="1"/>
  <c r="H69" i="12"/>
  <c r="J69" i="12" s="1"/>
  <c r="L69" i="12" s="1"/>
  <c r="H70" i="11"/>
  <c r="J70" i="11" s="1"/>
  <c r="L70" i="11" s="1"/>
  <c r="F71" i="13"/>
  <c r="F71" i="11"/>
  <c r="F70" i="12"/>
  <c r="D72" i="13"/>
  <c r="D71" i="12"/>
  <c r="D72" i="11"/>
  <c r="H74" i="13"/>
  <c r="J74" i="13" s="1"/>
  <c r="L74" i="13" s="1"/>
  <c r="J74" i="14"/>
  <c r="L74" i="14" s="1"/>
  <c r="H73" i="12"/>
  <c r="J73" i="12" s="1"/>
  <c r="L73" i="12" s="1"/>
  <c r="H74" i="11"/>
  <c r="J74" i="11" s="1"/>
  <c r="L74" i="11" s="1"/>
  <c r="F75" i="13"/>
  <c r="F75" i="11"/>
  <c r="F74" i="12"/>
  <c r="D76" i="13"/>
  <c r="D75" i="12"/>
  <c r="D76" i="11"/>
  <c r="H78" i="13"/>
  <c r="J78" i="13" s="1"/>
  <c r="L78" i="13" s="1"/>
  <c r="J78" i="14"/>
  <c r="L78" i="14" s="1"/>
  <c r="H77" i="12"/>
  <c r="J77" i="12" s="1"/>
  <c r="L77" i="12" s="1"/>
  <c r="H78" i="11"/>
  <c r="J78" i="11" s="1"/>
  <c r="L78" i="11" s="1"/>
  <c r="H83" i="13"/>
  <c r="J83" i="13" s="1"/>
  <c r="L83" i="13" s="1"/>
  <c r="J83" i="14"/>
  <c r="L83" i="14" s="1"/>
  <c r="H83" i="11"/>
  <c r="J83" i="11" s="1"/>
  <c r="L83" i="11" s="1"/>
  <c r="H82" i="12"/>
  <c r="J82" i="12" s="1"/>
  <c r="L82" i="12" s="1"/>
  <c r="F84" i="13"/>
  <c r="F83" i="12"/>
  <c r="F84" i="11"/>
  <c r="D85" i="13"/>
  <c r="D84" i="12"/>
  <c r="D85" i="11"/>
  <c r="H87" i="13"/>
  <c r="J87" i="13" s="1"/>
  <c r="L87" i="13" s="1"/>
  <c r="J87" i="14"/>
  <c r="L87" i="14" s="1"/>
  <c r="H86" i="12"/>
  <c r="J86" i="12" s="1"/>
  <c r="L86" i="12" s="1"/>
  <c r="H87" i="11"/>
  <c r="J87" i="11" s="1"/>
  <c r="L87" i="11" s="1"/>
  <c r="F88" i="13"/>
  <c r="F88" i="11"/>
  <c r="F87" i="12"/>
  <c r="D88" i="12"/>
  <c r="D89" i="13"/>
  <c r="D89" i="11"/>
  <c r="H91" i="13"/>
  <c r="J91" i="13" s="1"/>
  <c r="L91" i="13" s="1"/>
  <c r="J91" i="14"/>
  <c r="L91" i="14" s="1"/>
  <c r="H90" i="12"/>
  <c r="J90" i="12" s="1"/>
  <c r="L90" i="12" s="1"/>
  <c r="H91" i="11"/>
  <c r="J91" i="11" s="1"/>
  <c r="L91" i="11" s="1"/>
  <c r="F92" i="13"/>
  <c r="F92" i="11"/>
  <c r="F91" i="12"/>
  <c r="D92" i="12"/>
  <c r="D93" i="13"/>
  <c r="D93" i="11"/>
  <c r="F97" i="13"/>
  <c r="F96" i="12"/>
  <c r="F111" i="14"/>
  <c r="F114" i="14" s="1"/>
  <c r="F97" i="11"/>
  <c r="D98" i="13"/>
  <c r="D97" i="12"/>
  <c r="D98" i="11"/>
  <c r="H99" i="12"/>
  <c r="J99" i="12" s="1"/>
  <c r="L99" i="12" s="1"/>
  <c r="J100" i="14"/>
  <c r="L100" i="14" s="1"/>
  <c r="H100" i="13"/>
  <c r="J100" i="13" s="1"/>
  <c r="L100" i="13" s="1"/>
  <c r="H100" i="11"/>
  <c r="J100" i="11" s="1"/>
  <c r="L100" i="11" s="1"/>
  <c r="F101" i="13"/>
  <c r="F100" i="12"/>
  <c r="F101" i="11"/>
  <c r="D102" i="13"/>
  <c r="D101" i="12"/>
  <c r="D102" i="11"/>
  <c r="H103" i="12"/>
  <c r="J103" i="12" s="1"/>
  <c r="L103" i="12" s="1"/>
  <c r="J104" i="14"/>
  <c r="L104" i="14" s="1"/>
  <c r="H104" i="13"/>
  <c r="J104" i="13" s="1"/>
  <c r="L104" i="13" s="1"/>
  <c r="H104" i="11"/>
  <c r="J104" i="11" s="1"/>
  <c r="L104" i="11" s="1"/>
  <c r="F105" i="13"/>
  <c r="F104" i="12"/>
  <c r="F105" i="11"/>
  <c r="D106" i="13"/>
  <c r="D105" i="12"/>
  <c r="D106" i="11"/>
  <c r="H108" i="13"/>
  <c r="J108" i="13" s="1"/>
  <c r="L108" i="13" s="1"/>
  <c r="H107" i="12"/>
  <c r="J107" i="12" s="1"/>
  <c r="L107" i="12" s="1"/>
  <c r="J108" i="14"/>
  <c r="L108" i="14" s="1"/>
  <c r="H108" i="11"/>
  <c r="J108" i="11" s="1"/>
  <c r="L108" i="11" s="1"/>
  <c r="F108" i="12"/>
  <c r="F109" i="13"/>
  <c r="F109" i="11"/>
  <c r="D110" i="13"/>
  <c r="D109" i="12"/>
  <c r="D110" i="11"/>
  <c r="F121" i="12"/>
  <c r="J126" i="14"/>
  <c r="L126" i="14" s="1"/>
  <c r="H124" i="12"/>
  <c r="D121" i="12"/>
  <c r="J125" i="14"/>
  <c r="L125" i="14" s="1"/>
  <c r="H123" i="12"/>
  <c r="F124" i="12"/>
  <c r="D125" i="12"/>
  <c r="J129" i="14"/>
  <c r="L129" i="14" s="1"/>
  <c r="H22" i="13"/>
  <c r="H127" i="12"/>
  <c r="H22" i="11"/>
  <c r="F128" i="12"/>
  <c r="J134" i="14"/>
  <c r="H145" i="14"/>
  <c r="H132" i="12"/>
  <c r="F133" i="12"/>
  <c r="D134" i="12"/>
  <c r="J138" i="14"/>
  <c r="L138" i="14" s="1"/>
  <c r="H136" i="12"/>
  <c r="F137" i="12"/>
  <c r="D138" i="12"/>
  <c r="J142" i="14"/>
  <c r="L142" i="14" s="1"/>
  <c r="H140" i="12"/>
  <c r="F141" i="12"/>
  <c r="D142" i="12"/>
  <c r="F154" i="14"/>
  <c r="F146" i="12"/>
  <c r="D147" i="12"/>
  <c r="J151" i="14"/>
  <c r="L151" i="14" s="1"/>
  <c r="H54" i="13"/>
  <c r="D151" i="12"/>
  <c r="F159" i="14"/>
  <c r="F155" i="12"/>
  <c r="F157" i="12" s="1"/>
  <c r="D156" i="12"/>
  <c r="J156" i="12" s="1"/>
  <c r="L156" i="12" s="1"/>
  <c r="F168" i="14"/>
  <c r="F160" i="12"/>
  <c r="D161" i="12"/>
  <c r="J165" i="14"/>
  <c r="L165" i="14" s="1"/>
  <c r="H163" i="12"/>
  <c r="F164" i="12"/>
  <c r="D165" i="12"/>
  <c r="F178" i="14"/>
  <c r="F169" i="12"/>
  <c r="D170" i="12"/>
  <c r="J174" i="14"/>
  <c r="L174" i="14" s="1"/>
  <c r="H172" i="12"/>
  <c r="F173" i="12"/>
  <c r="D174" i="12"/>
  <c r="D190" i="14"/>
  <c r="D179" i="12"/>
  <c r="J183" i="14"/>
  <c r="L183" i="14" s="1"/>
  <c r="H181" i="12"/>
  <c r="F182" i="12"/>
  <c r="D183" i="12"/>
  <c r="J187" i="14"/>
  <c r="L187" i="14" s="1"/>
  <c r="H185" i="12"/>
  <c r="F186" i="12"/>
  <c r="D187" i="12"/>
  <c r="H11" i="15"/>
  <c r="H23" i="16"/>
  <c r="J11" i="16"/>
  <c r="F12" i="15"/>
  <c r="D13" i="15"/>
  <c r="H15" i="15"/>
  <c r="J15" i="16"/>
  <c r="L15" i="16" s="1"/>
  <c r="F16" i="15"/>
  <c r="D18" i="15"/>
  <c r="J19" i="16"/>
  <c r="L19" i="16" s="1"/>
  <c r="H20" i="15"/>
  <c r="F21" i="15"/>
  <c r="D22" i="15"/>
  <c r="D39" i="16"/>
  <c r="D27" i="15"/>
  <c r="F30" i="15"/>
  <c r="D31" i="15"/>
  <c r="J32" i="16"/>
  <c r="L32" i="16" s="1"/>
  <c r="H33" i="15"/>
  <c r="F34" i="15"/>
  <c r="D35" i="15"/>
  <c r="J36" i="16"/>
  <c r="L36" i="16" s="1"/>
  <c r="H37" i="15"/>
  <c r="F38" i="15"/>
  <c r="D39" i="15"/>
  <c r="F43" i="16"/>
  <c r="F43" i="15"/>
  <c r="F44" i="15" s="1"/>
  <c r="J46" i="16"/>
  <c r="H53" i="16"/>
  <c r="H47" i="15"/>
  <c r="F48" i="15"/>
  <c r="D49" i="15"/>
  <c r="H51" i="15"/>
  <c r="J50" i="16"/>
  <c r="L50" i="16" s="1"/>
  <c r="F52" i="15"/>
  <c r="D53" i="15"/>
  <c r="J62" i="16"/>
  <c r="L62" i="16" s="1"/>
  <c r="J66" i="16"/>
  <c r="L66" i="16" s="1"/>
  <c r="J70" i="16"/>
  <c r="L70" i="16" s="1"/>
  <c r="J75" i="16"/>
  <c r="L75" i="16" s="1"/>
  <c r="F36" i="15"/>
  <c r="F139" i="12"/>
  <c r="J82" i="16"/>
  <c r="L82" i="16" s="1"/>
  <c r="H23" i="18"/>
  <c r="H12" i="17"/>
  <c r="F13" i="17"/>
  <c r="J13" i="18"/>
  <c r="L13" i="18" s="1"/>
  <c r="D14" i="17"/>
  <c r="H16" i="17"/>
  <c r="F17" i="17"/>
  <c r="J19" i="18"/>
  <c r="L19" i="18" s="1"/>
  <c r="D20" i="17"/>
  <c r="H22" i="17"/>
  <c r="F23" i="17"/>
  <c r="H29" i="18"/>
  <c r="H27" i="17"/>
  <c r="F28" i="17"/>
  <c r="J28" i="18"/>
  <c r="L28" i="18" s="1"/>
  <c r="D29" i="17"/>
  <c r="H10" i="26"/>
  <c r="H33" i="22"/>
  <c r="L11" i="26"/>
  <c r="D12" i="26"/>
  <c r="R12" i="22"/>
  <c r="N12" i="26"/>
  <c r="F13" i="26"/>
  <c r="P13" i="26"/>
  <c r="H14" i="26"/>
  <c r="L15" i="26"/>
  <c r="D16" i="26"/>
  <c r="R16" i="22"/>
  <c r="N16" i="26"/>
  <c r="F17" i="26"/>
  <c r="P17" i="26"/>
  <c r="H18" i="26"/>
  <c r="L19" i="26"/>
  <c r="D20" i="26"/>
  <c r="R20" i="22"/>
  <c r="L21" i="26"/>
  <c r="D22" i="26"/>
  <c r="R22" i="22"/>
  <c r="L23" i="26"/>
  <c r="D24" i="26"/>
  <c r="R24" i="22"/>
  <c r="L25" i="26"/>
  <c r="D26" i="26"/>
  <c r="R26" i="22"/>
  <c r="N26" i="26"/>
  <c r="F27" i="26"/>
  <c r="P27" i="26"/>
  <c r="H28" i="26"/>
  <c r="L29" i="26"/>
  <c r="D30" i="26"/>
  <c r="R30" i="22"/>
  <c r="N30" i="26"/>
  <c r="F31" i="26"/>
  <c r="P31" i="26"/>
  <c r="H32" i="26"/>
  <c r="H36" i="26"/>
  <c r="L37" i="26"/>
  <c r="D38" i="26"/>
  <c r="R38" i="22"/>
  <c r="N38" i="26"/>
  <c r="F39" i="26"/>
  <c r="P39" i="26"/>
  <c r="H40" i="26"/>
  <c r="L41" i="26"/>
  <c r="D42" i="26"/>
  <c r="D64" i="22"/>
  <c r="R42" i="22"/>
  <c r="N42" i="26"/>
  <c r="N64" i="22"/>
  <c r="F45" i="26"/>
  <c r="P45" i="26"/>
  <c r="H46" i="26"/>
  <c r="L47" i="26"/>
  <c r="D48" i="26"/>
  <c r="R46" i="22"/>
  <c r="N48" i="26"/>
  <c r="F49" i="26"/>
  <c r="P49" i="26"/>
  <c r="H50" i="26"/>
  <c r="L51" i="26"/>
  <c r="D52" i="26"/>
  <c r="R50" i="22"/>
  <c r="N52" i="26"/>
  <c r="F53" i="26"/>
  <c r="P53" i="26"/>
  <c r="H54" i="26"/>
  <c r="L55" i="26"/>
  <c r="D56" i="26"/>
  <c r="R54" i="22"/>
  <c r="N56" i="26"/>
  <c r="F57" i="26"/>
  <c r="P57" i="26"/>
  <c r="H58" i="26"/>
  <c r="L59" i="26"/>
  <c r="D60" i="26"/>
  <c r="R58" i="22"/>
  <c r="N60" i="26"/>
  <c r="F61" i="26"/>
  <c r="P61" i="26"/>
  <c r="H62" i="26"/>
  <c r="L63" i="26"/>
  <c r="D64" i="26"/>
  <c r="R62" i="22"/>
  <c r="N64" i="26"/>
  <c r="F65" i="26"/>
  <c r="P65" i="26"/>
  <c r="F67" i="26"/>
  <c r="P67" i="26"/>
  <c r="H68" i="26"/>
  <c r="L69" i="26"/>
  <c r="F70" i="26"/>
  <c r="D71" i="26"/>
  <c r="R69" i="22"/>
  <c r="P71" i="26"/>
  <c r="F75" i="26"/>
  <c r="L77" i="26"/>
  <c r="P79" i="26"/>
  <c r="D86" i="26"/>
  <c r="R84" i="22"/>
  <c r="D126" i="12"/>
  <c r="J130" i="14"/>
  <c r="L130" i="14" s="1"/>
  <c r="H128" i="12"/>
  <c r="J135" i="14"/>
  <c r="L135" i="14" s="1"/>
  <c r="H133" i="12"/>
  <c r="F134" i="12"/>
  <c r="D135" i="12"/>
  <c r="J139" i="14"/>
  <c r="L139" i="14" s="1"/>
  <c r="H137" i="12"/>
  <c r="F138" i="12"/>
  <c r="J143" i="14"/>
  <c r="L143" i="14" s="1"/>
  <c r="H141" i="12"/>
  <c r="F142" i="12"/>
  <c r="J148" i="14"/>
  <c r="H154" i="14"/>
  <c r="H146" i="12"/>
  <c r="F147" i="12"/>
  <c r="D148" i="12"/>
  <c r="J152" i="14"/>
  <c r="L152" i="14" s="1"/>
  <c r="F151" i="12"/>
  <c r="J157" i="14"/>
  <c r="H159" i="14"/>
  <c r="H155" i="12"/>
  <c r="J162" i="14"/>
  <c r="H168" i="14"/>
  <c r="H160" i="12"/>
  <c r="F161" i="12"/>
  <c r="D162" i="12"/>
  <c r="J166" i="14"/>
  <c r="L166" i="14" s="1"/>
  <c r="H164" i="12"/>
  <c r="F165" i="12"/>
  <c r="J171" i="14"/>
  <c r="H178" i="14"/>
  <c r="H169" i="12"/>
  <c r="F170" i="12"/>
  <c r="D171" i="12"/>
  <c r="J175" i="14"/>
  <c r="L175" i="14" s="1"/>
  <c r="H173" i="12"/>
  <c r="F174" i="12"/>
  <c r="D175" i="12"/>
  <c r="F190" i="14"/>
  <c r="F179" i="12"/>
  <c r="D180" i="12"/>
  <c r="J184" i="14"/>
  <c r="L184" i="14" s="1"/>
  <c r="H182" i="12"/>
  <c r="F183" i="12"/>
  <c r="D184" i="12"/>
  <c r="J188" i="14"/>
  <c r="L188" i="14" s="1"/>
  <c r="H186" i="12"/>
  <c r="F187" i="12"/>
  <c r="H12" i="15"/>
  <c r="J12" i="16"/>
  <c r="L12" i="16" s="1"/>
  <c r="F13" i="15"/>
  <c r="D14" i="15"/>
  <c r="J16" i="16"/>
  <c r="L16" i="16" s="1"/>
  <c r="H16" i="15"/>
  <c r="F18" i="15"/>
  <c r="D19" i="15"/>
  <c r="H21" i="15"/>
  <c r="J20" i="16"/>
  <c r="L20" i="16" s="1"/>
  <c r="F22" i="15"/>
  <c r="D23" i="15"/>
  <c r="F39" i="16"/>
  <c r="F27" i="15"/>
  <c r="D28" i="15"/>
  <c r="J29" i="16"/>
  <c r="L29" i="16" s="1"/>
  <c r="H30" i="15"/>
  <c r="F31" i="15"/>
  <c r="D32" i="15"/>
  <c r="J33" i="16"/>
  <c r="L33" i="16" s="1"/>
  <c r="H34" i="15"/>
  <c r="F35" i="15"/>
  <c r="J37" i="16"/>
  <c r="L37" i="16" s="1"/>
  <c r="H38" i="15"/>
  <c r="F39" i="15"/>
  <c r="H43" i="16"/>
  <c r="J42" i="16"/>
  <c r="H43" i="15"/>
  <c r="J47" i="16"/>
  <c r="L47" i="16" s="1"/>
  <c r="H48" i="15"/>
  <c r="F49" i="15"/>
  <c r="H52" i="15"/>
  <c r="J51" i="16"/>
  <c r="L51" i="16" s="1"/>
  <c r="F53" i="15"/>
  <c r="D71" i="16"/>
  <c r="J63" i="16"/>
  <c r="L63" i="16" s="1"/>
  <c r="D17" i="15"/>
  <c r="J67" i="16"/>
  <c r="L67" i="16" s="1"/>
  <c r="D79" i="16"/>
  <c r="J76" i="16"/>
  <c r="L76" i="16" s="1"/>
  <c r="H36" i="15"/>
  <c r="H139" i="12"/>
  <c r="D85" i="16"/>
  <c r="J83" i="16"/>
  <c r="L83" i="16" s="1"/>
  <c r="H13" i="17"/>
  <c r="F14" i="17"/>
  <c r="J14" i="18"/>
  <c r="L14" i="18" s="1"/>
  <c r="D15" i="17"/>
  <c r="H17" i="17"/>
  <c r="F20" i="17"/>
  <c r="D21" i="17"/>
  <c r="J20" i="18"/>
  <c r="L20" i="18" s="1"/>
  <c r="H23" i="17"/>
  <c r="H28" i="17"/>
  <c r="F29" i="17"/>
  <c r="D38" i="18"/>
  <c r="D41" i="18" s="1"/>
  <c r="J37" i="18"/>
  <c r="L10" i="26"/>
  <c r="L33" i="22"/>
  <c r="P163" i="4"/>
  <c r="P126" i="4" s="1"/>
  <c r="D11" i="26"/>
  <c r="R11" i="22"/>
  <c r="N11" i="26"/>
  <c r="F12" i="26"/>
  <c r="P12" i="26"/>
  <c r="H13" i="26"/>
  <c r="L14" i="26"/>
  <c r="D15" i="26"/>
  <c r="R15" i="22"/>
  <c r="N15" i="26"/>
  <c r="F16" i="26"/>
  <c r="P16" i="26"/>
  <c r="H17" i="26"/>
  <c r="L18" i="26"/>
  <c r="D19" i="26"/>
  <c r="R19" i="22"/>
  <c r="N19" i="26"/>
  <c r="F20" i="26"/>
  <c r="D21" i="26"/>
  <c r="R21" i="22"/>
  <c r="N21" i="26"/>
  <c r="F22" i="26"/>
  <c r="D23" i="26"/>
  <c r="R23" i="22"/>
  <c r="N23" i="26"/>
  <c r="F24" i="26"/>
  <c r="D25" i="26"/>
  <c r="R25" i="22"/>
  <c r="N25" i="26"/>
  <c r="F26" i="26"/>
  <c r="P26" i="26"/>
  <c r="H27" i="26"/>
  <c r="L28" i="26"/>
  <c r="D29" i="26"/>
  <c r="R29" i="22"/>
  <c r="N29" i="26"/>
  <c r="F30" i="26"/>
  <c r="P30" i="26"/>
  <c r="H31" i="26"/>
  <c r="L32" i="26"/>
  <c r="L36" i="26"/>
  <c r="D37" i="26"/>
  <c r="R37" i="22"/>
  <c r="N37" i="26"/>
  <c r="F38" i="26"/>
  <c r="P38" i="26"/>
  <c r="H39" i="26"/>
  <c r="L40" i="26"/>
  <c r="D41" i="26"/>
  <c r="R41" i="22"/>
  <c r="N41" i="26"/>
  <c r="F42" i="26"/>
  <c r="F64" i="22"/>
  <c r="P42" i="26"/>
  <c r="P64" i="22"/>
  <c r="H45" i="26"/>
  <c r="L46" i="26"/>
  <c r="D47" i="26"/>
  <c r="R45" i="22"/>
  <c r="N47" i="26"/>
  <c r="F48" i="26"/>
  <c r="P48" i="26"/>
  <c r="H49" i="26"/>
  <c r="L50" i="26"/>
  <c r="D51" i="26"/>
  <c r="R49" i="22"/>
  <c r="N51" i="26"/>
  <c r="F52" i="26"/>
  <c r="P52" i="26"/>
  <c r="H53" i="26"/>
  <c r="L54" i="26"/>
  <c r="D55" i="26"/>
  <c r="R53" i="22"/>
  <c r="N55" i="26"/>
  <c r="F56" i="26"/>
  <c r="P56" i="26"/>
  <c r="H57" i="26"/>
  <c r="L58" i="26"/>
  <c r="D59" i="26"/>
  <c r="R57" i="22"/>
  <c r="N59" i="26"/>
  <c r="F60" i="26"/>
  <c r="P60" i="26"/>
  <c r="H61" i="26"/>
  <c r="L62" i="26"/>
  <c r="D63" i="26"/>
  <c r="R61" i="22"/>
  <c r="N63" i="26"/>
  <c r="F64" i="26"/>
  <c r="P64" i="26"/>
  <c r="H65" i="26"/>
  <c r="H67" i="26"/>
  <c r="L68" i="26"/>
  <c r="D69" i="26"/>
  <c r="R67" i="22"/>
  <c r="N69" i="26"/>
  <c r="L70" i="26"/>
  <c r="F71" i="26"/>
  <c r="L73" i="26"/>
  <c r="P75" i="26"/>
  <c r="D78" i="26"/>
  <c r="R76" i="22"/>
  <c r="H80" i="26"/>
  <c r="N86" i="26"/>
  <c r="J123" i="14"/>
  <c r="L123" i="14" s="1"/>
  <c r="H121" i="12"/>
  <c r="J121" i="12" s="1"/>
  <c r="L121" i="12" s="1"/>
  <c r="F122" i="12"/>
  <c r="D123" i="12"/>
  <c r="J127" i="14"/>
  <c r="L127" i="14" s="1"/>
  <c r="H125" i="12"/>
  <c r="J125" i="12" s="1"/>
  <c r="L125" i="12" s="1"/>
  <c r="F126" i="12"/>
  <c r="D127" i="12"/>
  <c r="D145" i="14"/>
  <c r="D132" i="12"/>
  <c r="J136" i="14"/>
  <c r="L136" i="14" s="1"/>
  <c r="H134" i="12"/>
  <c r="J134" i="12" s="1"/>
  <c r="L134" i="12" s="1"/>
  <c r="F135" i="12"/>
  <c r="D136" i="12"/>
  <c r="J140" i="14"/>
  <c r="L140" i="14" s="1"/>
  <c r="H138" i="12"/>
  <c r="J138" i="12" s="1"/>
  <c r="L138" i="12" s="1"/>
  <c r="D140" i="12"/>
  <c r="J144" i="14"/>
  <c r="L144" i="14" s="1"/>
  <c r="H142" i="12"/>
  <c r="J142" i="12" s="1"/>
  <c r="L142" i="12" s="1"/>
  <c r="J149" i="14"/>
  <c r="L149" i="14" s="1"/>
  <c r="H147" i="12"/>
  <c r="J147" i="12" s="1"/>
  <c r="L147" i="12" s="1"/>
  <c r="F148" i="12"/>
  <c r="D149" i="12"/>
  <c r="J149" i="12" s="1"/>
  <c r="L149" i="12" s="1"/>
  <c r="D54" i="13"/>
  <c r="J153" i="14"/>
  <c r="L153" i="14" s="1"/>
  <c r="H151" i="12"/>
  <c r="J151" i="12" s="1"/>
  <c r="L151" i="12" s="1"/>
  <c r="J158" i="14"/>
  <c r="L158" i="14" s="1"/>
  <c r="J163" i="14"/>
  <c r="L163" i="14" s="1"/>
  <c r="H161" i="12"/>
  <c r="J161" i="12" s="1"/>
  <c r="L161" i="12" s="1"/>
  <c r="F162" i="12"/>
  <c r="D163" i="12"/>
  <c r="J167" i="14"/>
  <c r="L167" i="14" s="1"/>
  <c r="H165" i="12"/>
  <c r="J165" i="12" s="1"/>
  <c r="L165" i="12" s="1"/>
  <c r="J172" i="14"/>
  <c r="L172" i="14" s="1"/>
  <c r="H170" i="12"/>
  <c r="J170" i="12" s="1"/>
  <c r="L170" i="12" s="1"/>
  <c r="F171" i="12"/>
  <c r="D172" i="12"/>
  <c r="J176" i="14"/>
  <c r="L176" i="14" s="1"/>
  <c r="H174" i="12"/>
  <c r="J174" i="12" s="1"/>
  <c r="L174" i="12" s="1"/>
  <c r="F175" i="12"/>
  <c r="J181" i="14"/>
  <c r="H190" i="14"/>
  <c r="H193" i="14" s="1"/>
  <c r="H179" i="12"/>
  <c r="F180" i="12"/>
  <c r="D181" i="12"/>
  <c r="J185" i="14"/>
  <c r="L185" i="14" s="1"/>
  <c r="H183" i="12"/>
  <c r="J183" i="12" s="1"/>
  <c r="L183" i="12" s="1"/>
  <c r="F184" i="12"/>
  <c r="D185" i="12"/>
  <c r="J189" i="14"/>
  <c r="L189" i="14" s="1"/>
  <c r="H187" i="12"/>
  <c r="J187" i="12" s="1"/>
  <c r="L187" i="12" s="1"/>
  <c r="D23" i="16"/>
  <c r="D11" i="15"/>
  <c r="J13" i="16"/>
  <c r="H13" i="15"/>
  <c r="F14" i="15"/>
  <c r="D15" i="15"/>
  <c r="J17" i="16"/>
  <c r="L17" i="16" s="1"/>
  <c r="H18" i="15"/>
  <c r="J18" i="15" s="1"/>
  <c r="L18" i="15" s="1"/>
  <c r="H17" i="15"/>
  <c r="J17" i="15" s="1"/>
  <c r="L17" i="15" s="1"/>
  <c r="F19" i="15"/>
  <c r="D20" i="15"/>
  <c r="J21" i="16"/>
  <c r="L21" i="16" s="1"/>
  <c r="H22" i="15"/>
  <c r="J22" i="15" s="1"/>
  <c r="L22" i="15" s="1"/>
  <c r="F23" i="15"/>
  <c r="J26" i="16"/>
  <c r="H27" i="15"/>
  <c r="H39" i="16"/>
  <c r="F28" i="15"/>
  <c r="J30" i="16"/>
  <c r="L30" i="16" s="1"/>
  <c r="H31" i="15"/>
  <c r="J31" i="15" s="1"/>
  <c r="L31" i="15" s="1"/>
  <c r="F32" i="15"/>
  <c r="D33" i="15"/>
  <c r="J34" i="16"/>
  <c r="L34" i="16" s="1"/>
  <c r="H35" i="15"/>
  <c r="J35" i="15" s="1"/>
  <c r="L35" i="15" s="1"/>
  <c r="D37" i="15"/>
  <c r="J38" i="16"/>
  <c r="L38" i="16" s="1"/>
  <c r="H39" i="15"/>
  <c r="J39" i="15" s="1"/>
  <c r="L39" i="15" s="1"/>
  <c r="D53" i="16"/>
  <c r="D47" i="15"/>
  <c r="J48" i="16"/>
  <c r="L48" i="16" s="1"/>
  <c r="H49" i="15"/>
  <c r="J49" i="15" s="1"/>
  <c r="L49" i="15" s="1"/>
  <c r="F50" i="15"/>
  <c r="D51" i="15"/>
  <c r="J52" i="16"/>
  <c r="L52" i="16" s="1"/>
  <c r="H53" i="15"/>
  <c r="J53" i="15" s="1"/>
  <c r="L53" i="15" s="1"/>
  <c r="F71" i="16"/>
  <c r="J64" i="16"/>
  <c r="L64" i="16" s="1"/>
  <c r="J68" i="16"/>
  <c r="L68" i="16" s="1"/>
  <c r="F79" i="16"/>
  <c r="J77" i="16"/>
  <c r="L77" i="16" s="1"/>
  <c r="F85" i="16"/>
  <c r="D50" i="15"/>
  <c r="J84" i="16"/>
  <c r="L84" i="16" s="1"/>
  <c r="D23" i="18"/>
  <c r="J11" i="18"/>
  <c r="D12" i="17"/>
  <c r="H14" i="17"/>
  <c r="F15" i="17"/>
  <c r="J15" i="18"/>
  <c r="L15" i="18" s="1"/>
  <c r="D16" i="17"/>
  <c r="H20" i="17"/>
  <c r="F21" i="17"/>
  <c r="D22" i="17"/>
  <c r="J21" i="18"/>
  <c r="L21" i="18" s="1"/>
  <c r="D29" i="18"/>
  <c r="D32" i="18" s="1"/>
  <c r="D44" i="18" s="1"/>
  <c r="D27" i="17"/>
  <c r="J26" i="18"/>
  <c r="H29" i="17"/>
  <c r="F38" i="18"/>
  <c r="F41" i="18" s="1"/>
  <c r="D10" i="26"/>
  <c r="D33" i="22"/>
  <c r="R10" i="22"/>
  <c r="F163" i="4"/>
  <c r="F126" i="4" s="1"/>
  <c r="N10" i="26"/>
  <c r="N33" i="22"/>
  <c r="R163" i="4"/>
  <c r="R126" i="4" s="1"/>
  <c r="F11" i="26"/>
  <c r="P11" i="26"/>
  <c r="H12" i="26"/>
  <c r="L13" i="26"/>
  <c r="D14" i="26"/>
  <c r="R14" i="22"/>
  <c r="N14" i="26"/>
  <c r="F15" i="26"/>
  <c r="P15" i="26"/>
  <c r="H16" i="26"/>
  <c r="L17" i="26"/>
  <c r="D18" i="26"/>
  <c r="R18" i="22"/>
  <c r="N18" i="26"/>
  <c r="F19" i="26"/>
  <c r="P19" i="26"/>
  <c r="H20" i="26"/>
  <c r="F21" i="26"/>
  <c r="P21" i="26"/>
  <c r="H22" i="26"/>
  <c r="F23" i="26"/>
  <c r="P23" i="26"/>
  <c r="H24" i="26"/>
  <c r="F25" i="26"/>
  <c r="P25" i="26"/>
  <c r="H26" i="26"/>
  <c r="L27" i="26"/>
  <c r="D28" i="26"/>
  <c r="R28" i="22"/>
  <c r="N28" i="26"/>
  <c r="F29" i="26"/>
  <c r="P29" i="26"/>
  <c r="H30" i="26"/>
  <c r="L31" i="26"/>
  <c r="D32" i="26"/>
  <c r="R32" i="22"/>
  <c r="N32" i="26"/>
  <c r="D36" i="26"/>
  <c r="R36" i="22"/>
  <c r="N36" i="26"/>
  <c r="F37" i="26"/>
  <c r="P37" i="26"/>
  <c r="H38" i="26"/>
  <c r="L39" i="26"/>
  <c r="D40" i="26"/>
  <c r="R40" i="22"/>
  <c r="N40" i="26"/>
  <c r="F41" i="26"/>
  <c r="P41" i="26"/>
  <c r="H42" i="26"/>
  <c r="H64" i="22"/>
  <c r="L45" i="26"/>
  <c r="D46" i="26"/>
  <c r="R44" i="22"/>
  <c r="N46" i="26"/>
  <c r="F47" i="26"/>
  <c r="P47" i="26"/>
  <c r="H48" i="26"/>
  <c r="L49" i="26"/>
  <c r="D50" i="26"/>
  <c r="R48" i="22"/>
  <c r="N50" i="26"/>
  <c r="F51" i="26"/>
  <c r="P51" i="26"/>
  <c r="H52" i="26"/>
  <c r="L53" i="26"/>
  <c r="D54" i="26"/>
  <c r="R52" i="22"/>
  <c r="N54" i="26"/>
  <c r="F55" i="26"/>
  <c r="P55" i="26"/>
  <c r="H56" i="26"/>
  <c r="L57" i="26"/>
  <c r="D58" i="26"/>
  <c r="R56" i="22"/>
  <c r="N58" i="26"/>
  <c r="F59" i="26"/>
  <c r="P59" i="26"/>
  <c r="H60" i="26"/>
  <c r="L61" i="26"/>
  <c r="D62" i="26"/>
  <c r="R60" i="22"/>
  <c r="N62" i="26"/>
  <c r="F63" i="26"/>
  <c r="P63" i="26"/>
  <c r="H64" i="26"/>
  <c r="L65" i="26"/>
  <c r="L67" i="26"/>
  <c r="D68" i="26"/>
  <c r="R66" i="22"/>
  <c r="N68" i="26"/>
  <c r="F69" i="26"/>
  <c r="N70" i="26"/>
  <c r="H71" i="26"/>
  <c r="F72" i="26"/>
  <c r="D74" i="26"/>
  <c r="R72" i="22"/>
  <c r="H76" i="26"/>
  <c r="N78" i="26"/>
  <c r="J120" i="14"/>
  <c r="L120" i="14" s="1"/>
  <c r="H118" i="12"/>
  <c r="J118" i="12" s="1"/>
  <c r="L118" i="12" s="1"/>
  <c r="F119" i="12"/>
  <c r="D120" i="12"/>
  <c r="J124" i="14"/>
  <c r="L124" i="14" s="1"/>
  <c r="H122" i="12"/>
  <c r="J122" i="12" s="1"/>
  <c r="L122" i="12" s="1"/>
  <c r="F123" i="12"/>
  <c r="D124" i="12"/>
  <c r="J128" i="14"/>
  <c r="L128" i="14" s="1"/>
  <c r="H126" i="12"/>
  <c r="J126" i="12" s="1"/>
  <c r="L126" i="12" s="1"/>
  <c r="F127" i="12"/>
  <c r="F22" i="13"/>
  <c r="F22" i="11"/>
  <c r="D128" i="12"/>
  <c r="F145" i="14"/>
  <c r="F132" i="12"/>
  <c r="D133" i="12"/>
  <c r="J137" i="14"/>
  <c r="L137" i="14" s="1"/>
  <c r="H135" i="12"/>
  <c r="J135" i="12" s="1"/>
  <c r="L135" i="12" s="1"/>
  <c r="F136" i="12"/>
  <c r="D137" i="12"/>
  <c r="J141" i="14"/>
  <c r="L141" i="14" s="1"/>
  <c r="F140" i="12"/>
  <c r="D141" i="12"/>
  <c r="D154" i="14"/>
  <c r="D146" i="12"/>
  <c r="D152" i="12" s="1"/>
  <c r="J150" i="14"/>
  <c r="L150" i="14" s="1"/>
  <c r="H148" i="12"/>
  <c r="J148" i="12" s="1"/>
  <c r="L148" i="12" s="1"/>
  <c r="D150" i="12"/>
  <c r="J150" i="12" s="1"/>
  <c r="L150" i="12" s="1"/>
  <c r="D159" i="14"/>
  <c r="D155" i="12"/>
  <c r="D157" i="12" s="1"/>
  <c r="D168" i="14"/>
  <c r="D160" i="12"/>
  <c r="J164" i="14"/>
  <c r="L164" i="14" s="1"/>
  <c r="H162" i="12"/>
  <c r="J162" i="12" s="1"/>
  <c r="L162" i="12" s="1"/>
  <c r="F163" i="12"/>
  <c r="D164" i="12"/>
  <c r="D178" i="14"/>
  <c r="D169" i="12"/>
  <c r="J173" i="14"/>
  <c r="L173" i="14" s="1"/>
  <c r="H171" i="12"/>
  <c r="J171" i="12" s="1"/>
  <c r="L171" i="12" s="1"/>
  <c r="F172" i="12"/>
  <c r="D173" i="12"/>
  <c r="J177" i="14"/>
  <c r="L177" i="14" s="1"/>
  <c r="H175" i="12"/>
  <c r="J175" i="12" s="1"/>
  <c r="L175" i="12" s="1"/>
  <c r="J182" i="14"/>
  <c r="L182" i="14" s="1"/>
  <c r="H180" i="12"/>
  <c r="J180" i="12" s="1"/>
  <c r="L180" i="12" s="1"/>
  <c r="F181" i="12"/>
  <c r="D182" i="12"/>
  <c r="J186" i="14"/>
  <c r="L186" i="14" s="1"/>
  <c r="H184" i="12"/>
  <c r="J184" i="12" s="1"/>
  <c r="L184" i="12" s="1"/>
  <c r="F185" i="12"/>
  <c r="D186" i="12"/>
  <c r="F11" i="15"/>
  <c r="F24" i="15" s="1"/>
  <c r="F23" i="16"/>
  <c r="D12" i="15"/>
  <c r="H14" i="15"/>
  <c r="J14" i="15" s="1"/>
  <c r="L14" i="15" s="1"/>
  <c r="J14" i="16"/>
  <c r="L14" i="16" s="1"/>
  <c r="F15" i="15"/>
  <c r="D16" i="15"/>
  <c r="H19" i="15"/>
  <c r="J19" i="15" s="1"/>
  <c r="L19" i="15" s="1"/>
  <c r="J18" i="16"/>
  <c r="L18" i="16" s="1"/>
  <c r="F20" i="15"/>
  <c r="D21" i="15"/>
  <c r="H23" i="15"/>
  <c r="J23" i="15" s="1"/>
  <c r="L23" i="15" s="1"/>
  <c r="J22" i="16"/>
  <c r="L22" i="16" s="1"/>
  <c r="H28" i="15"/>
  <c r="J28" i="15" s="1"/>
  <c r="L28" i="15" s="1"/>
  <c r="J27" i="16"/>
  <c r="L27" i="16" s="1"/>
  <c r="D30" i="15"/>
  <c r="H32" i="15"/>
  <c r="J32" i="15" s="1"/>
  <c r="L32" i="15" s="1"/>
  <c r="J31" i="16"/>
  <c r="L31" i="16" s="1"/>
  <c r="F33" i="15"/>
  <c r="D34" i="15"/>
  <c r="J35" i="16"/>
  <c r="L35" i="16" s="1"/>
  <c r="F37" i="15"/>
  <c r="D38" i="15"/>
  <c r="D43" i="15"/>
  <c r="D44" i="15" s="1"/>
  <c r="D43" i="16"/>
  <c r="F53" i="16"/>
  <c r="F56" i="16" s="1"/>
  <c r="F47" i="15"/>
  <c r="D48" i="15"/>
  <c r="H50" i="15"/>
  <c r="J50" i="15" s="1"/>
  <c r="L50" i="15" s="1"/>
  <c r="J49" i="16"/>
  <c r="L49" i="16" s="1"/>
  <c r="F51" i="15"/>
  <c r="D52" i="15"/>
  <c r="H71" i="16"/>
  <c r="J61" i="16"/>
  <c r="J65" i="16"/>
  <c r="L65" i="16" s="1"/>
  <c r="J69" i="16"/>
  <c r="L69" i="16" s="1"/>
  <c r="H79" i="16"/>
  <c r="J74" i="16"/>
  <c r="D36" i="15"/>
  <c r="D139" i="12"/>
  <c r="H85" i="16"/>
  <c r="J81" i="16"/>
  <c r="F23" i="18"/>
  <c r="F12" i="17"/>
  <c r="J12" i="18"/>
  <c r="L12" i="18" s="1"/>
  <c r="D13" i="17"/>
  <c r="J13" i="17" s="1"/>
  <c r="L13" i="17" s="1"/>
  <c r="P13" i="17" s="1"/>
  <c r="H15" i="17"/>
  <c r="F16" i="17"/>
  <c r="J16" i="18"/>
  <c r="L16" i="18" s="1"/>
  <c r="D17" i="17"/>
  <c r="J17" i="17" s="1"/>
  <c r="L17" i="17" s="1"/>
  <c r="H21" i="17"/>
  <c r="F22" i="17"/>
  <c r="J22" i="18"/>
  <c r="L22" i="18" s="1"/>
  <c r="D23" i="17"/>
  <c r="J23" i="17" s="1"/>
  <c r="L23" i="17" s="1"/>
  <c r="F29" i="18"/>
  <c r="F32" i="18" s="1"/>
  <c r="F44" i="18" s="1"/>
  <c r="F27" i="17"/>
  <c r="F30" i="17" s="1"/>
  <c r="J27" i="18"/>
  <c r="L27" i="18" s="1"/>
  <c r="D28" i="17"/>
  <c r="J28" i="17" s="1"/>
  <c r="L28" i="17" s="1"/>
  <c r="H38" i="18"/>
  <c r="H41" i="18" s="1"/>
  <c r="F10" i="26"/>
  <c r="F33" i="22"/>
  <c r="H163" i="4"/>
  <c r="H126" i="4" s="1"/>
  <c r="P10" i="26"/>
  <c r="P33" i="22"/>
  <c r="T163" i="4"/>
  <c r="T126" i="4" s="1"/>
  <c r="H11" i="26"/>
  <c r="L12" i="26"/>
  <c r="D13" i="26"/>
  <c r="R13" i="22"/>
  <c r="N13" i="26"/>
  <c r="F14" i="26"/>
  <c r="P14" i="26"/>
  <c r="H15" i="26"/>
  <c r="L16" i="26"/>
  <c r="D17" i="26"/>
  <c r="R17" i="22"/>
  <c r="N17" i="26"/>
  <c r="F18" i="26"/>
  <c r="P18" i="26"/>
  <c r="H19" i="26"/>
  <c r="N20" i="26"/>
  <c r="H21" i="26"/>
  <c r="N22" i="26"/>
  <c r="H23" i="26"/>
  <c r="N24" i="26"/>
  <c r="H25" i="26"/>
  <c r="L26" i="26"/>
  <c r="D27" i="26"/>
  <c r="R27" i="22"/>
  <c r="N27" i="26"/>
  <c r="F28" i="26"/>
  <c r="P28" i="26"/>
  <c r="H29" i="26"/>
  <c r="L30" i="26"/>
  <c r="D31" i="26"/>
  <c r="R31" i="22"/>
  <c r="N31" i="26"/>
  <c r="F32" i="26"/>
  <c r="P32" i="26"/>
  <c r="F36" i="26"/>
  <c r="P36" i="26"/>
  <c r="H37" i="26"/>
  <c r="L38" i="26"/>
  <c r="D39" i="26"/>
  <c r="R39" i="22"/>
  <c r="N39" i="26"/>
  <c r="F40" i="26"/>
  <c r="H41" i="26"/>
  <c r="L42" i="26"/>
  <c r="L64" i="22"/>
  <c r="D45" i="26"/>
  <c r="R43" i="22"/>
  <c r="N45" i="26"/>
  <c r="F46" i="26"/>
  <c r="P46" i="26"/>
  <c r="H47" i="26"/>
  <c r="L48" i="26"/>
  <c r="D49" i="26"/>
  <c r="R47" i="22"/>
  <c r="N49" i="26"/>
  <c r="F50" i="26"/>
  <c r="P50" i="26"/>
  <c r="H51" i="26"/>
  <c r="L52" i="26"/>
  <c r="D53" i="26"/>
  <c r="R51" i="22"/>
  <c r="N53" i="26"/>
  <c r="F54" i="26"/>
  <c r="P54" i="26"/>
  <c r="H55" i="26"/>
  <c r="L56" i="26"/>
  <c r="D57" i="26"/>
  <c r="R55" i="22"/>
  <c r="N57" i="26"/>
  <c r="F58" i="26"/>
  <c r="P58" i="26"/>
  <c r="H59" i="26"/>
  <c r="L60" i="26"/>
  <c r="D61" i="26"/>
  <c r="R59" i="22"/>
  <c r="N61" i="26"/>
  <c r="F62" i="26"/>
  <c r="P62" i="26"/>
  <c r="H63" i="26"/>
  <c r="L64" i="26"/>
  <c r="D65" i="26"/>
  <c r="R63" i="22"/>
  <c r="N65" i="26"/>
  <c r="D67" i="26"/>
  <c r="R65" i="22"/>
  <c r="N67" i="26"/>
  <c r="F68" i="26"/>
  <c r="P68" i="26"/>
  <c r="H69" i="26"/>
  <c r="D70" i="26"/>
  <c r="R68" i="22"/>
  <c r="P70" i="26"/>
  <c r="N71" i="26"/>
  <c r="H72" i="26"/>
  <c r="N74" i="26"/>
  <c r="F79" i="26"/>
  <c r="L81" i="26"/>
  <c r="L80" i="22"/>
  <c r="L85" i="26"/>
  <c r="L91" i="22"/>
  <c r="P160" i="4"/>
  <c r="P72" i="26"/>
  <c r="H73" i="26"/>
  <c r="L74" i="26"/>
  <c r="D75" i="26"/>
  <c r="R73" i="22"/>
  <c r="N75" i="26"/>
  <c r="F76" i="26"/>
  <c r="P76" i="26"/>
  <c r="H77" i="26"/>
  <c r="L78" i="26"/>
  <c r="D79" i="26"/>
  <c r="R77" i="22"/>
  <c r="N79" i="26"/>
  <c r="F80" i="26"/>
  <c r="P80" i="26"/>
  <c r="H81" i="26"/>
  <c r="H80" i="22"/>
  <c r="H85" i="26"/>
  <c r="H91" i="22"/>
  <c r="L86" i="26"/>
  <c r="D87" i="26"/>
  <c r="R85" i="22"/>
  <c r="N87" i="26"/>
  <c r="F88" i="26"/>
  <c r="P88" i="26"/>
  <c r="H89" i="26"/>
  <c r="L90" i="26"/>
  <c r="D91" i="26"/>
  <c r="R89" i="22"/>
  <c r="N91" i="26"/>
  <c r="F92" i="26"/>
  <c r="P92" i="26"/>
  <c r="F96" i="26"/>
  <c r="H161" i="4"/>
  <c r="H124" i="4" s="1"/>
  <c r="P96" i="26"/>
  <c r="T161" i="4"/>
  <c r="T124" i="4" s="1"/>
  <c r="H97" i="26"/>
  <c r="L98" i="26"/>
  <c r="D99" i="26"/>
  <c r="R97" i="22"/>
  <c r="N99" i="26"/>
  <c r="F100" i="26"/>
  <c r="F115" i="22"/>
  <c r="P100" i="26"/>
  <c r="P115" i="22"/>
  <c r="H101" i="26"/>
  <c r="L102" i="26"/>
  <c r="D103" i="26"/>
  <c r="R101" i="22"/>
  <c r="N103" i="26"/>
  <c r="F104" i="26"/>
  <c r="P104" i="26"/>
  <c r="H105" i="26"/>
  <c r="L106" i="26"/>
  <c r="D107" i="26"/>
  <c r="R105" i="22"/>
  <c r="N107" i="26"/>
  <c r="F108" i="26"/>
  <c r="P108" i="26"/>
  <c r="H109" i="26"/>
  <c r="L110" i="26"/>
  <c r="D111" i="26"/>
  <c r="R109" i="22"/>
  <c r="N111" i="26"/>
  <c r="F112" i="26"/>
  <c r="P112" i="26"/>
  <c r="H113" i="26"/>
  <c r="L114" i="26"/>
  <c r="D115" i="26"/>
  <c r="R113" i="22"/>
  <c r="N115" i="26"/>
  <c r="F116" i="26"/>
  <c r="P116" i="26"/>
  <c r="F118" i="26"/>
  <c r="F135" i="22"/>
  <c r="P118" i="26"/>
  <c r="P135" i="22"/>
  <c r="H119" i="26"/>
  <c r="L120" i="26"/>
  <c r="D121" i="26"/>
  <c r="R119" i="22"/>
  <c r="N121" i="26"/>
  <c r="F122" i="26"/>
  <c r="P122" i="26"/>
  <c r="H123" i="26"/>
  <c r="L124" i="26"/>
  <c r="D125" i="26"/>
  <c r="R123" i="22"/>
  <c r="N125" i="26"/>
  <c r="F126" i="26"/>
  <c r="P126" i="26"/>
  <c r="H127" i="26"/>
  <c r="L128" i="26"/>
  <c r="D129" i="26"/>
  <c r="R127" i="22"/>
  <c r="N129" i="26"/>
  <c r="F130" i="26"/>
  <c r="P130" i="26"/>
  <c r="H131" i="26"/>
  <c r="L132" i="26"/>
  <c r="D133" i="26"/>
  <c r="R131" i="22"/>
  <c r="N133" i="26"/>
  <c r="F134" i="26"/>
  <c r="P134" i="26"/>
  <c r="H135" i="26"/>
  <c r="L136" i="26"/>
  <c r="L138" i="26"/>
  <c r="D139" i="26"/>
  <c r="D152" i="22"/>
  <c r="R137" i="22"/>
  <c r="N139" i="26"/>
  <c r="N152" i="22"/>
  <c r="F140" i="26"/>
  <c r="P140" i="26"/>
  <c r="H141" i="26"/>
  <c r="L142" i="26"/>
  <c r="D143" i="26"/>
  <c r="R141" i="22"/>
  <c r="N143" i="26"/>
  <c r="F144" i="26"/>
  <c r="P144" i="26"/>
  <c r="H145" i="26"/>
  <c r="L146" i="26"/>
  <c r="D147" i="26"/>
  <c r="R145" i="22"/>
  <c r="N147" i="26"/>
  <c r="F148" i="26"/>
  <c r="P148" i="26"/>
  <c r="H149" i="26"/>
  <c r="L150" i="26"/>
  <c r="D151" i="26"/>
  <c r="R149" i="22"/>
  <c r="N151" i="26"/>
  <c r="F152" i="26"/>
  <c r="P152" i="26"/>
  <c r="H153" i="26"/>
  <c r="H155" i="26"/>
  <c r="H170" i="22"/>
  <c r="L156" i="26"/>
  <c r="D157" i="26"/>
  <c r="R155" i="22"/>
  <c r="N157" i="26"/>
  <c r="F158" i="26"/>
  <c r="P158" i="26"/>
  <c r="H159" i="26"/>
  <c r="L160" i="26"/>
  <c r="D161" i="26"/>
  <c r="R159" i="22"/>
  <c r="N161" i="26"/>
  <c r="F162" i="26"/>
  <c r="P162" i="26"/>
  <c r="H163" i="26"/>
  <c r="L164" i="26"/>
  <c r="D165" i="26"/>
  <c r="R163" i="22"/>
  <c r="N165" i="26"/>
  <c r="F166" i="26"/>
  <c r="P166" i="26"/>
  <c r="H167" i="26"/>
  <c r="L168" i="26"/>
  <c r="D169" i="26"/>
  <c r="R167" i="22"/>
  <c r="N169" i="26"/>
  <c r="F170" i="26"/>
  <c r="P170" i="26"/>
  <c r="H171" i="26"/>
  <c r="H173" i="26"/>
  <c r="H188" i="22"/>
  <c r="L174" i="26"/>
  <c r="D175" i="26"/>
  <c r="R173" i="22"/>
  <c r="N175" i="26"/>
  <c r="F176" i="26"/>
  <c r="P176" i="26"/>
  <c r="H177" i="26"/>
  <c r="L178" i="26"/>
  <c r="D179" i="26"/>
  <c r="R177" i="22"/>
  <c r="N179" i="26"/>
  <c r="F180" i="26"/>
  <c r="P180" i="26"/>
  <c r="H181" i="26"/>
  <c r="L182" i="26"/>
  <c r="D183" i="26"/>
  <c r="R181" i="22"/>
  <c r="N183" i="26"/>
  <c r="F184" i="26"/>
  <c r="P184" i="26"/>
  <c r="H185" i="26"/>
  <c r="L186" i="26"/>
  <c r="D187" i="26"/>
  <c r="R185" i="22"/>
  <c r="N187" i="26"/>
  <c r="F188" i="26"/>
  <c r="P188" i="26"/>
  <c r="H189" i="26"/>
  <c r="H191" i="26"/>
  <c r="H198" i="22"/>
  <c r="L192" i="26"/>
  <c r="D193" i="26"/>
  <c r="R191" i="22"/>
  <c r="N193" i="26"/>
  <c r="F194" i="26"/>
  <c r="P194" i="26"/>
  <c r="H195" i="26"/>
  <c r="L196" i="26"/>
  <c r="D197" i="26"/>
  <c r="R195" i="22"/>
  <c r="N197" i="26"/>
  <c r="F198" i="26"/>
  <c r="P198" i="26"/>
  <c r="H199" i="26"/>
  <c r="H201" i="26"/>
  <c r="H215" i="22"/>
  <c r="L202" i="26"/>
  <c r="D203" i="26"/>
  <c r="R201" i="22"/>
  <c r="N203" i="26"/>
  <c r="F204" i="26"/>
  <c r="P204" i="26"/>
  <c r="H205" i="26"/>
  <c r="L206" i="26"/>
  <c r="D207" i="26"/>
  <c r="R205" i="22"/>
  <c r="N207" i="26"/>
  <c r="F208" i="26"/>
  <c r="P208" i="26"/>
  <c r="H209" i="26"/>
  <c r="L210" i="26"/>
  <c r="D211" i="26"/>
  <c r="R209" i="22"/>
  <c r="N211" i="26"/>
  <c r="F212" i="26"/>
  <c r="P212" i="26"/>
  <c r="H213" i="26"/>
  <c r="L214" i="26"/>
  <c r="D215" i="26"/>
  <c r="R213" i="22"/>
  <c r="N215" i="26"/>
  <c r="F216" i="26"/>
  <c r="P216" i="26"/>
  <c r="F218" i="26"/>
  <c r="P218" i="26"/>
  <c r="F222" i="26"/>
  <c r="F228" i="22"/>
  <c r="P222" i="26"/>
  <c r="P228" i="22"/>
  <c r="H223" i="26"/>
  <c r="L224" i="26"/>
  <c r="D225" i="26"/>
  <c r="R223" i="22"/>
  <c r="N225" i="26"/>
  <c r="F226" i="26"/>
  <c r="P226" i="26"/>
  <c r="H227" i="26"/>
  <c r="L228" i="26"/>
  <c r="D229" i="26"/>
  <c r="R227" i="22"/>
  <c r="N229" i="26"/>
  <c r="D231" i="26"/>
  <c r="R229" i="22"/>
  <c r="D263" i="22"/>
  <c r="N231" i="26"/>
  <c r="N263" i="22"/>
  <c r="F232" i="26"/>
  <c r="P232" i="26"/>
  <c r="H233" i="26"/>
  <c r="L234" i="26"/>
  <c r="D235" i="26"/>
  <c r="R233" i="22"/>
  <c r="N235" i="26"/>
  <c r="D236" i="26"/>
  <c r="R235" i="22"/>
  <c r="N236" i="26"/>
  <c r="F237" i="26"/>
  <c r="P237" i="26"/>
  <c r="H238" i="26"/>
  <c r="L239" i="26"/>
  <c r="D240" i="26"/>
  <c r="R239" i="22"/>
  <c r="N240" i="26"/>
  <c r="F241" i="26"/>
  <c r="P241" i="26"/>
  <c r="H242" i="26"/>
  <c r="L243" i="26"/>
  <c r="D244" i="26"/>
  <c r="R243" i="22"/>
  <c r="N244" i="26"/>
  <c r="F245" i="26"/>
  <c r="P245" i="26"/>
  <c r="H246" i="26"/>
  <c r="L247" i="26"/>
  <c r="D248" i="26"/>
  <c r="R247" i="22"/>
  <c r="N248" i="26"/>
  <c r="F249" i="26"/>
  <c r="P249" i="26"/>
  <c r="H250" i="26"/>
  <c r="L251" i="26"/>
  <c r="D252" i="26"/>
  <c r="R251" i="22"/>
  <c r="N252" i="26"/>
  <c r="F253" i="26"/>
  <c r="P253" i="26"/>
  <c r="H254" i="26"/>
  <c r="L255" i="26"/>
  <c r="D256" i="26"/>
  <c r="R255" i="22"/>
  <c r="N256" i="26"/>
  <c r="F257" i="26"/>
  <c r="P257" i="26"/>
  <c r="H258" i="26"/>
  <c r="L259" i="26"/>
  <c r="D260" i="26"/>
  <c r="R259" i="22"/>
  <c r="N260" i="26"/>
  <c r="F261" i="26"/>
  <c r="P261" i="26"/>
  <c r="H262" i="26"/>
  <c r="L263" i="26"/>
  <c r="L265" i="26"/>
  <c r="L272" i="22"/>
  <c r="D266" i="26"/>
  <c r="R265" i="22"/>
  <c r="N266" i="26"/>
  <c r="F267" i="26"/>
  <c r="P267" i="26"/>
  <c r="H268" i="26"/>
  <c r="L269" i="26"/>
  <c r="D270" i="26"/>
  <c r="R269" i="22"/>
  <c r="N270" i="26"/>
  <c r="F271" i="26"/>
  <c r="P271" i="26"/>
  <c r="H272" i="26"/>
  <c r="H274" i="26"/>
  <c r="H324" i="22"/>
  <c r="L275" i="26"/>
  <c r="D276" i="26"/>
  <c r="R275" i="22"/>
  <c r="N276" i="26"/>
  <c r="F277" i="26"/>
  <c r="P277" i="26"/>
  <c r="H278" i="26"/>
  <c r="L279" i="26"/>
  <c r="D280" i="26"/>
  <c r="R279" i="22"/>
  <c r="N280" i="26"/>
  <c r="F281" i="26"/>
  <c r="P281" i="26"/>
  <c r="H282" i="26"/>
  <c r="L283" i="26"/>
  <c r="D284" i="26"/>
  <c r="R283" i="22"/>
  <c r="N284" i="26"/>
  <c r="F285" i="26"/>
  <c r="P285" i="26"/>
  <c r="H286" i="26"/>
  <c r="L287" i="26"/>
  <c r="D288" i="26"/>
  <c r="R287" i="22"/>
  <c r="N288" i="26"/>
  <c r="F289" i="26"/>
  <c r="P289" i="26"/>
  <c r="H290" i="26"/>
  <c r="L291" i="26"/>
  <c r="D292" i="26"/>
  <c r="R291" i="22"/>
  <c r="N292" i="26"/>
  <c r="F293" i="26"/>
  <c r="P293" i="26"/>
  <c r="H294" i="26"/>
  <c r="L295" i="26"/>
  <c r="D296" i="26"/>
  <c r="R295" i="22"/>
  <c r="N296" i="26"/>
  <c r="F297" i="26"/>
  <c r="P297" i="26"/>
  <c r="H298" i="26"/>
  <c r="L299" i="26"/>
  <c r="D300" i="26"/>
  <c r="R299" i="22"/>
  <c r="D301" i="26"/>
  <c r="R300" i="22"/>
  <c r="H302" i="26"/>
  <c r="N304" i="26"/>
  <c r="F309" i="26"/>
  <c r="L311" i="26"/>
  <c r="P313" i="26"/>
  <c r="D316" i="26"/>
  <c r="R315" i="22"/>
  <c r="H318" i="26"/>
  <c r="N320" i="26"/>
  <c r="D326" i="26"/>
  <c r="D335" i="22"/>
  <c r="R325" i="22"/>
  <c r="H328" i="26"/>
  <c r="N330" i="26"/>
  <c r="F335" i="26"/>
  <c r="H338" i="26"/>
  <c r="N340" i="26"/>
  <c r="F345" i="26"/>
  <c r="L347" i="26"/>
  <c r="P349" i="26"/>
  <c r="D354" i="26"/>
  <c r="D388" i="22"/>
  <c r="R353" i="22"/>
  <c r="H356" i="26"/>
  <c r="N358" i="26"/>
  <c r="F363" i="26"/>
  <c r="L365" i="26"/>
  <c r="P367" i="26"/>
  <c r="D370" i="26"/>
  <c r="R369" i="22"/>
  <c r="H372" i="26"/>
  <c r="N374" i="26"/>
  <c r="F379" i="26"/>
  <c r="L381" i="26"/>
  <c r="P383" i="26"/>
  <c r="D386" i="26"/>
  <c r="R385" i="22"/>
  <c r="H388" i="26"/>
  <c r="L391" i="26"/>
  <c r="P393" i="26"/>
  <c r="D396" i="26"/>
  <c r="R395" i="22"/>
  <c r="H398" i="26"/>
  <c r="L401" i="26"/>
  <c r="P403" i="26"/>
  <c r="D406" i="26"/>
  <c r="R405" i="22"/>
  <c r="H408" i="26"/>
  <c r="N410" i="26"/>
  <c r="F415" i="26"/>
  <c r="L417" i="26"/>
  <c r="L419" i="26"/>
  <c r="H424" i="26"/>
  <c r="J162" i="4"/>
  <c r="J125" i="4" s="1"/>
  <c r="N426" i="26"/>
  <c r="F431" i="26"/>
  <c r="L433" i="26"/>
  <c r="P435" i="26"/>
  <c r="P436" i="22"/>
  <c r="D442" i="26"/>
  <c r="R441" i="22"/>
  <c r="F87" i="26"/>
  <c r="P87" i="26"/>
  <c r="H88" i="26"/>
  <c r="L89" i="26"/>
  <c r="D90" i="26"/>
  <c r="R88" i="22"/>
  <c r="N90" i="26"/>
  <c r="F91" i="26"/>
  <c r="P91" i="26"/>
  <c r="H92" i="26"/>
  <c r="H96" i="26"/>
  <c r="J161" i="4"/>
  <c r="L97" i="26"/>
  <c r="D98" i="26"/>
  <c r="R96" i="22"/>
  <c r="N98" i="26"/>
  <c r="F99" i="26"/>
  <c r="P99" i="26"/>
  <c r="H100" i="26"/>
  <c r="H115" i="22"/>
  <c r="L101" i="26"/>
  <c r="D102" i="26"/>
  <c r="R100" i="22"/>
  <c r="N102" i="26"/>
  <c r="F103" i="26"/>
  <c r="P103" i="26"/>
  <c r="H104" i="26"/>
  <c r="L105" i="26"/>
  <c r="D106" i="26"/>
  <c r="R104" i="22"/>
  <c r="N106" i="26"/>
  <c r="F107" i="26"/>
  <c r="P107" i="26"/>
  <c r="H108" i="26"/>
  <c r="L109" i="26"/>
  <c r="D110" i="26"/>
  <c r="R108" i="22"/>
  <c r="N110" i="26"/>
  <c r="F111" i="26"/>
  <c r="P111" i="26"/>
  <c r="H112" i="26"/>
  <c r="L113" i="26"/>
  <c r="D114" i="26"/>
  <c r="R112" i="22"/>
  <c r="N114" i="26"/>
  <c r="F115" i="26"/>
  <c r="P115" i="26"/>
  <c r="H116" i="26"/>
  <c r="H118" i="26"/>
  <c r="H135" i="22"/>
  <c r="L119" i="26"/>
  <c r="D120" i="26"/>
  <c r="R118" i="22"/>
  <c r="N120" i="26"/>
  <c r="F121" i="26"/>
  <c r="P121" i="26"/>
  <c r="H122" i="26"/>
  <c r="L123" i="26"/>
  <c r="D124" i="26"/>
  <c r="R122" i="22"/>
  <c r="N124" i="26"/>
  <c r="F125" i="26"/>
  <c r="P125" i="26"/>
  <c r="H126" i="26"/>
  <c r="L127" i="26"/>
  <c r="D128" i="26"/>
  <c r="R126" i="22"/>
  <c r="N128" i="26"/>
  <c r="F129" i="26"/>
  <c r="P129" i="26"/>
  <c r="H130" i="26"/>
  <c r="L131" i="26"/>
  <c r="D132" i="26"/>
  <c r="R130" i="22"/>
  <c r="N132" i="26"/>
  <c r="F133" i="26"/>
  <c r="P133" i="26"/>
  <c r="H134" i="26"/>
  <c r="L135" i="26"/>
  <c r="D136" i="26"/>
  <c r="R134" i="22"/>
  <c r="N136" i="26"/>
  <c r="D138" i="26"/>
  <c r="R136" i="22"/>
  <c r="N138" i="26"/>
  <c r="F139" i="26"/>
  <c r="F152" i="22"/>
  <c r="P139" i="26"/>
  <c r="P152" i="22"/>
  <c r="H140" i="26"/>
  <c r="L141" i="26"/>
  <c r="D142" i="26"/>
  <c r="R140" i="22"/>
  <c r="N142" i="26"/>
  <c r="F143" i="26"/>
  <c r="P143" i="26"/>
  <c r="H144" i="26"/>
  <c r="L145" i="26"/>
  <c r="D146" i="26"/>
  <c r="R144" i="22"/>
  <c r="N146" i="26"/>
  <c r="F147" i="26"/>
  <c r="P147" i="26"/>
  <c r="H148" i="26"/>
  <c r="L149" i="26"/>
  <c r="D150" i="26"/>
  <c r="R148" i="22"/>
  <c r="N150" i="26"/>
  <c r="F151" i="26"/>
  <c r="P151" i="26"/>
  <c r="H152" i="26"/>
  <c r="L153" i="26"/>
  <c r="L155" i="26"/>
  <c r="L170" i="22"/>
  <c r="D156" i="26"/>
  <c r="R154" i="22"/>
  <c r="N156" i="26"/>
  <c r="F157" i="26"/>
  <c r="P157" i="26"/>
  <c r="H158" i="26"/>
  <c r="L159" i="26"/>
  <c r="D160" i="26"/>
  <c r="R158" i="22"/>
  <c r="N160" i="26"/>
  <c r="F161" i="26"/>
  <c r="P161" i="26"/>
  <c r="H162" i="26"/>
  <c r="L163" i="26"/>
  <c r="D164" i="26"/>
  <c r="R162" i="22"/>
  <c r="N164" i="26"/>
  <c r="F165" i="26"/>
  <c r="P165" i="26"/>
  <c r="H166" i="26"/>
  <c r="L167" i="26"/>
  <c r="D168" i="26"/>
  <c r="R166" i="22"/>
  <c r="N168" i="26"/>
  <c r="F169" i="26"/>
  <c r="P169" i="26"/>
  <c r="H170" i="26"/>
  <c r="L171" i="26"/>
  <c r="L173" i="26"/>
  <c r="L188" i="22"/>
  <c r="D174" i="26"/>
  <c r="R172" i="22"/>
  <c r="N174" i="26"/>
  <c r="F175" i="26"/>
  <c r="P175" i="26"/>
  <c r="H176" i="26"/>
  <c r="L177" i="26"/>
  <c r="D178" i="26"/>
  <c r="R176" i="22"/>
  <c r="N178" i="26"/>
  <c r="F179" i="26"/>
  <c r="P179" i="26"/>
  <c r="H180" i="26"/>
  <c r="L181" i="26"/>
  <c r="D182" i="26"/>
  <c r="R180" i="22"/>
  <c r="N182" i="26"/>
  <c r="F183" i="26"/>
  <c r="P183" i="26"/>
  <c r="H184" i="26"/>
  <c r="L185" i="26"/>
  <c r="D186" i="26"/>
  <c r="R184" i="22"/>
  <c r="N186" i="26"/>
  <c r="F187" i="26"/>
  <c r="P187" i="26"/>
  <c r="H188" i="26"/>
  <c r="L189" i="26"/>
  <c r="L191" i="26"/>
  <c r="L198" i="22"/>
  <c r="D192" i="26"/>
  <c r="R190" i="22"/>
  <c r="N192" i="26"/>
  <c r="F193" i="26"/>
  <c r="P193" i="26"/>
  <c r="H194" i="26"/>
  <c r="L195" i="26"/>
  <c r="D196" i="26"/>
  <c r="R194" i="22"/>
  <c r="N196" i="26"/>
  <c r="F197" i="26"/>
  <c r="P197" i="26"/>
  <c r="H198" i="26"/>
  <c r="L199" i="26"/>
  <c r="L201" i="26"/>
  <c r="L215" i="22"/>
  <c r="D202" i="26"/>
  <c r="R200" i="22"/>
  <c r="N202" i="26"/>
  <c r="F203" i="26"/>
  <c r="P203" i="26"/>
  <c r="H204" i="26"/>
  <c r="L205" i="26"/>
  <c r="D206" i="26"/>
  <c r="R204" i="22"/>
  <c r="N206" i="26"/>
  <c r="F207" i="26"/>
  <c r="P207" i="26"/>
  <c r="H208" i="26"/>
  <c r="L209" i="26"/>
  <c r="D210" i="26"/>
  <c r="R208" i="22"/>
  <c r="N210" i="26"/>
  <c r="F211" i="26"/>
  <c r="P211" i="26"/>
  <c r="H212" i="26"/>
  <c r="L213" i="26"/>
  <c r="D214" i="26"/>
  <c r="R212" i="22"/>
  <c r="N214" i="26"/>
  <c r="F215" i="26"/>
  <c r="P215" i="26"/>
  <c r="H216" i="26"/>
  <c r="H218" i="26"/>
  <c r="H222" i="26"/>
  <c r="H228" i="22"/>
  <c r="L223" i="26"/>
  <c r="D224" i="26"/>
  <c r="R222" i="22"/>
  <c r="N224" i="26"/>
  <c r="F225" i="26"/>
  <c r="P225" i="26"/>
  <c r="H226" i="26"/>
  <c r="L227" i="26"/>
  <c r="D228" i="26"/>
  <c r="R226" i="22"/>
  <c r="N228" i="26"/>
  <c r="F229" i="26"/>
  <c r="P229" i="26"/>
  <c r="F231" i="26"/>
  <c r="F263" i="22"/>
  <c r="P231" i="26"/>
  <c r="P263" i="22"/>
  <c r="H232" i="26"/>
  <c r="L233" i="26"/>
  <c r="D234" i="26"/>
  <c r="R232" i="22"/>
  <c r="N234" i="26"/>
  <c r="F235" i="26"/>
  <c r="P235" i="26"/>
  <c r="F236" i="26"/>
  <c r="P236" i="26"/>
  <c r="H237" i="26"/>
  <c r="L238" i="26"/>
  <c r="D239" i="26"/>
  <c r="R238" i="22"/>
  <c r="N239" i="26"/>
  <c r="F240" i="26"/>
  <c r="P240" i="26"/>
  <c r="H241" i="26"/>
  <c r="L242" i="26"/>
  <c r="D243" i="26"/>
  <c r="R242" i="22"/>
  <c r="N243" i="26"/>
  <c r="F244" i="26"/>
  <c r="P244" i="26"/>
  <c r="H245" i="26"/>
  <c r="L246" i="26"/>
  <c r="D247" i="26"/>
  <c r="R246" i="22"/>
  <c r="N247" i="26"/>
  <c r="F248" i="26"/>
  <c r="P248" i="26"/>
  <c r="H249" i="26"/>
  <c r="L250" i="26"/>
  <c r="D251" i="26"/>
  <c r="R250" i="22"/>
  <c r="N251" i="26"/>
  <c r="F252" i="26"/>
  <c r="P252" i="26"/>
  <c r="H253" i="26"/>
  <c r="L254" i="26"/>
  <c r="D255" i="26"/>
  <c r="R254" i="22"/>
  <c r="N255" i="26"/>
  <c r="F256" i="26"/>
  <c r="P256" i="26"/>
  <c r="H257" i="26"/>
  <c r="L258" i="26"/>
  <c r="D259" i="26"/>
  <c r="R258" i="22"/>
  <c r="N259" i="26"/>
  <c r="F260" i="26"/>
  <c r="P260" i="26"/>
  <c r="H261" i="26"/>
  <c r="L262" i="26"/>
  <c r="D263" i="26"/>
  <c r="R262" i="22"/>
  <c r="N263" i="26"/>
  <c r="D265" i="26"/>
  <c r="R264" i="22"/>
  <c r="D272" i="22"/>
  <c r="N265" i="26"/>
  <c r="N272" i="22"/>
  <c r="F266" i="26"/>
  <c r="P266" i="26"/>
  <c r="H267" i="26"/>
  <c r="L268" i="26"/>
  <c r="D269" i="26"/>
  <c r="R268" i="22"/>
  <c r="N269" i="26"/>
  <c r="F270" i="26"/>
  <c r="P270" i="26"/>
  <c r="H271" i="26"/>
  <c r="L272" i="26"/>
  <c r="L274" i="26"/>
  <c r="L324" i="22"/>
  <c r="D275" i="26"/>
  <c r="R274" i="22"/>
  <c r="N275" i="26"/>
  <c r="F276" i="26"/>
  <c r="P276" i="26"/>
  <c r="H277" i="26"/>
  <c r="L278" i="26"/>
  <c r="D279" i="26"/>
  <c r="R278" i="22"/>
  <c r="N279" i="26"/>
  <c r="F280" i="26"/>
  <c r="P280" i="26"/>
  <c r="H281" i="26"/>
  <c r="L282" i="26"/>
  <c r="D283" i="26"/>
  <c r="R282" i="22"/>
  <c r="N283" i="26"/>
  <c r="F284" i="26"/>
  <c r="P284" i="26"/>
  <c r="H285" i="26"/>
  <c r="L286" i="26"/>
  <c r="D287" i="26"/>
  <c r="R286" i="22"/>
  <c r="N287" i="26"/>
  <c r="F288" i="26"/>
  <c r="P288" i="26"/>
  <c r="H289" i="26"/>
  <c r="L290" i="26"/>
  <c r="D291" i="26"/>
  <c r="R290" i="22"/>
  <c r="N291" i="26"/>
  <c r="F292" i="26"/>
  <c r="P292" i="26"/>
  <c r="H293" i="26"/>
  <c r="L294" i="26"/>
  <c r="D295" i="26"/>
  <c r="R294" i="22"/>
  <c r="N295" i="26"/>
  <c r="F296" i="26"/>
  <c r="P296" i="26"/>
  <c r="H297" i="26"/>
  <c r="L298" i="26"/>
  <c r="D299" i="26"/>
  <c r="R298" i="22"/>
  <c r="N299" i="26"/>
  <c r="F300" i="26"/>
  <c r="F301" i="26"/>
  <c r="F305" i="26"/>
  <c r="L307" i="26"/>
  <c r="P309" i="26"/>
  <c r="D312" i="26"/>
  <c r="R311" i="22"/>
  <c r="H314" i="26"/>
  <c r="N316" i="26"/>
  <c r="F321" i="26"/>
  <c r="L323" i="26"/>
  <c r="N326" i="26"/>
  <c r="N335" i="22"/>
  <c r="F331" i="26"/>
  <c r="L333" i="26"/>
  <c r="P335" i="26"/>
  <c r="F341" i="26"/>
  <c r="L343" i="26"/>
  <c r="P345" i="26"/>
  <c r="D348" i="26"/>
  <c r="R347" i="22"/>
  <c r="H350" i="26"/>
  <c r="N354" i="26"/>
  <c r="N388" i="22"/>
  <c r="F359" i="26"/>
  <c r="L361" i="26"/>
  <c r="P363" i="26"/>
  <c r="D366" i="26"/>
  <c r="R365" i="22"/>
  <c r="H368" i="26"/>
  <c r="N370" i="26"/>
  <c r="F375" i="26"/>
  <c r="L377" i="26"/>
  <c r="P379" i="26"/>
  <c r="D382" i="26"/>
  <c r="R381" i="22"/>
  <c r="H384" i="26"/>
  <c r="N386" i="26"/>
  <c r="D392" i="26"/>
  <c r="R391" i="22"/>
  <c r="H394" i="26"/>
  <c r="N396" i="26"/>
  <c r="D402" i="26"/>
  <c r="R401" i="22"/>
  <c r="H404" i="26"/>
  <c r="N406" i="26"/>
  <c r="F411" i="26"/>
  <c r="L413" i="26"/>
  <c r="P415" i="26"/>
  <c r="D420" i="26"/>
  <c r="R419" i="22"/>
  <c r="F427" i="26"/>
  <c r="L429" i="26"/>
  <c r="P431" i="26"/>
  <c r="D434" i="26"/>
  <c r="R433" i="22"/>
  <c r="H436" i="26"/>
  <c r="L439" i="26"/>
  <c r="L440" i="22"/>
  <c r="N442" i="26"/>
  <c r="L72" i="26"/>
  <c r="D73" i="26"/>
  <c r="R71" i="22"/>
  <c r="N73" i="26"/>
  <c r="F74" i="26"/>
  <c r="P74" i="26"/>
  <c r="H75" i="26"/>
  <c r="L76" i="26"/>
  <c r="D77" i="26"/>
  <c r="R75" i="22"/>
  <c r="N77" i="26"/>
  <c r="F78" i="26"/>
  <c r="P78" i="26"/>
  <c r="H79" i="26"/>
  <c r="L80" i="26"/>
  <c r="D81" i="26"/>
  <c r="D80" i="22"/>
  <c r="R79" i="22"/>
  <c r="N81" i="26"/>
  <c r="N80" i="22"/>
  <c r="D85" i="26"/>
  <c r="D91" i="22"/>
  <c r="R83" i="22"/>
  <c r="F160" i="4"/>
  <c r="N85" i="26"/>
  <c r="N91" i="22"/>
  <c r="R160" i="4"/>
  <c r="F86" i="26"/>
  <c r="P86" i="26"/>
  <c r="H87" i="26"/>
  <c r="L88" i="26"/>
  <c r="D89" i="26"/>
  <c r="R87" i="22"/>
  <c r="N89" i="26"/>
  <c r="F90" i="26"/>
  <c r="P90" i="26"/>
  <c r="H91" i="26"/>
  <c r="L92" i="26"/>
  <c r="L96" i="26"/>
  <c r="P161" i="4"/>
  <c r="P124" i="4" s="1"/>
  <c r="D97" i="26"/>
  <c r="R95" i="22"/>
  <c r="N97" i="26"/>
  <c r="F98" i="26"/>
  <c r="P98" i="26"/>
  <c r="H99" i="26"/>
  <c r="L100" i="26"/>
  <c r="L115" i="22"/>
  <c r="D101" i="26"/>
  <c r="R99" i="22"/>
  <c r="N101" i="26"/>
  <c r="F102" i="26"/>
  <c r="P102" i="26"/>
  <c r="H103" i="26"/>
  <c r="L104" i="26"/>
  <c r="D105" i="26"/>
  <c r="R103" i="22"/>
  <c r="N105" i="26"/>
  <c r="F106" i="26"/>
  <c r="P106" i="26"/>
  <c r="H107" i="26"/>
  <c r="L108" i="26"/>
  <c r="D109" i="26"/>
  <c r="R107" i="22"/>
  <c r="N109" i="26"/>
  <c r="F110" i="26"/>
  <c r="P110" i="26"/>
  <c r="H111" i="26"/>
  <c r="L112" i="26"/>
  <c r="D113" i="26"/>
  <c r="R111" i="22"/>
  <c r="N113" i="26"/>
  <c r="F114" i="26"/>
  <c r="P114" i="26"/>
  <c r="H115" i="26"/>
  <c r="L116" i="26"/>
  <c r="L118" i="26"/>
  <c r="L135" i="22"/>
  <c r="D119" i="26"/>
  <c r="R117" i="22"/>
  <c r="N119" i="26"/>
  <c r="F120" i="26"/>
  <c r="P120" i="26"/>
  <c r="H121" i="26"/>
  <c r="L122" i="26"/>
  <c r="D123" i="26"/>
  <c r="R121" i="22"/>
  <c r="N123" i="26"/>
  <c r="F124" i="26"/>
  <c r="P124" i="26"/>
  <c r="H125" i="26"/>
  <c r="L126" i="26"/>
  <c r="D127" i="26"/>
  <c r="R125" i="22"/>
  <c r="N127" i="26"/>
  <c r="F128" i="26"/>
  <c r="P128" i="26"/>
  <c r="H129" i="26"/>
  <c r="L130" i="26"/>
  <c r="D131" i="26"/>
  <c r="R129" i="22"/>
  <c r="N131" i="26"/>
  <c r="F132" i="26"/>
  <c r="P132" i="26"/>
  <c r="H133" i="26"/>
  <c r="L134" i="26"/>
  <c r="D135" i="26"/>
  <c r="R133" i="22"/>
  <c r="N135" i="26"/>
  <c r="F136" i="26"/>
  <c r="P136" i="26"/>
  <c r="F138" i="26"/>
  <c r="P138" i="26"/>
  <c r="H139" i="26"/>
  <c r="H152" i="22"/>
  <c r="H217" i="22" s="1"/>
  <c r="L140" i="26"/>
  <c r="D141" i="26"/>
  <c r="R139" i="22"/>
  <c r="N141" i="26"/>
  <c r="F142" i="26"/>
  <c r="P142" i="26"/>
  <c r="H143" i="26"/>
  <c r="L144" i="26"/>
  <c r="D145" i="26"/>
  <c r="R143" i="22"/>
  <c r="N145" i="26"/>
  <c r="F146" i="26"/>
  <c r="P146" i="26"/>
  <c r="H147" i="26"/>
  <c r="L148" i="26"/>
  <c r="D149" i="26"/>
  <c r="R147" i="22"/>
  <c r="N149" i="26"/>
  <c r="F150" i="26"/>
  <c r="P150" i="26"/>
  <c r="H151" i="26"/>
  <c r="L152" i="26"/>
  <c r="D153" i="26"/>
  <c r="R151" i="22"/>
  <c r="N153" i="26"/>
  <c r="D155" i="26"/>
  <c r="D170" i="22"/>
  <c r="R153" i="22"/>
  <c r="N155" i="26"/>
  <c r="N170" i="22"/>
  <c r="F156" i="26"/>
  <c r="P156" i="26"/>
  <c r="H157" i="26"/>
  <c r="L158" i="26"/>
  <c r="D159" i="26"/>
  <c r="R157" i="22"/>
  <c r="N159" i="26"/>
  <c r="F160" i="26"/>
  <c r="P160" i="26"/>
  <c r="H161" i="26"/>
  <c r="L162" i="26"/>
  <c r="D163" i="26"/>
  <c r="R161" i="22"/>
  <c r="N163" i="26"/>
  <c r="F164" i="26"/>
  <c r="P164" i="26"/>
  <c r="H165" i="26"/>
  <c r="L166" i="26"/>
  <c r="D167" i="26"/>
  <c r="R165" i="22"/>
  <c r="N167" i="26"/>
  <c r="F168" i="26"/>
  <c r="P168" i="26"/>
  <c r="H169" i="26"/>
  <c r="L170" i="26"/>
  <c r="D171" i="26"/>
  <c r="R169" i="22"/>
  <c r="N171" i="26"/>
  <c r="D173" i="26"/>
  <c r="D188" i="22"/>
  <c r="R171" i="22"/>
  <c r="N173" i="26"/>
  <c r="N188" i="22"/>
  <c r="F174" i="26"/>
  <c r="P174" i="26"/>
  <c r="H175" i="26"/>
  <c r="L176" i="26"/>
  <c r="D177" i="26"/>
  <c r="R175" i="22"/>
  <c r="N177" i="26"/>
  <c r="F178" i="26"/>
  <c r="P178" i="26"/>
  <c r="H179" i="26"/>
  <c r="L180" i="26"/>
  <c r="D181" i="26"/>
  <c r="R179" i="22"/>
  <c r="N181" i="26"/>
  <c r="F182" i="26"/>
  <c r="P182" i="26"/>
  <c r="H183" i="26"/>
  <c r="L184" i="26"/>
  <c r="D185" i="26"/>
  <c r="R183" i="22"/>
  <c r="N185" i="26"/>
  <c r="F186" i="26"/>
  <c r="P186" i="26"/>
  <c r="H187" i="26"/>
  <c r="L188" i="26"/>
  <c r="D189" i="26"/>
  <c r="R187" i="22"/>
  <c r="N189" i="26"/>
  <c r="D191" i="26"/>
  <c r="D198" i="22"/>
  <c r="R189" i="22"/>
  <c r="N191" i="26"/>
  <c r="N198" i="22"/>
  <c r="F192" i="26"/>
  <c r="P192" i="26"/>
  <c r="H193" i="26"/>
  <c r="L194" i="26"/>
  <c r="D195" i="26"/>
  <c r="R193" i="22"/>
  <c r="N195" i="26"/>
  <c r="F196" i="26"/>
  <c r="P196" i="26"/>
  <c r="H197" i="26"/>
  <c r="L198" i="26"/>
  <c r="D199" i="26"/>
  <c r="R197" i="22"/>
  <c r="N199" i="26"/>
  <c r="D201" i="26"/>
  <c r="D215" i="22"/>
  <c r="R199" i="22"/>
  <c r="N201" i="26"/>
  <c r="N215" i="22"/>
  <c r="F202" i="26"/>
  <c r="P202" i="26"/>
  <c r="H203" i="26"/>
  <c r="L204" i="26"/>
  <c r="D205" i="26"/>
  <c r="R203" i="22"/>
  <c r="N205" i="26"/>
  <c r="F206" i="26"/>
  <c r="P206" i="26"/>
  <c r="H207" i="26"/>
  <c r="L208" i="26"/>
  <c r="D209" i="26"/>
  <c r="R207" i="22"/>
  <c r="N209" i="26"/>
  <c r="F210" i="26"/>
  <c r="P210" i="26"/>
  <c r="H211" i="26"/>
  <c r="L212" i="26"/>
  <c r="D213" i="26"/>
  <c r="R211" i="22"/>
  <c r="N213" i="26"/>
  <c r="F214" i="26"/>
  <c r="P214" i="26"/>
  <c r="H215" i="26"/>
  <c r="L216" i="26"/>
  <c r="L218" i="26"/>
  <c r="L222" i="26"/>
  <c r="L228" i="22"/>
  <c r="D223" i="26"/>
  <c r="R221" i="22"/>
  <c r="N223" i="26"/>
  <c r="F224" i="26"/>
  <c r="P224" i="26"/>
  <c r="H225" i="26"/>
  <c r="L226" i="26"/>
  <c r="D227" i="26"/>
  <c r="R225" i="22"/>
  <c r="N227" i="26"/>
  <c r="F228" i="26"/>
  <c r="P228" i="26"/>
  <c r="H229" i="26"/>
  <c r="H231" i="26"/>
  <c r="H263" i="22"/>
  <c r="L232" i="26"/>
  <c r="D233" i="26"/>
  <c r="R231" i="22"/>
  <c r="N233" i="26"/>
  <c r="F234" i="26"/>
  <c r="P234" i="26"/>
  <c r="H235" i="26"/>
  <c r="H236" i="26"/>
  <c r="L237" i="26"/>
  <c r="D238" i="26"/>
  <c r="R237" i="22"/>
  <c r="N238" i="26"/>
  <c r="F239" i="26"/>
  <c r="P239" i="26"/>
  <c r="H240" i="26"/>
  <c r="L241" i="26"/>
  <c r="D242" i="26"/>
  <c r="R241" i="22"/>
  <c r="N242" i="26"/>
  <c r="F243" i="26"/>
  <c r="P243" i="26"/>
  <c r="H244" i="26"/>
  <c r="L245" i="26"/>
  <c r="D246" i="26"/>
  <c r="R245" i="22"/>
  <c r="N246" i="26"/>
  <c r="F247" i="26"/>
  <c r="P247" i="26"/>
  <c r="H248" i="26"/>
  <c r="L249" i="26"/>
  <c r="D250" i="26"/>
  <c r="R249" i="22"/>
  <c r="N250" i="26"/>
  <c r="F251" i="26"/>
  <c r="P251" i="26"/>
  <c r="H252" i="26"/>
  <c r="L253" i="26"/>
  <c r="D254" i="26"/>
  <c r="R253" i="22"/>
  <c r="N254" i="26"/>
  <c r="F255" i="26"/>
  <c r="P255" i="26"/>
  <c r="H256" i="26"/>
  <c r="L257" i="26"/>
  <c r="D258" i="26"/>
  <c r="R257" i="22"/>
  <c r="N258" i="26"/>
  <c r="F259" i="26"/>
  <c r="P259" i="26"/>
  <c r="H260" i="26"/>
  <c r="L261" i="26"/>
  <c r="D262" i="26"/>
  <c r="R261" i="22"/>
  <c r="N262" i="26"/>
  <c r="F263" i="26"/>
  <c r="P263" i="26"/>
  <c r="F265" i="26"/>
  <c r="F272" i="22"/>
  <c r="P265" i="26"/>
  <c r="P272" i="22"/>
  <c r="H266" i="26"/>
  <c r="L267" i="26"/>
  <c r="D268" i="26"/>
  <c r="R267" i="22"/>
  <c r="N268" i="26"/>
  <c r="F269" i="26"/>
  <c r="P269" i="26"/>
  <c r="H270" i="26"/>
  <c r="L271" i="26"/>
  <c r="D272" i="26"/>
  <c r="R271" i="22"/>
  <c r="N272" i="26"/>
  <c r="D274" i="26"/>
  <c r="D324" i="22"/>
  <c r="R273" i="22"/>
  <c r="N274" i="26"/>
  <c r="N324" i="22"/>
  <c r="F275" i="26"/>
  <c r="P275" i="26"/>
  <c r="H276" i="26"/>
  <c r="L277" i="26"/>
  <c r="D278" i="26"/>
  <c r="R277" i="22"/>
  <c r="N278" i="26"/>
  <c r="F279" i="26"/>
  <c r="P279" i="26"/>
  <c r="H280" i="26"/>
  <c r="L281" i="26"/>
  <c r="D282" i="26"/>
  <c r="R281" i="22"/>
  <c r="N282" i="26"/>
  <c r="F283" i="26"/>
  <c r="P283" i="26"/>
  <c r="H284" i="26"/>
  <c r="L285" i="26"/>
  <c r="D286" i="26"/>
  <c r="R285" i="22"/>
  <c r="N286" i="26"/>
  <c r="F287" i="26"/>
  <c r="P287" i="26"/>
  <c r="H288" i="26"/>
  <c r="L289" i="26"/>
  <c r="D290" i="26"/>
  <c r="R289" i="22"/>
  <c r="N290" i="26"/>
  <c r="F291" i="26"/>
  <c r="P291" i="26"/>
  <c r="H292" i="26"/>
  <c r="L293" i="26"/>
  <c r="D294" i="26"/>
  <c r="R293" i="22"/>
  <c r="N294" i="26"/>
  <c r="F295" i="26"/>
  <c r="P295" i="26"/>
  <c r="H296" i="26"/>
  <c r="L297" i="26"/>
  <c r="D298" i="26"/>
  <c r="R297" i="22"/>
  <c r="N298" i="26"/>
  <c r="F299" i="26"/>
  <c r="P299" i="26"/>
  <c r="L300" i="26"/>
  <c r="N301" i="26"/>
  <c r="L303" i="26"/>
  <c r="P305" i="26"/>
  <c r="D308" i="26"/>
  <c r="R307" i="22"/>
  <c r="H310" i="26"/>
  <c r="N312" i="26"/>
  <c r="F317" i="26"/>
  <c r="L319" i="26"/>
  <c r="P321" i="26"/>
  <c r="D324" i="26"/>
  <c r="R323" i="22"/>
  <c r="F327" i="26"/>
  <c r="L329" i="26"/>
  <c r="P331" i="26"/>
  <c r="D334" i="26"/>
  <c r="R333" i="22"/>
  <c r="F337" i="26"/>
  <c r="F351" i="22"/>
  <c r="L339" i="26"/>
  <c r="P341" i="26"/>
  <c r="D344" i="26"/>
  <c r="R343" i="22"/>
  <c r="H346" i="26"/>
  <c r="N348" i="26"/>
  <c r="F355" i="26"/>
  <c r="L357" i="26"/>
  <c r="P359" i="26"/>
  <c r="D362" i="26"/>
  <c r="R361" i="22"/>
  <c r="H364" i="26"/>
  <c r="N366" i="26"/>
  <c r="F371" i="26"/>
  <c r="L373" i="26"/>
  <c r="P375" i="26"/>
  <c r="D378" i="26"/>
  <c r="R377" i="22"/>
  <c r="H380" i="26"/>
  <c r="N382" i="26"/>
  <c r="F387" i="26"/>
  <c r="H390" i="26"/>
  <c r="H398" i="22"/>
  <c r="N392" i="26"/>
  <c r="F397" i="26"/>
  <c r="H400" i="26"/>
  <c r="H417" i="22"/>
  <c r="N402" i="26"/>
  <c r="F407" i="26"/>
  <c r="L409" i="26"/>
  <c r="P411" i="26"/>
  <c r="D414" i="26"/>
  <c r="R413" i="22"/>
  <c r="H416" i="26"/>
  <c r="N420" i="26"/>
  <c r="L425" i="26"/>
  <c r="P427" i="26"/>
  <c r="D430" i="26"/>
  <c r="R429" i="22"/>
  <c r="H432" i="26"/>
  <c r="N434" i="26"/>
  <c r="D440" i="26"/>
  <c r="R439" i="22"/>
  <c r="F443" i="26"/>
  <c r="F444" i="22"/>
  <c r="P69" i="26"/>
  <c r="H70" i="26"/>
  <c r="L71" i="26"/>
  <c r="D72" i="26"/>
  <c r="R70" i="22"/>
  <c r="N72" i="26"/>
  <c r="F73" i="26"/>
  <c r="P73" i="26"/>
  <c r="H74" i="26"/>
  <c r="L75" i="26"/>
  <c r="D76" i="26"/>
  <c r="R74" i="22"/>
  <c r="N76" i="26"/>
  <c r="F77" i="26"/>
  <c r="P77" i="26"/>
  <c r="H78" i="26"/>
  <c r="L79" i="26"/>
  <c r="D80" i="26"/>
  <c r="R78" i="22"/>
  <c r="N80" i="26"/>
  <c r="F81" i="26"/>
  <c r="F80" i="22"/>
  <c r="P81" i="26"/>
  <c r="P80" i="22"/>
  <c r="F85" i="26"/>
  <c r="F91" i="22"/>
  <c r="H160" i="4"/>
  <c r="V160" i="4" s="1"/>
  <c r="P85" i="26"/>
  <c r="P91" i="22"/>
  <c r="T160" i="4"/>
  <c r="H86" i="26"/>
  <c r="L87" i="26"/>
  <c r="D88" i="26"/>
  <c r="R86" i="22"/>
  <c r="N88" i="26"/>
  <c r="F89" i="26"/>
  <c r="P89" i="26"/>
  <c r="H90" i="26"/>
  <c r="L91" i="26"/>
  <c r="D92" i="26"/>
  <c r="R90" i="22"/>
  <c r="N92" i="26"/>
  <c r="D96" i="26"/>
  <c r="R94" i="22"/>
  <c r="F161" i="4"/>
  <c r="F124" i="4" s="1"/>
  <c r="N96" i="26"/>
  <c r="R161" i="4"/>
  <c r="R124" i="4" s="1"/>
  <c r="F97" i="26"/>
  <c r="P97" i="26"/>
  <c r="H98" i="26"/>
  <c r="L99" i="26"/>
  <c r="D100" i="26"/>
  <c r="D115" i="22"/>
  <c r="R98" i="22"/>
  <c r="N100" i="26"/>
  <c r="N115" i="22"/>
  <c r="F101" i="26"/>
  <c r="P101" i="26"/>
  <c r="H102" i="26"/>
  <c r="L103" i="26"/>
  <c r="D104" i="26"/>
  <c r="R102" i="22"/>
  <c r="N104" i="26"/>
  <c r="F105" i="26"/>
  <c r="P105" i="26"/>
  <c r="H106" i="26"/>
  <c r="L107" i="26"/>
  <c r="D108" i="26"/>
  <c r="R106" i="22"/>
  <c r="N108" i="26"/>
  <c r="F109" i="26"/>
  <c r="P109" i="26"/>
  <c r="H110" i="26"/>
  <c r="L111" i="26"/>
  <c r="D112" i="26"/>
  <c r="R110" i="22"/>
  <c r="N112" i="26"/>
  <c r="F113" i="26"/>
  <c r="P113" i="26"/>
  <c r="H114" i="26"/>
  <c r="L115" i="26"/>
  <c r="D116" i="26"/>
  <c r="R114" i="22"/>
  <c r="N116" i="26"/>
  <c r="D118" i="26"/>
  <c r="D135" i="22"/>
  <c r="R116" i="22"/>
  <c r="N118" i="26"/>
  <c r="N135" i="22"/>
  <c r="F119" i="26"/>
  <c r="P119" i="26"/>
  <c r="H120" i="26"/>
  <c r="L121" i="26"/>
  <c r="D122" i="26"/>
  <c r="R120" i="22"/>
  <c r="N122" i="26"/>
  <c r="F123" i="26"/>
  <c r="P123" i="26"/>
  <c r="H124" i="26"/>
  <c r="L125" i="26"/>
  <c r="D126" i="26"/>
  <c r="R124" i="22"/>
  <c r="N126" i="26"/>
  <c r="F127" i="26"/>
  <c r="P127" i="26"/>
  <c r="H128" i="26"/>
  <c r="L129" i="26"/>
  <c r="D130" i="26"/>
  <c r="R128" i="22"/>
  <c r="N130" i="26"/>
  <c r="F131" i="26"/>
  <c r="P131" i="26"/>
  <c r="H132" i="26"/>
  <c r="L133" i="26"/>
  <c r="D134" i="26"/>
  <c r="R132" i="22"/>
  <c r="N134" i="26"/>
  <c r="F135" i="26"/>
  <c r="P135" i="26"/>
  <c r="H136" i="26"/>
  <c r="H138" i="26"/>
  <c r="L139" i="26"/>
  <c r="L152" i="22"/>
  <c r="L217" i="22" s="1"/>
  <c r="D140" i="26"/>
  <c r="R138" i="22"/>
  <c r="N140" i="26"/>
  <c r="F141" i="26"/>
  <c r="P141" i="26"/>
  <c r="H142" i="26"/>
  <c r="L143" i="26"/>
  <c r="D144" i="26"/>
  <c r="R142" i="22"/>
  <c r="N144" i="26"/>
  <c r="F145" i="26"/>
  <c r="P145" i="26"/>
  <c r="H146" i="26"/>
  <c r="L147" i="26"/>
  <c r="D148" i="26"/>
  <c r="R146" i="22"/>
  <c r="N148" i="26"/>
  <c r="F149" i="26"/>
  <c r="P149" i="26"/>
  <c r="H150" i="26"/>
  <c r="L151" i="26"/>
  <c r="D152" i="26"/>
  <c r="R150" i="22"/>
  <c r="N152" i="26"/>
  <c r="F153" i="26"/>
  <c r="P153" i="26"/>
  <c r="F155" i="26"/>
  <c r="F170" i="22"/>
  <c r="P155" i="26"/>
  <c r="P170" i="22"/>
  <c r="H156" i="26"/>
  <c r="L157" i="26"/>
  <c r="D158" i="26"/>
  <c r="R156" i="22"/>
  <c r="N158" i="26"/>
  <c r="F159" i="26"/>
  <c r="P159" i="26"/>
  <c r="H160" i="26"/>
  <c r="L161" i="26"/>
  <c r="D162" i="26"/>
  <c r="R160" i="22"/>
  <c r="N162" i="26"/>
  <c r="F163" i="26"/>
  <c r="P163" i="26"/>
  <c r="H164" i="26"/>
  <c r="L165" i="26"/>
  <c r="D166" i="26"/>
  <c r="R164" i="22"/>
  <c r="N166" i="26"/>
  <c r="F167" i="26"/>
  <c r="P167" i="26"/>
  <c r="H168" i="26"/>
  <c r="L169" i="26"/>
  <c r="D170" i="26"/>
  <c r="R168" i="22"/>
  <c r="N170" i="26"/>
  <c r="F171" i="26"/>
  <c r="P171" i="26"/>
  <c r="F173" i="26"/>
  <c r="F188" i="22"/>
  <c r="P173" i="26"/>
  <c r="P188" i="22"/>
  <c r="H174" i="26"/>
  <c r="L175" i="26"/>
  <c r="D176" i="26"/>
  <c r="R174" i="22"/>
  <c r="N176" i="26"/>
  <c r="F177" i="26"/>
  <c r="P177" i="26"/>
  <c r="H178" i="26"/>
  <c r="L179" i="26"/>
  <c r="D180" i="26"/>
  <c r="R178" i="22"/>
  <c r="N180" i="26"/>
  <c r="F181" i="26"/>
  <c r="P181" i="26"/>
  <c r="H182" i="26"/>
  <c r="L183" i="26"/>
  <c r="D184" i="26"/>
  <c r="R182" i="22"/>
  <c r="N184" i="26"/>
  <c r="F185" i="26"/>
  <c r="P185" i="26"/>
  <c r="H186" i="26"/>
  <c r="L187" i="26"/>
  <c r="D188" i="26"/>
  <c r="R186" i="22"/>
  <c r="N188" i="26"/>
  <c r="F189" i="26"/>
  <c r="P189" i="26"/>
  <c r="F191" i="26"/>
  <c r="F198" i="22"/>
  <c r="P191" i="26"/>
  <c r="P198" i="22"/>
  <c r="H192" i="26"/>
  <c r="L193" i="26"/>
  <c r="D194" i="26"/>
  <c r="R192" i="22"/>
  <c r="N194" i="26"/>
  <c r="F195" i="26"/>
  <c r="P195" i="26"/>
  <c r="H196" i="26"/>
  <c r="L197" i="26"/>
  <c r="D198" i="26"/>
  <c r="R196" i="22"/>
  <c r="N198" i="26"/>
  <c r="F199" i="26"/>
  <c r="P199" i="26"/>
  <c r="F201" i="26"/>
  <c r="F215" i="22"/>
  <c r="F217" i="22" s="1"/>
  <c r="P201" i="26"/>
  <c r="P215" i="22"/>
  <c r="P217" i="22" s="1"/>
  <c r="H202" i="26"/>
  <c r="L203" i="26"/>
  <c r="D204" i="26"/>
  <c r="R202" i="22"/>
  <c r="N204" i="26"/>
  <c r="F205" i="26"/>
  <c r="P205" i="26"/>
  <c r="H206" i="26"/>
  <c r="L207" i="26"/>
  <c r="D208" i="26"/>
  <c r="R206" i="22"/>
  <c r="N208" i="26"/>
  <c r="F209" i="26"/>
  <c r="P209" i="26"/>
  <c r="H210" i="26"/>
  <c r="L211" i="26"/>
  <c r="D212" i="26"/>
  <c r="R210" i="22"/>
  <c r="N212" i="26"/>
  <c r="F213" i="26"/>
  <c r="P213" i="26"/>
  <c r="H214" i="26"/>
  <c r="L215" i="26"/>
  <c r="D216" i="26"/>
  <c r="R214" i="22"/>
  <c r="N216" i="26"/>
  <c r="D218" i="26"/>
  <c r="D217" i="22"/>
  <c r="R216" i="22"/>
  <c r="N218" i="26"/>
  <c r="N217" i="22"/>
  <c r="D222" i="26"/>
  <c r="R220" i="22"/>
  <c r="D228" i="22"/>
  <c r="N222" i="26"/>
  <c r="N228" i="22"/>
  <c r="F223" i="26"/>
  <c r="P223" i="26"/>
  <c r="H224" i="26"/>
  <c r="L225" i="26"/>
  <c r="D226" i="26"/>
  <c r="R224" i="22"/>
  <c r="N226" i="26"/>
  <c r="F227" i="26"/>
  <c r="P227" i="26"/>
  <c r="H228" i="26"/>
  <c r="L229" i="26"/>
  <c r="L231" i="26"/>
  <c r="L263" i="22"/>
  <c r="D232" i="26"/>
  <c r="R230" i="22"/>
  <c r="N232" i="26"/>
  <c r="F233" i="26"/>
  <c r="P233" i="26"/>
  <c r="H234" i="26"/>
  <c r="L235" i="26"/>
  <c r="L236" i="26"/>
  <c r="D237" i="26"/>
  <c r="R236" i="22"/>
  <c r="N237" i="26"/>
  <c r="F238" i="26"/>
  <c r="P238" i="26"/>
  <c r="H239" i="26"/>
  <c r="L240" i="26"/>
  <c r="D241" i="26"/>
  <c r="R240" i="22"/>
  <c r="N241" i="26"/>
  <c r="F242" i="26"/>
  <c r="P242" i="26"/>
  <c r="H243" i="26"/>
  <c r="L244" i="26"/>
  <c r="D245" i="26"/>
  <c r="R244" i="22"/>
  <c r="N245" i="26"/>
  <c r="F246" i="26"/>
  <c r="P246" i="26"/>
  <c r="H247" i="26"/>
  <c r="L248" i="26"/>
  <c r="D249" i="26"/>
  <c r="R248" i="22"/>
  <c r="N249" i="26"/>
  <c r="F250" i="26"/>
  <c r="P250" i="26"/>
  <c r="H251" i="26"/>
  <c r="L252" i="26"/>
  <c r="D253" i="26"/>
  <c r="R252" i="22"/>
  <c r="N253" i="26"/>
  <c r="F254" i="26"/>
  <c r="P254" i="26"/>
  <c r="H255" i="26"/>
  <c r="L256" i="26"/>
  <c r="D257" i="26"/>
  <c r="R256" i="22"/>
  <c r="N257" i="26"/>
  <c r="F258" i="26"/>
  <c r="P258" i="26"/>
  <c r="H259" i="26"/>
  <c r="L260" i="26"/>
  <c r="D261" i="26"/>
  <c r="R260" i="22"/>
  <c r="N261" i="26"/>
  <c r="F262" i="26"/>
  <c r="P262" i="26"/>
  <c r="H263" i="26"/>
  <c r="H265" i="26"/>
  <c r="H272" i="22"/>
  <c r="L266" i="26"/>
  <c r="D267" i="26"/>
  <c r="R266" i="22"/>
  <c r="N267" i="26"/>
  <c r="F268" i="26"/>
  <c r="P268" i="26"/>
  <c r="H269" i="26"/>
  <c r="L270" i="26"/>
  <c r="D271" i="26"/>
  <c r="R270" i="22"/>
  <c r="N271" i="26"/>
  <c r="F272" i="26"/>
  <c r="P272" i="26"/>
  <c r="F274" i="26"/>
  <c r="F324" i="22"/>
  <c r="P274" i="26"/>
  <c r="P324" i="22"/>
  <c r="H275" i="26"/>
  <c r="L276" i="26"/>
  <c r="D277" i="26"/>
  <c r="R276" i="22"/>
  <c r="N277" i="26"/>
  <c r="F278" i="26"/>
  <c r="P278" i="26"/>
  <c r="H279" i="26"/>
  <c r="L280" i="26"/>
  <c r="D281" i="26"/>
  <c r="R280" i="22"/>
  <c r="N281" i="26"/>
  <c r="F282" i="26"/>
  <c r="P282" i="26"/>
  <c r="H283" i="26"/>
  <c r="L284" i="26"/>
  <c r="D285" i="26"/>
  <c r="R284" i="22"/>
  <c r="N285" i="26"/>
  <c r="F286" i="26"/>
  <c r="P286" i="26"/>
  <c r="H287" i="26"/>
  <c r="L288" i="26"/>
  <c r="D289" i="26"/>
  <c r="R288" i="22"/>
  <c r="N289" i="26"/>
  <c r="F290" i="26"/>
  <c r="P290" i="26"/>
  <c r="H291" i="26"/>
  <c r="L292" i="26"/>
  <c r="D293" i="26"/>
  <c r="R292" i="22"/>
  <c r="N293" i="26"/>
  <c r="F294" i="26"/>
  <c r="P294" i="26"/>
  <c r="H295" i="26"/>
  <c r="L296" i="26"/>
  <c r="D297" i="26"/>
  <c r="R296" i="22"/>
  <c r="N297" i="26"/>
  <c r="F298" i="26"/>
  <c r="P298" i="26"/>
  <c r="H299" i="26"/>
  <c r="N300" i="26"/>
  <c r="P301" i="26"/>
  <c r="D304" i="26"/>
  <c r="R303" i="22"/>
  <c r="H306" i="26"/>
  <c r="N308" i="26"/>
  <c r="F313" i="26"/>
  <c r="L315" i="26"/>
  <c r="P317" i="26"/>
  <c r="D320" i="26"/>
  <c r="R319" i="22"/>
  <c r="H322" i="26"/>
  <c r="N324" i="26"/>
  <c r="P327" i="26"/>
  <c r="D330" i="26"/>
  <c r="R329" i="22"/>
  <c r="H332" i="26"/>
  <c r="N334" i="26"/>
  <c r="P337" i="26"/>
  <c r="P351" i="22"/>
  <c r="D340" i="26"/>
  <c r="R339" i="22"/>
  <c r="H342" i="26"/>
  <c r="N344" i="26"/>
  <c r="F349" i="26"/>
  <c r="L351" i="26"/>
  <c r="L353" i="26"/>
  <c r="P355" i="26"/>
  <c r="D358" i="26"/>
  <c r="R357" i="22"/>
  <c r="H360" i="26"/>
  <c r="N362" i="26"/>
  <c r="F367" i="26"/>
  <c r="L369" i="26"/>
  <c r="P371" i="26"/>
  <c r="D374" i="26"/>
  <c r="R373" i="22"/>
  <c r="H376" i="26"/>
  <c r="N378" i="26"/>
  <c r="F383" i="26"/>
  <c r="L385" i="26"/>
  <c r="P387" i="26"/>
  <c r="F393" i="26"/>
  <c r="L395" i="26"/>
  <c r="P397" i="26"/>
  <c r="F403" i="26"/>
  <c r="L405" i="26"/>
  <c r="P407" i="26"/>
  <c r="D410" i="26"/>
  <c r="R409" i="22"/>
  <c r="H412" i="26"/>
  <c r="N414" i="26"/>
  <c r="D426" i="26"/>
  <c r="R425" i="22"/>
  <c r="H428" i="26"/>
  <c r="N430" i="26"/>
  <c r="F435" i="26"/>
  <c r="F436" i="22"/>
  <c r="H438" i="26"/>
  <c r="N440" i="26"/>
  <c r="H300" i="26"/>
  <c r="L301" i="26"/>
  <c r="D302" i="26"/>
  <c r="R301" i="22"/>
  <c r="N302" i="26"/>
  <c r="F303" i="26"/>
  <c r="P303" i="26"/>
  <c r="H304" i="26"/>
  <c r="L305" i="26"/>
  <c r="D306" i="26"/>
  <c r="R305" i="22"/>
  <c r="N306" i="26"/>
  <c r="F307" i="26"/>
  <c r="P307" i="26"/>
  <c r="H308" i="26"/>
  <c r="L309" i="26"/>
  <c r="D310" i="26"/>
  <c r="R309" i="22"/>
  <c r="N310" i="26"/>
  <c r="F311" i="26"/>
  <c r="P311" i="26"/>
  <c r="H312" i="26"/>
  <c r="L313" i="26"/>
  <c r="D314" i="26"/>
  <c r="R313" i="22"/>
  <c r="N314" i="26"/>
  <c r="F315" i="26"/>
  <c r="P315" i="26"/>
  <c r="H316" i="26"/>
  <c r="L317" i="26"/>
  <c r="D318" i="26"/>
  <c r="R317" i="22"/>
  <c r="N318" i="26"/>
  <c r="F319" i="26"/>
  <c r="P319" i="26"/>
  <c r="H320" i="26"/>
  <c r="L321" i="26"/>
  <c r="D322" i="26"/>
  <c r="R321" i="22"/>
  <c r="N322" i="26"/>
  <c r="F323" i="26"/>
  <c r="P323" i="26"/>
  <c r="H324" i="26"/>
  <c r="H326" i="26"/>
  <c r="H335" i="22"/>
  <c r="L327" i="26"/>
  <c r="D328" i="26"/>
  <c r="R327" i="22"/>
  <c r="N328" i="26"/>
  <c r="F329" i="26"/>
  <c r="P329" i="26"/>
  <c r="H330" i="26"/>
  <c r="L331" i="26"/>
  <c r="D332" i="26"/>
  <c r="R331" i="22"/>
  <c r="N332" i="26"/>
  <c r="F333" i="26"/>
  <c r="P333" i="26"/>
  <c r="H334" i="26"/>
  <c r="L335" i="26"/>
  <c r="L337" i="26"/>
  <c r="L351" i="22"/>
  <c r="D338" i="26"/>
  <c r="R337" i="22"/>
  <c r="N338" i="26"/>
  <c r="F339" i="26"/>
  <c r="P339" i="26"/>
  <c r="H340" i="26"/>
  <c r="L341" i="26"/>
  <c r="D342" i="26"/>
  <c r="R341" i="22"/>
  <c r="N342" i="26"/>
  <c r="F343" i="26"/>
  <c r="P343" i="26"/>
  <c r="H344" i="26"/>
  <c r="L345" i="26"/>
  <c r="D346" i="26"/>
  <c r="R345" i="22"/>
  <c r="N346" i="26"/>
  <c r="F347" i="26"/>
  <c r="P347" i="26"/>
  <c r="H348" i="26"/>
  <c r="L349" i="26"/>
  <c r="D350" i="26"/>
  <c r="R349" i="22"/>
  <c r="N350" i="26"/>
  <c r="F351" i="26"/>
  <c r="P351" i="26"/>
  <c r="F353" i="26"/>
  <c r="P353" i="26"/>
  <c r="H354" i="26"/>
  <c r="H388" i="22"/>
  <c r="L355" i="26"/>
  <c r="D356" i="26"/>
  <c r="R355" i="22"/>
  <c r="N356" i="26"/>
  <c r="F357" i="26"/>
  <c r="P357" i="26"/>
  <c r="H358" i="26"/>
  <c r="L359" i="26"/>
  <c r="D360" i="26"/>
  <c r="R359" i="22"/>
  <c r="N360" i="26"/>
  <c r="F361" i="26"/>
  <c r="P361" i="26"/>
  <c r="H362" i="26"/>
  <c r="L363" i="26"/>
  <c r="D364" i="26"/>
  <c r="R363" i="22"/>
  <c r="N364" i="26"/>
  <c r="F365" i="26"/>
  <c r="P365" i="26"/>
  <c r="H366" i="26"/>
  <c r="L367" i="26"/>
  <c r="D368" i="26"/>
  <c r="R367" i="22"/>
  <c r="N368" i="26"/>
  <c r="F369" i="26"/>
  <c r="P369" i="26"/>
  <c r="H370" i="26"/>
  <c r="L371" i="26"/>
  <c r="D372" i="26"/>
  <c r="R371" i="22"/>
  <c r="N372" i="26"/>
  <c r="F373" i="26"/>
  <c r="P373" i="26"/>
  <c r="H374" i="26"/>
  <c r="L375" i="26"/>
  <c r="D376" i="26"/>
  <c r="R375" i="22"/>
  <c r="N376" i="26"/>
  <c r="F377" i="26"/>
  <c r="P377" i="26"/>
  <c r="H378" i="26"/>
  <c r="L379" i="26"/>
  <c r="D380" i="26"/>
  <c r="R379" i="22"/>
  <c r="N380" i="26"/>
  <c r="F381" i="26"/>
  <c r="P381" i="26"/>
  <c r="H382" i="26"/>
  <c r="L383" i="26"/>
  <c r="D384" i="26"/>
  <c r="R383" i="22"/>
  <c r="N384" i="26"/>
  <c r="F385" i="26"/>
  <c r="P385" i="26"/>
  <c r="H386" i="26"/>
  <c r="L387" i="26"/>
  <c r="D388" i="26"/>
  <c r="R387" i="22"/>
  <c r="N388" i="26"/>
  <c r="D390" i="26"/>
  <c r="D398" i="22"/>
  <c r="R389" i="22"/>
  <c r="N390" i="26"/>
  <c r="N398" i="22"/>
  <c r="F391" i="26"/>
  <c r="P391" i="26"/>
  <c r="H392" i="26"/>
  <c r="L393" i="26"/>
  <c r="D394" i="26"/>
  <c r="R393" i="22"/>
  <c r="N394" i="26"/>
  <c r="F395" i="26"/>
  <c r="P395" i="26"/>
  <c r="H396" i="26"/>
  <c r="L397" i="26"/>
  <c r="D398" i="26"/>
  <c r="R397" i="22"/>
  <c r="N398" i="26"/>
  <c r="D400" i="26"/>
  <c r="D417" i="22"/>
  <c r="R399" i="22"/>
  <c r="N400" i="26"/>
  <c r="N417" i="22"/>
  <c r="F401" i="26"/>
  <c r="P401" i="26"/>
  <c r="H402" i="26"/>
  <c r="L403" i="26"/>
  <c r="D404" i="26"/>
  <c r="R403" i="22"/>
  <c r="N404" i="26"/>
  <c r="F405" i="26"/>
  <c r="P405" i="26"/>
  <c r="H406" i="26"/>
  <c r="L407" i="26"/>
  <c r="D408" i="26"/>
  <c r="R407" i="22"/>
  <c r="N408" i="26"/>
  <c r="F409" i="26"/>
  <c r="P409" i="26"/>
  <c r="H410" i="26"/>
  <c r="L411" i="26"/>
  <c r="D412" i="26"/>
  <c r="R411" i="22"/>
  <c r="N412" i="26"/>
  <c r="F413" i="26"/>
  <c r="P413" i="26"/>
  <c r="H414" i="26"/>
  <c r="L415" i="26"/>
  <c r="D416" i="26"/>
  <c r="R415" i="22"/>
  <c r="N416" i="26"/>
  <c r="F417" i="26"/>
  <c r="P417" i="26"/>
  <c r="F419" i="26"/>
  <c r="P419" i="26"/>
  <c r="H420" i="26"/>
  <c r="D424" i="26"/>
  <c r="R423" i="22"/>
  <c r="F162" i="4"/>
  <c r="F125" i="4" s="1"/>
  <c r="N424" i="26"/>
  <c r="R162" i="4"/>
  <c r="R125" i="4" s="1"/>
  <c r="F425" i="26"/>
  <c r="P425" i="26"/>
  <c r="H426" i="26"/>
  <c r="L427" i="26"/>
  <c r="D428" i="26"/>
  <c r="R427" i="22"/>
  <c r="N428" i="26"/>
  <c r="F429" i="26"/>
  <c r="P429" i="26"/>
  <c r="H430" i="26"/>
  <c r="L431" i="26"/>
  <c r="D432" i="26"/>
  <c r="R431" i="22"/>
  <c r="N432" i="26"/>
  <c r="F433" i="26"/>
  <c r="P433" i="26"/>
  <c r="H434" i="26"/>
  <c r="L435" i="26"/>
  <c r="L436" i="22"/>
  <c r="D436" i="26"/>
  <c r="R435" i="22"/>
  <c r="N436" i="26"/>
  <c r="D438" i="26"/>
  <c r="R437" i="22"/>
  <c r="N438" i="26"/>
  <c r="F439" i="26"/>
  <c r="F440" i="22"/>
  <c r="P439" i="26"/>
  <c r="P440" i="22"/>
  <c r="H440" i="26"/>
  <c r="H442" i="26"/>
  <c r="L443" i="26"/>
  <c r="L444" i="22"/>
  <c r="D444" i="26"/>
  <c r="R443" i="22"/>
  <c r="N444" i="26"/>
  <c r="D446" i="26"/>
  <c r="R445" i="22"/>
  <c r="N446" i="26"/>
  <c r="F447" i="26"/>
  <c r="P447" i="26"/>
  <c r="H448" i="26"/>
  <c r="L449" i="26"/>
  <c r="H457" i="26"/>
  <c r="H461" i="22"/>
  <c r="H464" i="22" s="1"/>
  <c r="L458" i="26"/>
  <c r="P164" i="4"/>
  <c r="P127" i="4" s="1"/>
  <c r="D459" i="26"/>
  <c r="R458" i="22"/>
  <c r="N459" i="26"/>
  <c r="F460" i="26"/>
  <c r="P460" i="26"/>
  <c r="H461" i="26"/>
  <c r="R10" i="23"/>
  <c r="D22" i="23"/>
  <c r="N22" i="23"/>
  <c r="R14" i="23"/>
  <c r="N16" i="15" s="1"/>
  <c r="R18" i="23"/>
  <c r="N20" i="15" s="1"/>
  <c r="D43" i="26"/>
  <c r="D28" i="23"/>
  <c r="R26" i="23"/>
  <c r="N43" i="26"/>
  <c r="N28" i="23"/>
  <c r="F44" i="26"/>
  <c r="P44" i="26"/>
  <c r="R32" i="23"/>
  <c r="N33" i="15" s="1"/>
  <c r="R36" i="23"/>
  <c r="N37" i="15" s="1"/>
  <c r="F52" i="23"/>
  <c r="P52" i="23"/>
  <c r="R47" i="23"/>
  <c r="N51" i="15" s="1"/>
  <c r="R51" i="23"/>
  <c r="N55" i="15" s="1"/>
  <c r="H21" i="24"/>
  <c r="R12" i="24"/>
  <c r="N15" i="17" s="1"/>
  <c r="R16" i="24"/>
  <c r="R20" i="24"/>
  <c r="N23" i="17" s="1"/>
  <c r="D27" i="24"/>
  <c r="R24" i="24"/>
  <c r="N27" i="24"/>
  <c r="F302" i="26"/>
  <c r="P302" i="26"/>
  <c r="H303" i="26"/>
  <c r="L304" i="26"/>
  <c r="D305" i="26"/>
  <c r="R304" i="22"/>
  <c r="N305" i="26"/>
  <c r="F306" i="26"/>
  <c r="P306" i="26"/>
  <c r="H307" i="26"/>
  <c r="L308" i="26"/>
  <c r="D309" i="26"/>
  <c r="R308" i="22"/>
  <c r="N309" i="26"/>
  <c r="F310" i="26"/>
  <c r="P310" i="26"/>
  <c r="H311" i="26"/>
  <c r="L312" i="26"/>
  <c r="D313" i="26"/>
  <c r="R312" i="22"/>
  <c r="N313" i="26"/>
  <c r="F314" i="26"/>
  <c r="P314" i="26"/>
  <c r="H315" i="26"/>
  <c r="L316" i="26"/>
  <c r="D317" i="26"/>
  <c r="R316" i="22"/>
  <c r="N317" i="26"/>
  <c r="F318" i="26"/>
  <c r="P318" i="26"/>
  <c r="H319" i="26"/>
  <c r="L320" i="26"/>
  <c r="D321" i="26"/>
  <c r="R320" i="22"/>
  <c r="N321" i="26"/>
  <c r="F322" i="26"/>
  <c r="P322" i="26"/>
  <c r="H323" i="26"/>
  <c r="L324" i="26"/>
  <c r="L326" i="26"/>
  <c r="L335" i="22"/>
  <c r="D327" i="26"/>
  <c r="R326" i="22"/>
  <c r="N327" i="26"/>
  <c r="F328" i="26"/>
  <c r="P328" i="26"/>
  <c r="H329" i="26"/>
  <c r="L330" i="26"/>
  <c r="D331" i="26"/>
  <c r="R330" i="22"/>
  <c r="N331" i="26"/>
  <c r="F332" i="26"/>
  <c r="P332" i="26"/>
  <c r="H333" i="26"/>
  <c r="L334" i="26"/>
  <c r="D335" i="26"/>
  <c r="R334" i="22"/>
  <c r="N335" i="26"/>
  <c r="D337" i="26"/>
  <c r="D351" i="22"/>
  <c r="R336" i="22"/>
  <c r="N337" i="26"/>
  <c r="N351" i="22"/>
  <c r="F338" i="26"/>
  <c r="P338" i="26"/>
  <c r="H339" i="26"/>
  <c r="L340" i="26"/>
  <c r="D341" i="26"/>
  <c r="R340" i="22"/>
  <c r="N341" i="26"/>
  <c r="F342" i="26"/>
  <c r="P342" i="26"/>
  <c r="H343" i="26"/>
  <c r="L344" i="26"/>
  <c r="D345" i="26"/>
  <c r="R344" i="22"/>
  <c r="N345" i="26"/>
  <c r="F346" i="26"/>
  <c r="P346" i="26"/>
  <c r="H347" i="26"/>
  <c r="L348" i="26"/>
  <c r="D349" i="26"/>
  <c r="R348" i="22"/>
  <c r="N349" i="26"/>
  <c r="F350" i="26"/>
  <c r="P350" i="26"/>
  <c r="H351" i="26"/>
  <c r="H353" i="26"/>
  <c r="L354" i="26"/>
  <c r="L388" i="22"/>
  <c r="D355" i="26"/>
  <c r="R354" i="22"/>
  <c r="N355" i="26"/>
  <c r="F356" i="26"/>
  <c r="P356" i="26"/>
  <c r="H357" i="26"/>
  <c r="L358" i="26"/>
  <c r="D359" i="26"/>
  <c r="R358" i="22"/>
  <c r="N359" i="26"/>
  <c r="F360" i="26"/>
  <c r="P360" i="26"/>
  <c r="H361" i="26"/>
  <c r="L362" i="26"/>
  <c r="D363" i="26"/>
  <c r="R362" i="22"/>
  <c r="N363" i="26"/>
  <c r="F364" i="26"/>
  <c r="P364" i="26"/>
  <c r="H365" i="26"/>
  <c r="L366" i="26"/>
  <c r="D367" i="26"/>
  <c r="R366" i="22"/>
  <c r="N367" i="26"/>
  <c r="F368" i="26"/>
  <c r="P368" i="26"/>
  <c r="H369" i="26"/>
  <c r="L370" i="26"/>
  <c r="D371" i="26"/>
  <c r="R370" i="22"/>
  <c r="N371" i="26"/>
  <c r="F372" i="26"/>
  <c r="P372" i="26"/>
  <c r="H373" i="26"/>
  <c r="L374" i="26"/>
  <c r="D375" i="26"/>
  <c r="R374" i="22"/>
  <c r="N375" i="26"/>
  <c r="F376" i="26"/>
  <c r="P376" i="26"/>
  <c r="H377" i="26"/>
  <c r="L378" i="26"/>
  <c r="D379" i="26"/>
  <c r="R378" i="22"/>
  <c r="N379" i="26"/>
  <c r="F380" i="26"/>
  <c r="P380" i="26"/>
  <c r="H381" i="26"/>
  <c r="L382" i="26"/>
  <c r="D383" i="26"/>
  <c r="R382" i="22"/>
  <c r="N383" i="26"/>
  <c r="F384" i="26"/>
  <c r="P384" i="26"/>
  <c r="H385" i="26"/>
  <c r="L386" i="26"/>
  <c r="D387" i="26"/>
  <c r="R386" i="22"/>
  <c r="N387" i="26"/>
  <c r="F388" i="26"/>
  <c r="P388" i="26"/>
  <c r="F390" i="26"/>
  <c r="F398" i="22"/>
  <c r="P390" i="26"/>
  <c r="P398" i="22"/>
  <c r="H391" i="26"/>
  <c r="L392" i="26"/>
  <c r="D393" i="26"/>
  <c r="R392" i="22"/>
  <c r="N393" i="26"/>
  <c r="F394" i="26"/>
  <c r="P394" i="26"/>
  <c r="H395" i="26"/>
  <c r="L396" i="26"/>
  <c r="D397" i="26"/>
  <c r="R396" i="22"/>
  <c r="N397" i="26"/>
  <c r="F398" i="26"/>
  <c r="P398" i="26"/>
  <c r="F400" i="26"/>
  <c r="F417" i="22"/>
  <c r="P400" i="26"/>
  <c r="P417" i="22"/>
  <c r="H401" i="26"/>
  <c r="L402" i="26"/>
  <c r="D403" i="26"/>
  <c r="R402" i="22"/>
  <c r="N403" i="26"/>
  <c r="F404" i="26"/>
  <c r="P404" i="26"/>
  <c r="H405" i="26"/>
  <c r="L406" i="26"/>
  <c r="D407" i="26"/>
  <c r="R406" i="22"/>
  <c r="N407" i="26"/>
  <c r="F408" i="26"/>
  <c r="P408" i="26"/>
  <c r="H409" i="26"/>
  <c r="L410" i="26"/>
  <c r="D411" i="26"/>
  <c r="R410" i="22"/>
  <c r="N411" i="26"/>
  <c r="F412" i="26"/>
  <c r="P412" i="26"/>
  <c r="H413" i="26"/>
  <c r="L414" i="26"/>
  <c r="D415" i="26"/>
  <c r="R414" i="22"/>
  <c r="N415" i="26"/>
  <c r="F416" i="26"/>
  <c r="P416" i="26"/>
  <c r="H417" i="26"/>
  <c r="H419" i="26"/>
  <c r="L420" i="26"/>
  <c r="F424" i="26"/>
  <c r="F449" i="22"/>
  <c r="H162" i="4"/>
  <c r="H125" i="4" s="1"/>
  <c r="P424" i="26"/>
  <c r="T162" i="4"/>
  <c r="T125" i="4" s="1"/>
  <c r="H425" i="26"/>
  <c r="L426" i="26"/>
  <c r="D427" i="26"/>
  <c r="R426" i="22"/>
  <c r="N427" i="26"/>
  <c r="F428" i="26"/>
  <c r="P428" i="26"/>
  <c r="H429" i="26"/>
  <c r="L430" i="26"/>
  <c r="D431" i="26"/>
  <c r="R430" i="22"/>
  <c r="N431" i="26"/>
  <c r="F432" i="26"/>
  <c r="P432" i="26"/>
  <c r="H433" i="26"/>
  <c r="L434" i="26"/>
  <c r="D435" i="26"/>
  <c r="R434" i="22"/>
  <c r="R436" i="22" s="1"/>
  <c r="D436" i="22"/>
  <c r="N435" i="26"/>
  <c r="N437" i="26" s="1"/>
  <c r="N436" i="22"/>
  <c r="F436" i="26"/>
  <c r="P436" i="26"/>
  <c r="F438" i="26"/>
  <c r="P438" i="26"/>
  <c r="H439" i="26"/>
  <c r="H441" i="26" s="1"/>
  <c r="H440" i="22"/>
  <c r="L440" i="26"/>
  <c r="L442" i="26"/>
  <c r="D443" i="26"/>
  <c r="R442" i="22"/>
  <c r="R444" i="22" s="1"/>
  <c r="D444" i="22"/>
  <c r="N443" i="26"/>
  <c r="N445" i="26" s="1"/>
  <c r="N444" i="22"/>
  <c r="F444" i="26"/>
  <c r="P444" i="26"/>
  <c r="F446" i="26"/>
  <c r="P446" i="26"/>
  <c r="H447" i="26"/>
  <c r="L448" i="26"/>
  <c r="D449" i="26"/>
  <c r="R448" i="22"/>
  <c r="N449" i="26"/>
  <c r="L457" i="26"/>
  <c r="L461" i="22"/>
  <c r="L464" i="22" s="1"/>
  <c r="D458" i="26"/>
  <c r="R457" i="22"/>
  <c r="F164" i="4"/>
  <c r="F127" i="4" s="1"/>
  <c r="N458" i="26"/>
  <c r="R164" i="4"/>
  <c r="R127" i="4" s="1"/>
  <c r="F459" i="26"/>
  <c r="P459" i="26"/>
  <c r="H460" i="26"/>
  <c r="L461" i="26"/>
  <c r="F22" i="23"/>
  <c r="P22" i="23"/>
  <c r="R13" i="23"/>
  <c r="N15" i="15" s="1"/>
  <c r="R17" i="23"/>
  <c r="N19" i="15" s="1"/>
  <c r="R21" i="23"/>
  <c r="N23" i="15" s="1"/>
  <c r="R25" i="23"/>
  <c r="N28" i="15" s="1"/>
  <c r="F43" i="26"/>
  <c r="F28" i="23"/>
  <c r="P43" i="26"/>
  <c r="P28" i="23"/>
  <c r="P40" i="26" s="1"/>
  <c r="R40" i="26" s="1"/>
  <c r="H44" i="26"/>
  <c r="R31" i="23"/>
  <c r="N32" i="15" s="1"/>
  <c r="R35" i="23"/>
  <c r="N36" i="15" s="1"/>
  <c r="H52" i="23"/>
  <c r="R46" i="23"/>
  <c r="N50" i="15" s="1"/>
  <c r="R50" i="23"/>
  <c r="N54" i="15" s="1"/>
  <c r="L21" i="24"/>
  <c r="R11" i="24"/>
  <c r="N14" i="17" s="1"/>
  <c r="R15" i="24"/>
  <c r="R19" i="24"/>
  <c r="N22" i="17" s="1"/>
  <c r="F27" i="24"/>
  <c r="P27" i="24"/>
  <c r="P443" i="26"/>
  <c r="P444" i="22"/>
  <c r="P449" i="22" s="1"/>
  <c r="H444" i="26"/>
  <c r="H446" i="26"/>
  <c r="L447" i="26"/>
  <c r="D448" i="26"/>
  <c r="R447" i="22"/>
  <c r="N448" i="26"/>
  <c r="F449" i="26"/>
  <c r="P449" i="26"/>
  <c r="D457" i="26"/>
  <c r="D461" i="22"/>
  <c r="D464" i="22" s="1"/>
  <c r="R456" i="22"/>
  <c r="N457" i="26"/>
  <c r="N461" i="22"/>
  <c r="N464" i="22" s="1"/>
  <c r="F458" i="26"/>
  <c r="H164" i="4"/>
  <c r="H127" i="4" s="1"/>
  <c r="P458" i="26"/>
  <c r="H459" i="26"/>
  <c r="L460" i="26"/>
  <c r="D461" i="26"/>
  <c r="R460" i="22"/>
  <c r="N461" i="26"/>
  <c r="H22" i="23"/>
  <c r="R12" i="23"/>
  <c r="N14" i="15" s="1"/>
  <c r="R16" i="23"/>
  <c r="N18" i="15" s="1"/>
  <c r="R20" i="23"/>
  <c r="N22" i="15" s="1"/>
  <c r="H43" i="26"/>
  <c r="H28" i="23"/>
  <c r="H39" i="23" s="1"/>
  <c r="L44" i="26"/>
  <c r="R30" i="23"/>
  <c r="N31" i="15" s="1"/>
  <c r="R34" i="23"/>
  <c r="N35" i="15" s="1"/>
  <c r="D39" i="23"/>
  <c r="R38" i="23"/>
  <c r="N39" i="23"/>
  <c r="L52" i="23"/>
  <c r="R45" i="23"/>
  <c r="N49" i="15" s="1"/>
  <c r="R49" i="23"/>
  <c r="N53" i="15" s="1"/>
  <c r="D21" i="24"/>
  <c r="R10" i="24"/>
  <c r="N21" i="24"/>
  <c r="R14" i="24"/>
  <c r="N17" i="17" s="1"/>
  <c r="R18" i="24"/>
  <c r="N21" i="17" s="1"/>
  <c r="H27" i="24"/>
  <c r="H30" i="24" s="1"/>
  <c r="R26" i="24"/>
  <c r="N29" i="17" s="1"/>
  <c r="P300" i="26"/>
  <c r="H301" i="26"/>
  <c r="L302" i="26"/>
  <c r="D303" i="26"/>
  <c r="R302" i="22"/>
  <c r="N303" i="26"/>
  <c r="F304" i="26"/>
  <c r="P304" i="26"/>
  <c r="H305" i="26"/>
  <c r="L306" i="26"/>
  <c r="D307" i="26"/>
  <c r="R306" i="22"/>
  <c r="N307" i="26"/>
  <c r="F308" i="26"/>
  <c r="P308" i="26"/>
  <c r="H309" i="26"/>
  <c r="L310" i="26"/>
  <c r="D311" i="26"/>
  <c r="R310" i="22"/>
  <c r="N311" i="26"/>
  <c r="F312" i="26"/>
  <c r="P312" i="26"/>
  <c r="H313" i="26"/>
  <c r="L314" i="26"/>
  <c r="D315" i="26"/>
  <c r="R314" i="22"/>
  <c r="N315" i="26"/>
  <c r="F316" i="26"/>
  <c r="P316" i="26"/>
  <c r="H317" i="26"/>
  <c r="L318" i="26"/>
  <c r="D319" i="26"/>
  <c r="R318" i="22"/>
  <c r="N319" i="26"/>
  <c r="F320" i="26"/>
  <c r="P320" i="26"/>
  <c r="H321" i="26"/>
  <c r="L322" i="26"/>
  <c r="D323" i="26"/>
  <c r="R322" i="22"/>
  <c r="N323" i="26"/>
  <c r="F324" i="26"/>
  <c r="P324" i="26"/>
  <c r="F326" i="26"/>
  <c r="F335" i="22"/>
  <c r="P326" i="26"/>
  <c r="P335" i="22"/>
  <c r="H327" i="26"/>
  <c r="L328" i="26"/>
  <c r="D329" i="26"/>
  <c r="R328" i="22"/>
  <c r="N329" i="26"/>
  <c r="F330" i="26"/>
  <c r="P330" i="26"/>
  <c r="H331" i="26"/>
  <c r="L332" i="26"/>
  <c r="D333" i="26"/>
  <c r="R332" i="22"/>
  <c r="N333" i="26"/>
  <c r="F334" i="26"/>
  <c r="P334" i="26"/>
  <c r="H335" i="26"/>
  <c r="H337" i="26"/>
  <c r="H351" i="22"/>
  <c r="H420" i="22" s="1"/>
  <c r="L338" i="26"/>
  <c r="D339" i="26"/>
  <c r="R338" i="22"/>
  <c r="N339" i="26"/>
  <c r="F340" i="26"/>
  <c r="P340" i="26"/>
  <c r="H341" i="26"/>
  <c r="L342" i="26"/>
  <c r="D343" i="26"/>
  <c r="R342" i="22"/>
  <c r="N343" i="26"/>
  <c r="F344" i="26"/>
  <c r="P344" i="26"/>
  <c r="H345" i="26"/>
  <c r="L346" i="26"/>
  <c r="D347" i="26"/>
  <c r="R346" i="22"/>
  <c r="N347" i="26"/>
  <c r="F348" i="26"/>
  <c r="P348" i="26"/>
  <c r="H349" i="26"/>
  <c r="L350" i="26"/>
  <c r="D351" i="26"/>
  <c r="R350" i="22"/>
  <c r="N351" i="26"/>
  <c r="D353" i="26"/>
  <c r="R352" i="22"/>
  <c r="N353" i="26"/>
  <c r="F354" i="26"/>
  <c r="F388" i="22"/>
  <c r="P354" i="26"/>
  <c r="P388" i="22"/>
  <c r="H355" i="26"/>
  <c r="L356" i="26"/>
  <c r="D357" i="26"/>
  <c r="R356" i="22"/>
  <c r="N357" i="26"/>
  <c r="F358" i="26"/>
  <c r="P358" i="26"/>
  <c r="H359" i="26"/>
  <c r="L360" i="26"/>
  <c r="D361" i="26"/>
  <c r="R360" i="22"/>
  <c r="N361" i="26"/>
  <c r="F362" i="26"/>
  <c r="P362" i="26"/>
  <c r="H363" i="26"/>
  <c r="L364" i="26"/>
  <c r="D365" i="26"/>
  <c r="R364" i="22"/>
  <c r="N365" i="26"/>
  <c r="F366" i="26"/>
  <c r="P366" i="26"/>
  <c r="H367" i="26"/>
  <c r="L368" i="26"/>
  <c r="D369" i="26"/>
  <c r="R368" i="22"/>
  <c r="N369" i="26"/>
  <c r="F370" i="26"/>
  <c r="P370" i="26"/>
  <c r="H371" i="26"/>
  <c r="L372" i="26"/>
  <c r="D373" i="26"/>
  <c r="R372" i="22"/>
  <c r="N373" i="26"/>
  <c r="F374" i="26"/>
  <c r="P374" i="26"/>
  <c r="H375" i="26"/>
  <c r="L376" i="26"/>
  <c r="D377" i="26"/>
  <c r="R376" i="22"/>
  <c r="N377" i="26"/>
  <c r="F378" i="26"/>
  <c r="P378" i="26"/>
  <c r="H379" i="26"/>
  <c r="L380" i="26"/>
  <c r="D381" i="26"/>
  <c r="R380" i="22"/>
  <c r="N381" i="26"/>
  <c r="F382" i="26"/>
  <c r="P382" i="26"/>
  <c r="H383" i="26"/>
  <c r="L384" i="26"/>
  <c r="D385" i="26"/>
  <c r="R384" i="22"/>
  <c r="N385" i="26"/>
  <c r="F386" i="26"/>
  <c r="P386" i="26"/>
  <c r="H387" i="26"/>
  <c r="L388" i="26"/>
  <c r="L390" i="26"/>
  <c r="L398" i="22"/>
  <c r="D391" i="26"/>
  <c r="R390" i="22"/>
  <c r="N391" i="26"/>
  <c r="F392" i="26"/>
  <c r="P392" i="26"/>
  <c r="H393" i="26"/>
  <c r="L394" i="26"/>
  <c r="D395" i="26"/>
  <c r="R394" i="22"/>
  <c r="N395" i="26"/>
  <c r="F396" i="26"/>
  <c r="P396" i="26"/>
  <c r="H397" i="26"/>
  <c r="L398" i="26"/>
  <c r="L400" i="26"/>
  <c r="L417" i="22"/>
  <c r="L420" i="22" s="1"/>
  <c r="D401" i="26"/>
  <c r="R400" i="22"/>
  <c r="N401" i="26"/>
  <c r="F402" i="26"/>
  <c r="P402" i="26"/>
  <c r="H403" i="26"/>
  <c r="L404" i="26"/>
  <c r="D405" i="26"/>
  <c r="R404" i="22"/>
  <c r="N405" i="26"/>
  <c r="F406" i="26"/>
  <c r="P406" i="26"/>
  <c r="H407" i="26"/>
  <c r="L408" i="26"/>
  <c r="D409" i="26"/>
  <c r="R408" i="22"/>
  <c r="N409" i="26"/>
  <c r="F410" i="26"/>
  <c r="P410" i="26"/>
  <c r="H411" i="26"/>
  <c r="L412" i="26"/>
  <c r="D413" i="26"/>
  <c r="R412" i="22"/>
  <c r="N413" i="26"/>
  <c r="F414" i="26"/>
  <c r="P414" i="26"/>
  <c r="H415" i="26"/>
  <c r="L416" i="26"/>
  <c r="D417" i="26"/>
  <c r="R416" i="22"/>
  <c r="N417" i="26"/>
  <c r="D419" i="26"/>
  <c r="R418" i="22"/>
  <c r="D420" i="22"/>
  <c r="N419" i="26"/>
  <c r="N420" i="22"/>
  <c r="F420" i="26"/>
  <c r="P420" i="26"/>
  <c r="L424" i="26"/>
  <c r="L449" i="22"/>
  <c r="P162" i="4"/>
  <c r="P125" i="4" s="1"/>
  <c r="D425" i="26"/>
  <c r="R424" i="22"/>
  <c r="N425" i="26"/>
  <c r="F426" i="26"/>
  <c r="P426" i="26"/>
  <c r="H427" i="26"/>
  <c r="L428" i="26"/>
  <c r="D429" i="26"/>
  <c r="R428" i="22"/>
  <c r="R429" i="26" s="1"/>
  <c r="N429" i="26"/>
  <c r="F430" i="26"/>
  <c r="P430" i="26"/>
  <c r="H431" i="26"/>
  <c r="L432" i="26"/>
  <c r="D433" i="26"/>
  <c r="R432" i="22"/>
  <c r="N433" i="26"/>
  <c r="F434" i="26"/>
  <c r="P434" i="26"/>
  <c r="H435" i="26"/>
  <c r="H437" i="26" s="1"/>
  <c r="H436" i="22"/>
  <c r="H449" i="22" s="1"/>
  <c r="H452" i="22" s="1"/>
  <c r="L436" i="26"/>
  <c r="L438" i="26"/>
  <c r="D439" i="26"/>
  <c r="D441" i="26" s="1"/>
  <c r="R438" i="22"/>
  <c r="R440" i="22" s="1"/>
  <c r="D440" i="22"/>
  <c r="N439" i="26"/>
  <c r="N441" i="26" s="1"/>
  <c r="N440" i="22"/>
  <c r="F440" i="26"/>
  <c r="P440" i="26"/>
  <c r="F442" i="26"/>
  <c r="P442" i="26"/>
  <c r="H443" i="26"/>
  <c r="H445" i="26" s="1"/>
  <c r="H444" i="22"/>
  <c r="L444" i="26"/>
  <c r="L446" i="26"/>
  <c r="D447" i="26"/>
  <c r="R446" i="22"/>
  <c r="N447" i="26"/>
  <c r="F448" i="26"/>
  <c r="P448" i="26"/>
  <c r="H449" i="26"/>
  <c r="F457" i="26"/>
  <c r="F461" i="22"/>
  <c r="F464" i="22" s="1"/>
  <c r="P457" i="26"/>
  <c r="P462" i="26" s="1"/>
  <c r="P465" i="26" s="1"/>
  <c r="P461" i="22"/>
  <c r="P464" i="22" s="1"/>
  <c r="H458" i="26"/>
  <c r="J164" i="4"/>
  <c r="J127" i="4" s="1"/>
  <c r="L459" i="26"/>
  <c r="D460" i="26"/>
  <c r="R459" i="22"/>
  <c r="N460" i="26"/>
  <c r="F461" i="26"/>
  <c r="P461" i="26"/>
  <c r="L22" i="23"/>
  <c r="R11" i="23"/>
  <c r="N13" i="15" s="1"/>
  <c r="R15" i="23"/>
  <c r="N17" i="15" s="1"/>
  <c r="R19" i="23"/>
  <c r="N21" i="15" s="1"/>
  <c r="L43" i="26"/>
  <c r="L28" i="23"/>
  <c r="L39" i="23" s="1"/>
  <c r="D44" i="26"/>
  <c r="R27" i="23"/>
  <c r="N44" i="26"/>
  <c r="R29" i="23"/>
  <c r="N30" i="15" s="1"/>
  <c r="R33" i="23"/>
  <c r="N34" i="15" s="1"/>
  <c r="R37" i="23"/>
  <c r="N38" i="15" s="1"/>
  <c r="F39" i="23"/>
  <c r="P39" i="23"/>
  <c r="R44" i="23"/>
  <c r="D52" i="23"/>
  <c r="D55" i="23" s="1"/>
  <c r="N52" i="23"/>
  <c r="R48" i="23"/>
  <c r="N52" i="15" s="1"/>
  <c r="F21" i="24"/>
  <c r="P21" i="24"/>
  <c r="R13" i="24"/>
  <c r="N16" i="17" s="1"/>
  <c r="R17" i="24"/>
  <c r="N20" i="17" s="1"/>
  <c r="L27" i="24"/>
  <c r="L30" i="24" s="1"/>
  <c r="R25" i="24"/>
  <c r="N28" i="17" s="1"/>
  <c r="V74" i="4"/>
  <c r="T103" i="4"/>
  <c r="F105" i="4"/>
  <c r="F107" i="4" s="1"/>
  <c r="D70" i="1"/>
  <c r="D73" i="1" s="1"/>
  <c r="Z20" i="4"/>
  <c r="U19" i="3"/>
  <c r="F56" i="4"/>
  <c r="O63" i="25"/>
  <c r="O64" i="25" s="1"/>
  <c r="P192" i="4"/>
  <c r="O10" i="3"/>
  <c r="O11" i="3" s="1"/>
  <c r="O30" i="3" s="1"/>
  <c r="U22" i="3"/>
  <c r="I23" i="3"/>
  <c r="Q23" i="3"/>
  <c r="K26" i="3"/>
  <c r="K27" i="3" s="1"/>
  <c r="S26" i="3"/>
  <c r="AH12" i="4"/>
  <c r="AH20" i="4" s="1"/>
  <c r="T53" i="4"/>
  <c r="D65" i="4"/>
  <c r="D78" i="4"/>
  <c r="V161" i="4"/>
  <c r="V124" i="4" s="1"/>
  <c r="AU24" i="5"/>
  <c r="AU35" i="5"/>
  <c r="AU39" i="5"/>
  <c r="AU43" i="5"/>
  <c r="AU47" i="5"/>
  <c r="AU67" i="5"/>
  <c r="AS83" i="5"/>
  <c r="AU73" i="5"/>
  <c r="AU77" i="5"/>
  <c r="AU81" i="5"/>
  <c r="AU87" i="5"/>
  <c r="AU114" i="5"/>
  <c r="AU152" i="5"/>
  <c r="AI238" i="5"/>
  <c r="AU141" i="5"/>
  <c r="AU145" i="5"/>
  <c r="AU149" i="5"/>
  <c r="AU177" i="5"/>
  <c r="AU181" i="5"/>
  <c r="AS190" i="5"/>
  <c r="AU187" i="5"/>
  <c r="AU204" i="5"/>
  <c r="AU197" i="5"/>
  <c r="AU201" i="5"/>
  <c r="AU235" i="5"/>
  <c r="AU225" i="5"/>
  <c r="AU229" i="5"/>
  <c r="AU233" i="5"/>
  <c r="AF306" i="5"/>
  <c r="AF312" i="5" s="1"/>
  <c r="AF319" i="5" s="1"/>
  <c r="Q30" i="6"/>
  <c r="AC20" i="6"/>
  <c r="AC24" i="6"/>
  <c r="AC29" i="6"/>
  <c r="AC35" i="6"/>
  <c r="AC39" i="6"/>
  <c r="AC43" i="6"/>
  <c r="AC47" i="6"/>
  <c r="AC55" i="6"/>
  <c r="AC73" i="6"/>
  <c r="AC63" i="6"/>
  <c r="AC67" i="6"/>
  <c r="AC71" i="6"/>
  <c r="AC83" i="6"/>
  <c r="AC87" i="6"/>
  <c r="AC95" i="6"/>
  <c r="AC19" i="7"/>
  <c r="AC23" i="7"/>
  <c r="AC27" i="7"/>
  <c r="AC35" i="7"/>
  <c r="AC39" i="7"/>
  <c r="AC43" i="7"/>
  <c r="AC47" i="7"/>
  <c r="AC63" i="7"/>
  <c r="AC67" i="7"/>
  <c r="AC71" i="7"/>
  <c r="AC95" i="7"/>
  <c r="AC103" i="7"/>
  <c r="J21" i="12"/>
  <c r="L21" i="12" s="1"/>
  <c r="A3" i="26"/>
  <c r="A3" i="25"/>
  <c r="A3" i="23"/>
  <c r="A3" i="24"/>
  <c r="A3" i="21"/>
  <c r="A3" i="17"/>
  <c r="A3" i="15"/>
  <c r="A3" i="22"/>
  <c r="A3" i="18"/>
  <c r="A3" i="16"/>
  <c r="A3" i="20"/>
  <c r="A3" i="19"/>
  <c r="A3" i="14"/>
  <c r="A3" i="13"/>
  <c r="A3" i="5"/>
  <c r="A3" i="10"/>
  <c r="A3" i="12"/>
  <c r="A3" i="11"/>
  <c r="A3" i="7"/>
  <c r="A3" i="6"/>
  <c r="F27" i="1"/>
  <c r="I63" i="25"/>
  <c r="I64" i="25" s="1"/>
  <c r="J192" i="4"/>
  <c r="J193" i="4" s="1"/>
  <c r="Q63" i="25"/>
  <c r="Q64" i="25" s="1"/>
  <c r="R192" i="4"/>
  <c r="R193" i="4" s="1"/>
  <c r="I10" i="3"/>
  <c r="I11" i="3" s="1"/>
  <c r="Q10" i="3"/>
  <c r="Q11" i="3" s="1"/>
  <c r="Q30" i="3" s="1"/>
  <c r="K19" i="3"/>
  <c r="V139" i="4"/>
  <c r="AI303" i="5"/>
  <c r="Q106" i="6"/>
  <c r="AC89" i="7"/>
  <c r="Q106" i="7"/>
  <c r="L25" i="1"/>
  <c r="A3" i="2"/>
  <c r="K63" i="25"/>
  <c r="K64" i="25" s="1"/>
  <c r="L192" i="4"/>
  <c r="L193" i="4" s="1"/>
  <c r="L210" i="4" s="1"/>
  <c r="S63" i="25"/>
  <c r="T192" i="4"/>
  <c r="K10" i="3"/>
  <c r="K11" i="3" s="1"/>
  <c r="S10" i="3"/>
  <c r="M23" i="3"/>
  <c r="V162" i="4"/>
  <c r="V125" i="4" s="1"/>
  <c r="AS62" i="5"/>
  <c r="AU62" i="5" s="1"/>
  <c r="AU102" i="5"/>
  <c r="AU107" i="5"/>
  <c r="AS109" i="5"/>
  <c r="AU109" i="5" s="1"/>
  <c r="AU111" i="5"/>
  <c r="AU139" i="5"/>
  <c r="AU143" i="5"/>
  <c r="AU147" i="5"/>
  <c r="AU151" i="5"/>
  <c r="AU157" i="5"/>
  <c r="AU161" i="5"/>
  <c r="AU165" i="5"/>
  <c r="AU169" i="5"/>
  <c r="AU179" i="5"/>
  <c r="AU195" i="5"/>
  <c r="AU199" i="5"/>
  <c r="AU203" i="5"/>
  <c r="AU209" i="5"/>
  <c r="AU213" i="5"/>
  <c r="AU217" i="5"/>
  <c r="AU223" i="5"/>
  <c r="AU227" i="5"/>
  <c r="AU231" i="5"/>
  <c r="AC37" i="6"/>
  <c r="AC41" i="6"/>
  <c r="AC45" i="6"/>
  <c r="AA56" i="6"/>
  <c r="AC56" i="6" s="1"/>
  <c r="AC61" i="6"/>
  <c r="AC65" i="6"/>
  <c r="AC69" i="6"/>
  <c r="AA97" i="6"/>
  <c r="AC97" i="6" s="1"/>
  <c r="AC93" i="6"/>
  <c r="AA104" i="6"/>
  <c r="AC104" i="6" s="1"/>
  <c r="AC101" i="6"/>
  <c r="AC53" i="7"/>
  <c r="AC61" i="7"/>
  <c r="AC65" i="7"/>
  <c r="AC69" i="7"/>
  <c r="AA89" i="7"/>
  <c r="AC81" i="7"/>
  <c r="AC85" i="7"/>
  <c r="AA104" i="7"/>
  <c r="AC104" i="7" s="1"/>
  <c r="B114" i="11"/>
  <c r="F63" i="1"/>
  <c r="M63" i="25"/>
  <c r="M64" i="25" s="1"/>
  <c r="N192" i="4"/>
  <c r="N193" i="4" s="1"/>
  <c r="U60" i="2"/>
  <c r="O61" i="2"/>
  <c r="A3" i="3"/>
  <c r="M10" i="3"/>
  <c r="M11" i="3" s="1"/>
  <c r="M30" i="3" s="1"/>
  <c r="O23" i="3"/>
  <c r="I26" i="3"/>
  <c r="I27" i="3" s="1"/>
  <c r="I30" i="3" s="1"/>
  <c r="AB18" i="4"/>
  <c r="AS18" i="4" s="1"/>
  <c r="AT18" i="4" s="1"/>
  <c r="V137" i="4"/>
  <c r="V141" i="4"/>
  <c r="V145" i="4"/>
  <c r="AU19" i="5"/>
  <c r="AU23" i="5"/>
  <c r="AU30" i="5"/>
  <c r="AU56" i="5"/>
  <c r="AU60" i="5"/>
  <c r="AS69" i="5"/>
  <c r="AU69" i="5" s="1"/>
  <c r="AU66" i="5"/>
  <c r="AU83" i="5"/>
  <c r="AU76" i="5"/>
  <c r="AU80" i="5"/>
  <c r="AU90" i="5"/>
  <c r="AU94" i="5"/>
  <c r="AU103" i="5"/>
  <c r="AU108" i="5"/>
  <c r="AU113" i="5"/>
  <c r="AS183" i="5"/>
  <c r="AU183" i="5" s="1"/>
  <c r="AU190" i="5"/>
  <c r="AA49" i="6"/>
  <c r="AC49" i="6" s="1"/>
  <c r="AA49" i="7"/>
  <c r="AC49" i="7" s="1"/>
  <c r="AS34" i="5"/>
  <c r="AU54" i="5"/>
  <c r="AK62" i="5"/>
  <c r="AK118" i="5" s="1"/>
  <c r="AU65" i="5"/>
  <c r="AK69" i="5"/>
  <c r="AU72" i="5"/>
  <c r="AS86" i="5"/>
  <c r="AO89" i="5"/>
  <c r="AS89" i="5" s="1"/>
  <c r="AU89" i="5" s="1"/>
  <c r="E115" i="5"/>
  <c r="E118" i="5" s="1"/>
  <c r="E253" i="5" s="1"/>
  <c r="AS121" i="5"/>
  <c r="AU128" i="5"/>
  <c r="AU132" i="5" s="1"/>
  <c r="AK132" i="5"/>
  <c r="AU137" i="5"/>
  <c r="AS155" i="5"/>
  <c r="AU175" i="5"/>
  <c r="AK183" i="5"/>
  <c r="AU186" i="5"/>
  <c r="AK190" i="5"/>
  <c r="AU193" i="5"/>
  <c r="AS207" i="5"/>
  <c r="AK235" i="5"/>
  <c r="AS242" i="5"/>
  <c r="C306" i="5"/>
  <c r="C312" i="5" s="1"/>
  <c r="C319" i="5" s="1"/>
  <c r="S30" i="6"/>
  <c r="AC33" i="6"/>
  <c r="S56" i="6"/>
  <c r="AC59" i="6"/>
  <c r="S73" i="6"/>
  <c r="S97" i="6"/>
  <c r="S106" i="6" s="1"/>
  <c r="AC100" i="6"/>
  <c r="S49" i="7"/>
  <c r="S76" i="7" s="1"/>
  <c r="S108" i="7" s="1"/>
  <c r="AC52" i="7"/>
  <c r="AC80" i="7"/>
  <c r="AA92" i="7"/>
  <c r="S104" i="7"/>
  <c r="B93" i="12"/>
  <c r="B113" i="12" s="1"/>
  <c r="B191" i="12"/>
  <c r="V156" i="4"/>
  <c r="V157" i="4" s="1"/>
  <c r="AS15" i="5"/>
  <c r="AO27" i="5"/>
  <c r="AS27" i="5" s="1"/>
  <c r="AU27" i="5" s="1"/>
  <c r="M28" i="5"/>
  <c r="AK83" i="5"/>
  <c r="AO101" i="5"/>
  <c r="AS101" i="5" s="1"/>
  <c r="AO112" i="5"/>
  <c r="AS112" i="5" s="1"/>
  <c r="AU112" i="5" s="1"/>
  <c r="AK115" i="5"/>
  <c r="AI130" i="5"/>
  <c r="AK152" i="5"/>
  <c r="AK204" i="5"/>
  <c r="S294" i="5"/>
  <c r="S306" i="5" s="1"/>
  <c r="S312" i="5" s="1"/>
  <c r="S319" i="5" s="1"/>
  <c r="E30" i="6"/>
  <c r="E76" i="6" s="1"/>
  <c r="E108" i="6" s="1"/>
  <c r="AA80" i="6"/>
  <c r="AA89" i="6" s="1"/>
  <c r="AA106" i="6" s="1"/>
  <c r="Q30" i="7"/>
  <c r="AA59" i="7"/>
  <c r="AA73" i="7" s="1"/>
  <c r="Q73" i="7"/>
  <c r="S89" i="7"/>
  <c r="S106" i="7" s="1"/>
  <c r="D149" i="4"/>
  <c r="D167" i="4" s="1"/>
  <c r="D168" i="4" s="1"/>
  <c r="AO105" i="5"/>
  <c r="AS105" i="5" s="1"/>
  <c r="AU221" i="5"/>
  <c r="AI259" i="5"/>
  <c r="AI271" i="5" s="1"/>
  <c r="AI274" i="5"/>
  <c r="AI281" i="5" s="1"/>
  <c r="W18" i="6"/>
  <c r="AA18" i="6" s="1"/>
  <c r="W27" i="6"/>
  <c r="AA27" i="6" s="1"/>
  <c r="AC27" i="6" s="1"/>
  <c r="G30" i="6"/>
  <c r="G76" i="6" s="1"/>
  <c r="G108" i="6" s="1"/>
  <c r="S49" i="6"/>
  <c r="AC52" i="6"/>
  <c r="S104" i="6"/>
  <c r="AA15" i="7"/>
  <c r="AA30" i="7" s="1"/>
  <c r="AA76" i="7" s="1"/>
  <c r="AC33" i="7"/>
  <c r="S56" i="7"/>
  <c r="AC100" i="7"/>
  <c r="B114" i="13"/>
  <c r="AO20" i="5"/>
  <c r="AS20" i="5" s="1"/>
  <c r="AU20" i="5" s="1"/>
  <c r="AI96" i="5"/>
  <c r="AU96" i="5" s="1"/>
  <c r="AI105" i="5"/>
  <c r="AS248" i="5"/>
  <c r="AS250" i="5" s="1"/>
  <c r="AU250" i="5" s="1"/>
  <c r="AC15" i="6"/>
  <c r="AC92" i="6"/>
  <c r="P55" i="15"/>
  <c r="L34" i="21"/>
  <c r="H37" i="21"/>
  <c r="B59" i="15"/>
  <c r="P54" i="15"/>
  <c r="B91" i="16"/>
  <c r="B196" i="14"/>
  <c r="B44" i="18"/>
  <c r="J17" i="19"/>
  <c r="L16" i="19"/>
  <c r="L17" i="19" s="1"/>
  <c r="L30" i="19" s="1"/>
  <c r="J13" i="19"/>
  <c r="J30" i="19" s="1"/>
  <c r="J17" i="20"/>
  <c r="J34" i="21"/>
  <c r="J37" i="21" s="1"/>
  <c r="L11" i="20"/>
  <c r="L11" i="21"/>
  <c r="L12" i="21" s="1"/>
  <c r="L14" i="21"/>
  <c r="L25" i="21" s="1"/>
  <c r="B420" i="22"/>
  <c r="J420" i="22"/>
  <c r="J452" i="22" s="1"/>
  <c r="B55" i="23"/>
  <c r="B452" i="22"/>
  <c r="C22" i="25"/>
  <c r="K22" i="25"/>
  <c r="R12" i="26"/>
  <c r="R14" i="26"/>
  <c r="R22" i="26"/>
  <c r="R25" i="26"/>
  <c r="R27" i="26"/>
  <c r="R29" i="26"/>
  <c r="R31" i="26"/>
  <c r="R36" i="26"/>
  <c r="R38" i="26"/>
  <c r="R44" i="26"/>
  <c r="R46" i="26"/>
  <c r="R48" i="26"/>
  <c r="R50" i="26"/>
  <c r="R52" i="26"/>
  <c r="R54" i="26"/>
  <c r="R56" i="26"/>
  <c r="R58" i="26"/>
  <c r="R60" i="26"/>
  <c r="R62" i="26"/>
  <c r="R64" i="26"/>
  <c r="R67" i="26"/>
  <c r="M22" i="25"/>
  <c r="R17" i="26"/>
  <c r="R19" i="26"/>
  <c r="K35" i="25"/>
  <c r="R11" i="26"/>
  <c r="R13" i="26"/>
  <c r="R15" i="26"/>
  <c r="R21" i="26"/>
  <c r="R24" i="26"/>
  <c r="R26" i="26"/>
  <c r="R28" i="26"/>
  <c r="R30" i="26"/>
  <c r="R32" i="26"/>
  <c r="R37" i="26"/>
  <c r="R39" i="26"/>
  <c r="R41" i="26"/>
  <c r="R43" i="26"/>
  <c r="R45" i="26"/>
  <c r="R47" i="26"/>
  <c r="R49" i="26"/>
  <c r="R51" i="26"/>
  <c r="R53" i="26"/>
  <c r="R55" i="26"/>
  <c r="R57" i="26"/>
  <c r="R59" i="26"/>
  <c r="R61" i="26"/>
  <c r="R63" i="26"/>
  <c r="R65" i="26"/>
  <c r="R68" i="26"/>
  <c r="R70" i="26"/>
  <c r="M35" i="25"/>
  <c r="R16" i="26"/>
  <c r="R18" i="26"/>
  <c r="R20" i="26"/>
  <c r="R23" i="26"/>
  <c r="R10" i="26"/>
  <c r="R71" i="26"/>
  <c r="R72" i="26"/>
  <c r="R73" i="26"/>
  <c r="R75" i="26"/>
  <c r="R77" i="26"/>
  <c r="R79" i="26"/>
  <c r="B82" i="26"/>
  <c r="R86" i="26"/>
  <c r="R88" i="26"/>
  <c r="R90" i="26"/>
  <c r="R92" i="26"/>
  <c r="R97" i="26"/>
  <c r="R99" i="26"/>
  <c r="R101" i="26"/>
  <c r="R103" i="26"/>
  <c r="R105" i="26"/>
  <c r="R107" i="26"/>
  <c r="R109" i="26"/>
  <c r="R111" i="26"/>
  <c r="R113" i="26"/>
  <c r="R115" i="26"/>
  <c r="R118" i="26"/>
  <c r="R120" i="26"/>
  <c r="R122" i="26"/>
  <c r="R124" i="26"/>
  <c r="R126" i="26"/>
  <c r="R128" i="26"/>
  <c r="R130" i="26"/>
  <c r="R132" i="26"/>
  <c r="R134" i="26"/>
  <c r="R136" i="26"/>
  <c r="R139" i="26"/>
  <c r="R141" i="26"/>
  <c r="R143" i="26"/>
  <c r="R145" i="26"/>
  <c r="R147" i="26"/>
  <c r="R149" i="26"/>
  <c r="R151" i="26"/>
  <c r="R153" i="26"/>
  <c r="R156" i="26"/>
  <c r="R158" i="26"/>
  <c r="R162" i="26"/>
  <c r="R164" i="26"/>
  <c r="R166" i="26"/>
  <c r="R168" i="26"/>
  <c r="J82" i="26"/>
  <c r="R42" i="26"/>
  <c r="R74" i="26"/>
  <c r="R76" i="26"/>
  <c r="R78" i="26"/>
  <c r="R80" i="26"/>
  <c r="R87" i="26"/>
  <c r="R89" i="26"/>
  <c r="R91" i="26"/>
  <c r="R96" i="26"/>
  <c r="R98" i="26"/>
  <c r="R102" i="26"/>
  <c r="R104" i="26"/>
  <c r="R106" i="26"/>
  <c r="R108" i="26"/>
  <c r="R110" i="26"/>
  <c r="R112" i="26"/>
  <c r="R114" i="26"/>
  <c r="R116" i="26"/>
  <c r="R119" i="26"/>
  <c r="R121" i="26"/>
  <c r="R123" i="26"/>
  <c r="R125" i="26"/>
  <c r="R127" i="26"/>
  <c r="R129" i="26"/>
  <c r="R131" i="26"/>
  <c r="R133" i="26"/>
  <c r="R135" i="26"/>
  <c r="R138" i="26"/>
  <c r="R140" i="26"/>
  <c r="R142" i="26"/>
  <c r="R144" i="26"/>
  <c r="R146" i="26"/>
  <c r="R148" i="26"/>
  <c r="R150" i="26"/>
  <c r="R152" i="26"/>
  <c r="R157" i="26"/>
  <c r="R161" i="26"/>
  <c r="R100" i="26"/>
  <c r="R163" i="26"/>
  <c r="R169" i="26"/>
  <c r="R170" i="26"/>
  <c r="R175" i="26"/>
  <c r="R177" i="26"/>
  <c r="R179" i="26"/>
  <c r="R181" i="26"/>
  <c r="R183" i="26"/>
  <c r="R185" i="26"/>
  <c r="R187" i="26"/>
  <c r="R189" i="26"/>
  <c r="R194" i="26"/>
  <c r="R196" i="26"/>
  <c r="R198" i="26"/>
  <c r="R203" i="26"/>
  <c r="R205" i="26"/>
  <c r="R207" i="26"/>
  <c r="R209" i="26"/>
  <c r="R211" i="26"/>
  <c r="R213" i="26"/>
  <c r="R215" i="26"/>
  <c r="R223" i="26"/>
  <c r="R225" i="26"/>
  <c r="R227" i="26"/>
  <c r="R229" i="26"/>
  <c r="R232" i="26"/>
  <c r="R234" i="26"/>
  <c r="R236" i="26"/>
  <c r="R238" i="26"/>
  <c r="R240" i="26"/>
  <c r="R244" i="26"/>
  <c r="R81" i="26"/>
  <c r="B137" i="26"/>
  <c r="R167" i="26"/>
  <c r="B154" i="26"/>
  <c r="R171" i="26"/>
  <c r="R174" i="26"/>
  <c r="R176" i="26"/>
  <c r="R178" i="26"/>
  <c r="R180" i="26"/>
  <c r="R182" i="26"/>
  <c r="R184" i="26"/>
  <c r="R186" i="26"/>
  <c r="R188" i="26"/>
  <c r="R191" i="26"/>
  <c r="R193" i="26"/>
  <c r="R195" i="26"/>
  <c r="R197" i="26"/>
  <c r="R199" i="26"/>
  <c r="R202" i="26"/>
  <c r="R204" i="26"/>
  <c r="R206" i="26"/>
  <c r="R208" i="26"/>
  <c r="R210" i="26"/>
  <c r="R212" i="26"/>
  <c r="R214" i="26"/>
  <c r="R216" i="26"/>
  <c r="R224" i="26"/>
  <c r="R226" i="26"/>
  <c r="R228" i="26"/>
  <c r="R233" i="26"/>
  <c r="R235" i="26"/>
  <c r="R237" i="26"/>
  <c r="R239" i="26"/>
  <c r="R241" i="26"/>
  <c r="R85" i="26"/>
  <c r="B172" i="26"/>
  <c r="J172" i="26"/>
  <c r="J219" i="26" s="1"/>
  <c r="R155" i="26"/>
  <c r="R159" i="26"/>
  <c r="R192" i="26"/>
  <c r="R222" i="26"/>
  <c r="R246" i="26"/>
  <c r="R248" i="26"/>
  <c r="R250" i="26"/>
  <c r="R252" i="26"/>
  <c r="R254" i="26"/>
  <c r="R256" i="26"/>
  <c r="R258" i="26"/>
  <c r="R260" i="26"/>
  <c r="R262" i="26"/>
  <c r="R267" i="26"/>
  <c r="R269" i="26"/>
  <c r="R271" i="26"/>
  <c r="R274" i="26"/>
  <c r="R276" i="26"/>
  <c r="R278" i="26"/>
  <c r="R280" i="26"/>
  <c r="R282" i="26"/>
  <c r="R284" i="26"/>
  <c r="R286" i="26"/>
  <c r="R288" i="26"/>
  <c r="R290" i="26"/>
  <c r="R292" i="26"/>
  <c r="R294" i="26"/>
  <c r="R296" i="26"/>
  <c r="R298" i="26"/>
  <c r="R300" i="26"/>
  <c r="R302" i="26"/>
  <c r="R304" i="26"/>
  <c r="R306" i="26"/>
  <c r="R308" i="26"/>
  <c r="R310" i="26"/>
  <c r="R312" i="26"/>
  <c r="R314" i="26"/>
  <c r="R316" i="26"/>
  <c r="R318" i="26"/>
  <c r="R320" i="26"/>
  <c r="R322" i="26"/>
  <c r="R324" i="26"/>
  <c r="R173" i="26"/>
  <c r="R201" i="26"/>
  <c r="B264" i="26"/>
  <c r="J264" i="26"/>
  <c r="R231" i="26"/>
  <c r="R242" i="26"/>
  <c r="R245" i="26"/>
  <c r="R218" i="26"/>
  <c r="R243" i="26"/>
  <c r="R247" i="26"/>
  <c r="R249" i="26"/>
  <c r="R251" i="26"/>
  <c r="R253" i="26"/>
  <c r="R255" i="26"/>
  <c r="R257" i="26"/>
  <c r="R259" i="26"/>
  <c r="R261" i="26"/>
  <c r="R263" i="26"/>
  <c r="R266" i="26"/>
  <c r="R268" i="26"/>
  <c r="R270" i="26"/>
  <c r="R272" i="26"/>
  <c r="R275" i="26"/>
  <c r="R277" i="26"/>
  <c r="R279" i="26"/>
  <c r="R281" i="26"/>
  <c r="R283" i="26"/>
  <c r="R285" i="26"/>
  <c r="R287" i="26"/>
  <c r="R289" i="26"/>
  <c r="R291" i="26"/>
  <c r="R293" i="26"/>
  <c r="R295" i="26"/>
  <c r="R297" i="26"/>
  <c r="R299" i="26"/>
  <c r="R301" i="26"/>
  <c r="R303" i="26"/>
  <c r="R305" i="26"/>
  <c r="R307" i="26"/>
  <c r="R309" i="26"/>
  <c r="R311" i="26"/>
  <c r="R313" i="26"/>
  <c r="R315" i="26"/>
  <c r="R317" i="26"/>
  <c r="R319" i="26"/>
  <c r="R321" i="26"/>
  <c r="R323" i="26"/>
  <c r="R328" i="26"/>
  <c r="R327" i="26"/>
  <c r="R330" i="26"/>
  <c r="R331" i="26"/>
  <c r="R332" i="26"/>
  <c r="R333" i="26"/>
  <c r="R335" i="26"/>
  <c r="R338" i="26"/>
  <c r="R340" i="26"/>
  <c r="R342" i="26"/>
  <c r="R344" i="26"/>
  <c r="R346" i="26"/>
  <c r="R348" i="26"/>
  <c r="R350" i="26"/>
  <c r="R353" i="26"/>
  <c r="R362" i="26"/>
  <c r="R364" i="26"/>
  <c r="R366" i="26"/>
  <c r="R370" i="26"/>
  <c r="R265" i="26"/>
  <c r="B325" i="26"/>
  <c r="R334" i="26"/>
  <c r="R337" i="26"/>
  <c r="R339" i="26"/>
  <c r="R341" i="26"/>
  <c r="R343" i="26"/>
  <c r="R345" i="26"/>
  <c r="R347" i="26"/>
  <c r="R349" i="26"/>
  <c r="R351" i="26"/>
  <c r="R356" i="26"/>
  <c r="R358" i="26"/>
  <c r="R360" i="26"/>
  <c r="R372" i="26"/>
  <c r="R376" i="26"/>
  <c r="R388" i="26"/>
  <c r="J336" i="26"/>
  <c r="R326" i="26"/>
  <c r="B352" i="26"/>
  <c r="R363" i="26"/>
  <c r="R368" i="26"/>
  <c r="R369" i="26"/>
  <c r="R371" i="26"/>
  <c r="R373" i="26"/>
  <c r="R374" i="26"/>
  <c r="R375" i="26"/>
  <c r="R401" i="26"/>
  <c r="R361" i="26"/>
  <c r="R385" i="26"/>
  <c r="R386" i="26"/>
  <c r="R387" i="26"/>
  <c r="R392" i="26"/>
  <c r="R394" i="26"/>
  <c r="R420" i="26"/>
  <c r="R433" i="26"/>
  <c r="R447" i="26"/>
  <c r="R354" i="26"/>
  <c r="R359" i="26"/>
  <c r="R367" i="26"/>
  <c r="R381" i="26"/>
  <c r="R382" i="26"/>
  <c r="R383" i="26"/>
  <c r="R390" i="26"/>
  <c r="R402" i="26"/>
  <c r="B441" i="26"/>
  <c r="B450" i="26" s="1"/>
  <c r="R439" i="26"/>
  <c r="J389" i="26"/>
  <c r="R355" i="26"/>
  <c r="R357" i="26"/>
  <c r="R365" i="26"/>
  <c r="R377" i="26"/>
  <c r="R378" i="26"/>
  <c r="R379" i="26"/>
  <c r="R393" i="26"/>
  <c r="R430" i="26"/>
  <c r="R411" i="26"/>
  <c r="R412" i="26"/>
  <c r="R425" i="26"/>
  <c r="R432" i="26"/>
  <c r="R436" i="26"/>
  <c r="R444" i="26"/>
  <c r="R460" i="26"/>
  <c r="B399" i="26"/>
  <c r="J399" i="26"/>
  <c r="R391" i="26"/>
  <c r="R407" i="26"/>
  <c r="R408" i="26"/>
  <c r="R409" i="26"/>
  <c r="R428" i="26"/>
  <c r="R459" i="26"/>
  <c r="R395" i="26"/>
  <c r="R396" i="26"/>
  <c r="R397" i="26"/>
  <c r="R403" i="26"/>
  <c r="R404" i="26"/>
  <c r="R405" i="26"/>
  <c r="R431" i="26"/>
  <c r="R440" i="26"/>
  <c r="R448" i="26"/>
  <c r="R461" i="26"/>
  <c r="R414" i="26"/>
  <c r="R417" i="26"/>
  <c r="J450" i="26"/>
  <c r="R457" i="26"/>
  <c r="B418" i="26"/>
  <c r="J418" i="26"/>
  <c r="R400" i="26"/>
  <c r="R426" i="26"/>
  <c r="R434" i="26"/>
  <c r="R438" i="26"/>
  <c r="R442" i="26"/>
  <c r="R446" i="26"/>
  <c r="R449" i="26"/>
  <c r="R458" i="26"/>
  <c r="B421" i="26"/>
  <c r="R419" i="26"/>
  <c r="R424" i="26"/>
  <c r="J462" i="26"/>
  <c r="J465" i="26" s="1"/>
  <c r="T62" i="4" l="1"/>
  <c r="V62" i="4" s="1"/>
  <c r="V164" i="4"/>
  <c r="V127" i="4" s="1"/>
  <c r="V163" i="4"/>
  <c r="V126" i="4" s="1"/>
  <c r="J188" i="4"/>
  <c r="V175" i="4"/>
  <c r="T45" i="4"/>
  <c r="V45" i="4" s="1"/>
  <c r="T41" i="4"/>
  <c r="V41" i="4" s="1"/>
  <c r="D88" i="4"/>
  <c r="D89" i="4" s="1"/>
  <c r="R273" i="26"/>
  <c r="R200" i="26"/>
  <c r="B219" i="26"/>
  <c r="B453" i="26" s="1"/>
  <c r="F420" i="22"/>
  <c r="I51" i="25"/>
  <c r="N449" i="22"/>
  <c r="N452" i="22" s="1"/>
  <c r="J421" i="26"/>
  <c r="R66" i="26"/>
  <c r="P420" i="22"/>
  <c r="P452" i="22" s="1"/>
  <c r="D230" i="26"/>
  <c r="H32" i="18"/>
  <c r="R413" i="26"/>
  <c r="R329" i="26"/>
  <c r="D449" i="22"/>
  <c r="D452" i="22" s="1"/>
  <c r="AC18" i="6"/>
  <c r="AA30" i="6"/>
  <c r="AA76" i="6" s="1"/>
  <c r="AA108" i="6" s="1"/>
  <c r="AS115" i="5"/>
  <c r="AU101" i="5"/>
  <c r="R462" i="26"/>
  <c r="R465" i="26" s="1"/>
  <c r="R93" i="26"/>
  <c r="R117" i="26"/>
  <c r="R154" i="26"/>
  <c r="R33" i="26"/>
  <c r="V123" i="4"/>
  <c r="AI28" i="5"/>
  <c r="AO28" i="5"/>
  <c r="AS28" i="5" s="1"/>
  <c r="B193" i="12"/>
  <c r="AU242" i="5"/>
  <c r="AS244" i="5"/>
  <c r="AU244" i="5" s="1"/>
  <c r="AU155" i="5"/>
  <c r="AS172" i="5"/>
  <c r="AU121" i="5"/>
  <c r="AS124" i="5"/>
  <c r="AU124" i="5" s="1"/>
  <c r="W30" i="6"/>
  <c r="W76" i="6" s="1"/>
  <c r="W108" i="6" s="1"/>
  <c r="AI98" i="5"/>
  <c r="AO98" i="5"/>
  <c r="AO31" i="5"/>
  <c r="T193" i="4"/>
  <c r="V192" i="4"/>
  <c r="V193" i="4" s="1"/>
  <c r="Q76" i="6"/>
  <c r="AC30" i="6"/>
  <c r="P193" i="4"/>
  <c r="AO210" i="4"/>
  <c r="AO15" i="4" s="1"/>
  <c r="AO20" i="4" s="1"/>
  <c r="AO23" i="4" s="1"/>
  <c r="N108" i="13"/>
  <c r="N108" i="11"/>
  <c r="L418" i="26"/>
  <c r="L399" i="26"/>
  <c r="P389" i="26"/>
  <c r="N88" i="13"/>
  <c r="N88" i="11"/>
  <c r="H352" i="26"/>
  <c r="R21" i="24"/>
  <c r="N12" i="17"/>
  <c r="N24" i="17" s="1"/>
  <c r="L55" i="23"/>
  <c r="P30" i="24"/>
  <c r="H55" i="23"/>
  <c r="D437" i="26"/>
  <c r="R435" i="26"/>
  <c r="R437" i="26" s="1"/>
  <c r="P418" i="26"/>
  <c r="F399" i="26"/>
  <c r="L336" i="26"/>
  <c r="N30" i="24"/>
  <c r="R398" i="26"/>
  <c r="D399" i="26"/>
  <c r="L352" i="26"/>
  <c r="F437" i="26"/>
  <c r="R410" i="26"/>
  <c r="L264" i="26"/>
  <c r="R135" i="22"/>
  <c r="N117" i="26"/>
  <c r="H165" i="4"/>
  <c r="H123" i="4"/>
  <c r="H128" i="4" s="1"/>
  <c r="N45" i="13"/>
  <c r="N45" i="11"/>
  <c r="F445" i="26"/>
  <c r="D325" i="26"/>
  <c r="F273" i="26"/>
  <c r="D200" i="26"/>
  <c r="R170" i="22"/>
  <c r="L117" i="26"/>
  <c r="R165" i="4"/>
  <c r="R123" i="4"/>
  <c r="R128" i="4" s="1"/>
  <c r="R130" i="4" s="1"/>
  <c r="R91" i="22"/>
  <c r="N50" i="13"/>
  <c r="N50" i="11"/>
  <c r="N38" i="13"/>
  <c r="N38" i="11"/>
  <c r="N93" i="13"/>
  <c r="N93" i="11"/>
  <c r="N389" i="26"/>
  <c r="R272" i="22"/>
  <c r="H230" i="26"/>
  <c r="P154" i="26"/>
  <c r="N72" i="13"/>
  <c r="N72" i="11"/>
  <c r="J165" i="4"/>
  <c r="J124" i="4"/>
  <c r="J128" i="4" s="1"/>
  <c r="N106" i="13"/>
  <c r="N106" i="11"/>
  <c r="R388" i="22"/>
  <c r="N264" i="26"/>
  <c r="H217" i="26"/>
  <c r="H200" i="26"/>
  <c r="H172" i="26"/>
  <c r="F137" i="26"/>
  <c r="F117" i="26"/>
  <c r="N52" i="13"/>
  <c r="N52" i="11"/>
  <c r="H93" i="26"/>
  <c r="L93" i="26"/>
  <c r="N36" i="13"/>
  <c r="N36" i="11"/>
  <c r="N21" i="13"/>
  <c r="N21" i="11"/>
  <c r="N13" i="13"/>
  <c r="N13" i="11"/>
  <c r="H88" i="16"/>
  <c r="P50" i="15"/>
  <c r="P32" i="15"/>
  <c r="N39" i="13"/>
  <c r="N39" i="11"/>
  <c r="N22" i="13"/>
  <c r="N22" i="11"/>
  <c r="N16" i="13"/>
  <c r="N16" i="11"/>
  <c r="P53" i="15"/>
  <c r="P49" i="15"/>
  <c r="J39" i="16"/>
  <c r="L26" i="16"/>
  <c r="L39" i="16" s="1"/>
  <c r="J13" i="15"/>
  <c r="L13" i="15" s="1"/>
  <c r="P13" i="15" s="1"/>
  <c r="L13" i="16"/>
  <c r="D143" i="12"/>
  <c r="N43" i="13"/>
  <c r="N43" i="11"/>
  <c r="R69" i="26"/>
  <c r="P66" i="26"/>
  <c r="P82" i="26" s="1"/>
  <c r="L33" i="26"/>
  <c r="J139" i="12"/>
  <c r="L139" i="12" s="1"/>
  <c r="J48" i="15"/>
  <c r="L48" i="15" s="1"/>
  <c r="P48" i="15" s="1"/>
  <c r="F40" i="15"/>
  <c r="J16" i="15"/>
  <c r="L16" i="15" s="1"/>
  <c r="P16" i="15" s="1"/>
  <c r="L171" i="14"/>
  <c r="L178" i="14" s="1"/>
  <c r="J178" i="14"/>
  <c r="L162" i="14"/>
  <c r="L168" i="14" s="1"/>
  <c r="J168" i="14"/>
  <c r="H152" i="12"/>
  <c r="J146" i="12"/>
  <c r="J141" i="12"/>
  <c r="L141" i="12" s="1"/>
  <c r="N51" i="13"/>
  <c r="N51" i="11"/>
  <c r="R64" i="22"/>
  <c r="N24" i="13"/>
  <c r="N24" i="11"/>
  <c r="H56" i="15"/>
  <c r="J47" i="15"/>
  <c r="J15" i="15"/>
  <c r="L15" i="15" s="1"/>
  <c r="P15" i="15" s="1"/>
  <c r="J185" i="12"/>
  <c r="L185" i="12" s="1"/>
  <c r="J181" i="12"/>
  <c r="L181" i="12" s="1"/>
  <c r="F166" i="12"/>
  <c r="F110" i="12"/>
  <c r="H117" i="4"/>
  <c r="H83" i="4" s="1"/>
  <c r="D79" i="11"/>
  <c r="J65" i="14"/>
  <c r="L61" i="14"/>
  <c r="L65" i="14" s="1"/>
  <c r="D57" i="12"/>
  <c r="P43" i="13"/>
  <c r="P39" i="11"/>
  <c r="H129" i="12"/>
  <c r="J117" i="12"/>
  <c r="D111" i="13"/>
  <c r="H93" i="12"/>
  <c r="J81" i="12"/>
  <c r="F65" i="13"/>
  <c r="P51" i="13"/>
  <c r="P38" i="13"/>
  <c r="J10" i="12"/>
  <c r="J118" i="4"/>
  <c r="J84" i="4" s="1"/>
  <c r="H26" i="12"/>
  <c r="J120" i="12"/>
  <c r="L120" i="12" s="1"/>
  <c r="J109" i="12"/>
  <c r="L109" i="12" s="1"/>
  <c r="J102" i="13"/>
  <c r="L102" i="13" s="1"/>
  <c r="J88" i="12"/>
  <c r="L88" i="12" s="1"/>
  <c r="F94" i="11"/>
  <c r="J76" i="13"/>
  <c r="L76" i="13" s="1"/>
  <c r="J72" i="11"/>
  <c r="L72" i="11" s="1"/>
  <c r="P72" i="11" s="1"/>
  <c r="J63" i="13"/>
  <c r="L63" i="13" s="1"/>
  <c r="D65" i="13"/>
  <c r="J54" i="11"/>
  <c r="L54" i="11" s="1"/>
  <c r="J58" i="14"/>
  <c r="L50" i="14"/>
  <c r="L58" i="14" s="1"/>
  <c r="J41" i="11"/>
  <c r="L41" i="11" s="1"/>
  <c r="J33" i="11"/>
  <c r="L33" i="11" s="1"/>
  <c r="F47" i="13"/>
  <c r="J24" i="11"/>
  <c r="L24" i="11" s="1"/>
  <c r="P24" i="11" s="1"/>
  <c r="J18" i="13"/>
  <c r="L18" i="13" s="1"/>
  <c r="J14" i="11"/>
  <c r="L14" i="11" s="1"/>
  <c r="F26" i="12"/>
  <c r="H118" i="4"/>
  <c r="H84" i="4" s="1"/>
  <c r="D129" i="12"/>
  <c r="J109" i="13"/>
  <c r="L109" i="13" s="1"/>
  <c r="J104" i="12"/>
  <c r="L104" i="12" s="1"/>
  <c r="H110" i="12"/>
  <c r="J96" i="12"/>
  <c r="J117" i="4"/>
  <c r="J83" i="4" s="1"/>
  <c r="J88" i="13"/>
  <c r="L88" i="13" s="1"/>
  <c r="P88" i="13" s="1"/>
  <c r="J83" i="12"/>
  <c r="L83" i="12" s="1"/>
  <c r="D93" i="12"/>
  <c r="J75" i="13"/>
  <c r="L75" i="13" s="1"/>
  <c r="J71" i="11"/>
  <c r="L71" i="11" s="1"/>
  <c r="J62" i="11"/>
  <c r="L62" i="11" s="1"/>
  <c r="J56" i="12"/>
  <c r="L56" i="12" s="1"/>
  <c r="J43" i="12"/>
  <c r="L43" i="12" s="1"/>
  <c r="J40" i="13"/>
  <c r="L40" i="13" s="1"/>
  <c r="J35" i="12"/>
  <c r="L35" i="12" s="1"/>
  <c r="J32" i="13"/>
  <c r="L32" i="13" s="1"/>
  <c r="J23" i="11"/>
  <c r="L23" i="11" s="1"/>
  <c r="J20" i="12"/>
  <c r="L20" i="12" s="1"/>
  <c r="J17" i="13"/>
  <c r="L17" i="13" s="1"/>
  <c r="J12" i="12"/>
  <c r="L12" i="12" s="1"/>
  <c r="D26" i="12"/>
  <c r="F118" i="4"/>
  <c r="U41" i="25"/>
  <c r="T178" i="4"/>
  <c r="V171" i="4"/>
  <c r="G35" i="25"/>
  <c r="G53" i="25"/>
  <c r="Q48" i="25"/>
  <c r="Q22" i="25"/>
  <c r="C22" i="10"/>
  <c r="U11" i="10"/>
  <c r="T70" i="4"/>
  <c r="F78" i="4"/>
  <c r="T188" i="4"/>
  <c r="V181" i="4"/>
  <c r="G45" i="25"/>
  <c r="Q35" i="25"/>
  <c r="G50" i="25"/>
  <c r="J67" i="1"/>
  <c r="J70" i="1" s="1"/>
  <c r="J73" i="1" s="1"/>
  <c r="F48" i="4"/>
  <c r="T40" i="4"/>
  <c r="U39" i="25"/>
  <c r="R188" i="4"/>
  <c r="E45" i="25"/>
  <c r="U33" i="25"/>
  <c r="G55" i="25"/>
  <c r="G51" i="25"/>
  <c r="I57" i="2"/>
  <c r="I63" i="2" s="1"/>
  <c r="I70" i="2" s="1"/>
  <c r="U44" i="25"/>
  <c r="V183" i="4"/>
  <c r="J178" i="4"/>
  <c r="J210" i="4" s="1"/>
  <c r="AM210" i="4" s="1"/>
  <c r="AM15" i="4" s="1"/>
  <c r="AM14" i="4" s="1"/>
  <c r="V148" i="4"/>
  <c r="O58" i="25"/>
  <c r="O50" i="25"/>
  <c r="S57" i="2"/>
  <c r="S63" i="2" s="1"/>
  <c r="S70" i="2" s="1"/>
  <c r="S48" i="25"/>
  <c r="U10" i="25"/>
  <c r="S22" i="25"/>
  <c r="G48" i="25"/>
  <c r="G22" i="25"/>
  <c r="T75" i="4"/>
  <c r="V75" i="4" s="1"/>
  <c r="T71" i="4"/>
  <c r="V71" i="4" s="1"/>
  <c r="J65" i="4"/>
  <c r="R325" i="26"/>
  <c r="L17" i="20"/>
  <c r="L14" i="20"/>
  <c r="AU105" i="5"/>
  <c r="Q76" i="7"/>
  <c r="AC30" i="7"/>
  <c r="S76" i="6"/>
  <c r="S108" i="6" s="1"/>
  <c r="AU34" i="5"/>
  <c r="AS51" i="5"/>
  <c r="AU51" i="5" s="1"/>
  <c r="W61" i="2"/>
  <c r="U61" i="2"/>
  <c r="AI294" i="5"/>
  <c r="AI306" i="5" s="1"/>
  <c r="AI312" i="5" s="1"/>
  <c r="AI319" i="5" s="1"/>
  <c r="S64" i="25"/>
  <c r="U63" i="25"/>
  <c r="U64" i="25" s="1"/>
  <c r="N25" i="1"/>
  <c r="N27" i="1" s="1"/>
  <c r="L27" i="1"/>
  <c r="AC89" i="6"/>
  <c r="C77" i="25"/>
  <c r="C74" i="2"/>
  <c r="R52" i="23"/>
  <c r="N47" i="15"/>
  <c r="N56" i="15" s="1"/>
  <c r="N105" i="13"/>
  <c r="N105" i="11"/>
  <c r="P336" i="26"/>
  <c r="D462" i="26"/>
  <c r="D465" i="26" s="1"/>
  <c r="N109" i="13"/>
  <c r="N109" i="11"/>
  <c r="F30" i="24"/>
  <c r="L462" i="26"/>
  <c r="L465" i="26" s="1"/>
  <c r="N99" i="13"/>
  <c r="N99" i="11"/>
  <c r="F452" i="22"/>
  <c r="D352" i="26"/>
  <c r="R27" i="24"/>
  <c r="R30" i="24" s="1"/>
  <c r="N27" i="17"/>
  <c r="N30" i="17" s="1"/>
  <c r="N33" i="17" s="1"/>
  <c r="P55" i="23"/>
  <c r="R22" i="23"/>
  <c r="N11" i="15"/>
  <c r="N24" i="15" s="1"/>
  <c r="N107" i="13"/>
  <c r="N107" i="11"/>
  <c r="F441" i="26"/>
  <c r="L437" i="26"/>
  <c r="N450" i="26"/>
  <c r="D418" i="26"/>
  <c r="N399" i="26"/>
  <c r="R380" i="26"/>
  <c r="H336" i="26"/>
  <c r="P325" i="26"/>
  <c r="N230" i="26"/>
  <c r="P217" i="26"/>
  <c r="F200" i="26"/>
  <c r="F190" i="26"/>
  <c r="F172" i="26"/>
  <c r="L154" i="26"/>
  <c r="R115" i="22"/>
  <c r="N53" i="13"/>
  <c r="N53" i="11"/>
  <c r="T165" i="4"/>
  <c r="T123" i="4"/>
  <c r="T128" i="4" s="1"/>
  <c r="T130" i="4" s="1"/>
  <c r="N100" i="13"/>
  <c r="P100" i="13" s="1"/>
  <c r="N100" i="11"/>
  <c r="F352" i="26"/>
  <c r="N325" i="26"/>
  <c r="L230" i="26"/>
  <c r="D217" i="26"/>
  <c r="N200" i="26"/>
  <c r="D190" i="26"/>
  <c r="H154" i="26"/>
  <c r="N69" i="13"/>
  <c r="N69" i="11"/>
  <c r="P69" i="11" s="1"/>
  <c r="R80" i="22"/>
  <c r="N46" i="13"/>
  <c r="P46" i="13" s="1"/>
  <c r="N46" i="11"/>
  <c r="N42" i="13"/>
  <c r="N42" i="11"/>
  <c r="P42" i="11" s="1"/>
  <c r="L441" i="26"/>
  <c r="L325" i="26"/>
  <c r="D273" i="26"/>
  <c r="F264" i="26"/>
  <c r="L190" i="26"/>
  <c r="H117" i="26"/>
  <c r="H450" i="26"/>
  <c r="R406" i="26"/>
  <c r="D336" i="26"/>
  <c r="P230" i="26"/>
  <c r="D154" i="26"/>
  <c r="N56" i="13"/>
  <c r="N56" i="11"/>
  <c r="N40" i="13"/>
  <c r="N40" i="11"/>
  <c r="N25" i="13"/>
  <c r="P25" i="13" s="1"/>
  <c r="N25" i="11"/>
  <c r="F33" i="26"/>
  <c r="F33" i="17"/>
  <c r="F24" i="17"/>
  <c r="P23" i="15"/>
  <c r="P19" i="15"/>
  <c r="P14" i="15"/>
  <c r="D166" i="12"/>
  <c r="N26" i="13"/>
  <c r="N26" i="11"/>
  <c r="R33" i="22"/>
  <c r="N11" i="13"/>
  <c r="N11" i="11"/>
  <c r="J16" i="17"/>
  <c r="L16" i="17" s="1"/>
  <c r="P16" i="17" s="1"/>
  <c r="D24" i="17"/>
  <c r="J12" i="17"/>
  <c r="D24" i="15"/>
  <c r="J190" i="14"/>
  <c r="L181" i="14"/>
  <c r="L190" i="14" s="1"/>
  <c r="J38" i="18"/>
  <c r="J41" i="18" s="1"/>
  <c r="L37" i="18"/>
  <c r="L38" i="18" s="1"/>
  <c r="L41" i="18" s="1"/>
  <c r="J36" i="15"/>
  <c r="L36" i="15" s="1"/>
  <c r="P36" i="15" s="1"/>
  <c r="J34" i="15"/>
  <c r="L34" i="15" s="1"/>
  <c r="P34" i="15" s="1"/>
  <c r="J30" i="15"/>
  <c r="L30" i="15" s="1"/>
  <c r="P30" i="15" s="1"/>
  <c r="J21" i="15"/>
  <c r="L21" i="15" s="1"/>
  <c r="P21" i="15" s="1"/>
  <c r="J12" i="15"/>
  <c r="L12" i="15" s="1"/>
  <c r="P12" i="15" s="1"/>
  <c r="H157" i="12"/>
  <c r="J155" i="12"/>
  <c r="J128" i="12"/>
  <c r="L128" i="12" s="1"/>
  <c r="H24" i="17"/>
  <c r="J51" i="15"/>
  <c r="L51" i="15" s="1"/>
  <c r="P51" i="15" s="1"/>
  <c r="H56" i="16"/>
  <c r="H24" i="15"/>
  <c r="J11" i="15"/>
  <c r="F176" i="12"/>
  <c r="J163" i="12"/>
  <c r="L163" i="12" s="1"/>
  <c r="F152" i="12"/>
  <c r="J140" i="12"/>
  <c r="L140" i="12" s="1"/>
  <c r="J136" i="12"/>
  <c r="L136" i="12" s="1"/>
  <c r="H143" i="12"/>
  <c r="J132" i="12"/>
  <c r="J22" i="11"/>
  <c r="L22" i="11" s="1"/>
  <c r="P22" i="11" s="1"/>
  <c r="F111" i="13"/>
  <c r="D78" i="12"/>
  <c r="F116" i="4"/>
  <c r="P56" i="13"/>
  <c r="D58" i="13"/>
  <c r="P16" i="13"/>
  <c r="J131" i="14"/>
  <c r="L119" i="14"/>
  <c r="L131" i="14" s="1"/>
  <c r="P107" i="11"/>
  <c r="P99" i="11"/>
  <c r="D111" i="11"/>
  <c r="J82" i="13"/>
  <c r="H94" i="13"/>
  <c r="P69" i="13"/>
  <c r="J30" i="13"/>
  <c r="H47" i="13"/>
  <c r="F129" i="12"/>
  <c r="J110" i="13"/>
  <c r="L110" i="13" s="1"/>
  <c r="J106" i="11"/>
  <c r="L106" i="11" s="1"/>
  <c r="P106" i="11" s="1"/>
  <c r="J101" i="12"/>
  <c r="L101" i="12" s="1"/>
  <c r="J98" i="11"/>
  <c r="L98" i="11" s="1"/>
  <c r="J93" i="11"/>
  <c r="L93" i="11" s="1"/>
  <c r="P93" i="11" s="1"/>
  <c r="J89" i="13"/>
  <c r="L89" i="13" s="1"/>
  <c r="J84" i="12"/>
  <c r="L84" i="12" s="1"/>
  <c r="F93" i="12"/>
  <c r="J71" i="12"/>
  <c r="L71" i="12" s="1"/>
  <c r="J68" i="13"/>
  <c r="H79" i="13"/>
  <c r="J53" i="12"/>
  <c r="L53" i="12" s="1"/>
  <c r="H58" i="11"/>
  <c r="J115" i="4"/>
  <c r="J50" i="11"/>
  <c r="J44" i="12"/>
  <c r="L44" i="12" s="1"/>
  <c r="J41" i="13"/>
  <c r="L41" i="13" s="1"/>
  <c r="J36" i="12"/>
  <c r="L36" i="12" s="1"/>
  <c r="J33" i="13"/>
  <c r="L33" i="13" s="1"/>
  <c r="J23" i="12"/>
  <c r="L23" i="12" s="1"/>
  <c r="J13" i="12"/>
  <c r="L13" i="12" s="1"/>
  <c r="J109" i="11"/>
  <c r="L109" i="11" s="1"/>
  <c r="P109" i="11" s="1"/>
  <c r="J105" i="13"/>
  <c r="L105" i="13" s="1"/>
  <c r="P105" i="13" s="1"/>
  <c r="J101" i="11"/>
  <c r="L101" i="11" s="1"/>
  <c r="H111" i="13"/>
  <c r="J97" i="13"/>
  <c r="J91" i="12"/>
  <c r="L91" i="12" s="1"/>
  <c r="J88" i="11"/>
  <c r="L88" i="11" s="1"/>
  <c r="P88" i="11" s="1"/>
  <c r="D94" i="13"/>
  <c r="J74" i="12"/>
  <c r="L74" i="12" s="1"/>
  <c r="F79" i="13"/>
  <c r="J119" i="4"/>
  <c r="J61" i="12"/>
  <c r="L61" i="12" s="1"/>
  <c r="J57" i="11"/>
  <c r="L57" i="11" s="1"/>
  <c r="J53" i="13"/>
  <c r="L53" i="13" s="1"/>
  <c r="P53" i="13" s="1"/>
  <c r="F58" i="11"/>
  <c r="H115" i="4"/>
  <c r="J40" i="11"/>
  <c r="L40" i="11" s="1"/>
  <c r="P40" i="11" s="1"/>
  <c r="J32" i="11"/>
  <c r="L32" i="11" s="1"/>
  <c r="D47" i="11"/>
  <c r="J17" i="11"/>
  <c r="L17" i="11" s="1"/>
  <c r="D27" i="13"/>
  <c r="S35" i="25"/>
  <c r="U25" i="25"/>
  <c r="S57" i="25"/>
  <c r="U19" i="25"/>
  <c r="G19" i="10"/>
  <c r="U19" i="10" s="1"/>
  <c r="X19" i="10" s="1"/>
  <c r="S53" i="25"/>
  <c r="U15" i="25"/>
  <c r="G15" i="10"/>
  <c r="U15" i="10" s="1"/>
  <c r="X15" i="10" s="1"/>
  <c r="I50" i="25"/>
  <c r="S49" i="25"/>
  <c r="U49" i="25" s="1"/>
  <c r="U11" i="25"/>
  <c r="E48" i="25"/>
  <c r="E22" i="25"/>
  <c r="J48" i="4"/>
  <c r="S45" i="25"/>
  <c r="U38" i="25"/>
  <c r="V176" i="4"/>
  <c r="S58" i="25"/>
  <c r="U20" i="25"/>
  <c r="I55" i="25"/>
  <c r="S54" i="25"/>
  <c r="U54" i="25" s="1"/>
  <c r="U16" i="25"/>
  <c r="V142" i="4"/>
  <c r="S50" i="25"/>
  <c r="U12" i="25"/>
  <c r="V138" i="4"/>
  <c r="O57" i="2"/>
  <c r="T73" i="4"/>
  <c r="V73" i="4" s="1"/>
  <c r="N32" i="1"/>
  <c r="N36" i="1" s="1"/>
  <c r="L36" i="1"/>
  <c r="T44" i="4"/>
  <c r="V44" i="4" s="1"/>
  <c r="Q45" i="25"/>
  <c r="V173" i="4"/>
  <c r="S55" i="25"/>
  <c r="U17" i="25"/>
  <c r="U17" i="10"/>
  <c r="X17" i="10" s="1"/>
  <c r="G17" i="10"/>
  <c r="S51" i="25"/>
  <c r="U13" i="25"/>
  <c r="J149" i="4"/>
  <c r="J78" i="4"/>
  <c r="U40" i="25"/>
  <c r="P188" i="4"/>
  <c r="V174" i="4"/>
  <c r="I35" i="25"/>
  <c r="Q55" i="25"/>
  <c r="E55" i="25"/>
  <c r="Q51" i="25"/>
  <c r="E51" i="25"/>
  <c r="U45" i="2"/>
  <c r="U22" i="2"/>
  <c r="F67" i="1"/>
  <c r="F70" i="1" s="1"/>
  <c r="F73" i="1" s="1"/>
  <c r="AQ107" i="4" s="1"/>
  <c r="AQ13" i="4" s="1"/>
  <c r="AQ20" i="4" s="1"/>
  <c r="AQ23" i="4" s="1"/>
  <c r="T63" i="4"/>
  <c r="V63" i="4" s="1"/>
  <c r="T46" i="4"/>
  <c r="V46" i="4" s="1"/>
  <c r="T42" i="4"/>
  <c r="V42" i="4" s="1"/>
  <c r="R399" i="26"/>
  <c r="R352" i="26"/>
  <c r="R217" i="26"/>
  <c r="R230" i="26"/>
  <c r="R137" i="26"/>
  <c r="AK238" i="5"/>
  <c r="AK253" i="5" s="1"/>
  <c r="AO115" i="5"/>
  <c r="AS31" i="5"/>
  <c r="AS218" i="5"/>
  <c r="AU218" i="5" s="1"/>
  <c r="AU207" i="5"/>
  <c r="AU15" i="5"/>
  <c r="B116" i="11"/>
  <c r="U10" i="3"/>
  <c r="U11" i="3" s="1"/>
  <c r="S11" i="3"/>
  <c r="AC106" i="6"/>
  <c r="AC59" i="7"/>
  <c r="AC15" i="7"/>
  <c r="S27" i="3"/>
  <c r="U26" i="3"/>
  <c r="U27" i="3" s="1"/>
  <c r="V204" i="4"/>
  <c r="V205" i="4" s="1"/>
  <c r="U23" i="3"/>
  <c r="AB20" i="4"/>
  <c r="AB23" i="4" s="1"/>
  <c r="N102" i="13"/>
  <c r="N102" i="11"/>
  <c r="N92" i="13"/>
  <c r="N92" i="11"/>
  <c r="F389" i="26"/>
  <c r="N39" i="15"/>
  <c r="P39" i="15" s="1"/>
  <c r="N64" i="13"/>
  <c r="P64" i="13" s="1"/>
  <c r="N64" i="11"/>
  <c r="N462" i="26"/>
  <c r="N465" i="26" s="1"/>
  <c r="N62" i="13"/>
  <c r="N62" i="11"/>
  <c r="N101" i="13"/>
  <c r="N101" i="11"/>
  <c r="R427" i="26"/>
  <c r="F450" i="26"/>
  <c r="F418" i="26"/>
  <c r="P399" i="26"/>
  <c r="N352" i="26"/>
  <c r="D30" i="24"/>
  <c r="F55" i="23"/>
  <c r="R28" i="23"/>
  <c r="N29" i="15" s="1"/>
  <c r="P29" i="15" s="1"/>
  <c r="N418" i="26"/>
  <c r="R398" i="22"/>
  <c r="R384" i="26"/>
  <c r="H389" i="26"/>
  <c r="P352" i="26"/>
  <c r="H273" i="26"/>
  <c r="D137" i="26"/>
  <c r="N57" i="13"/>
  <c r="N57" i="11"/>
  <c r="F93" i="26"/>
  <c r="N37" i="13"/>
  <c r="N37" i="11"/>
  <c r="H418" i="26"/>
  <c r="H399" i="26"/>
  <c r="R324" i="22"/>
  <c r="P273" i="26"/>
  <c r="H264" i="26"/>
  <c r="N217" i="26"/>
  <c r="R198" i="22"/>
  <c r="N190" i="26"/>
  <c r="D172" i="26"/>
  <c r="L137" i="26"/>
  <c r="N54" i="13"/>
  <c r="N54" i="11"/>
  <c r="N93" i="26"/>
  <c r="D93" i="26"/>
  <c r="N273" i="26"/>
  <c r="R160" i="26"/>
  <c r="F154" i="26"/>
  <c r="N55" i="13"/>
  <c r="N55" i="11"/>
  <c r="P55" i="11" s="1"/>
  <c r="D389" i="26"/>
  <c r="L273" i="26"/>
  <c r="R263" i="22"/>
  <c r="H190" i="26"/>
  <c r="N154" i="26"/>
  <c r="P137" i="26"/>
  <c r="P117" i="26"/>
  <c r="N44" i="13"/>
  <c r="N44" i="11"/>
  <c r="P165" i="4"/>
  <c r="P123" i="4"/>
  <c r="P128" i="4" s="1"/>
  <c r="P130" i="4" s="1"/>
  <c r="N33" i="13"/>
  <c r="N33" i="11"/>
  <c r="P33" i="26"/>
  <c r="F56" i="15"/>
  <c r="F59" i="15" s="1"/>
  <c r="F143" i="12"/>
  <c r="N30" i="13"/>
  <c r="N30" i="11"/>
  <c r="L26" i="18"/>
  <c r="L29" i="18" s="1"/>
  <c r="L32" i="18" s="1"/>
  <c r="L44" i="18" s="1"/>
  <c r="J29" i="18"/>
  <c r="J22" i="17"/>
  <c r="L22" i="17" s="1"/>
  <c r="P22" i="17" s="1"/>
  <c r="L11" i="18"/>
  <c r="L23" i="18" s="1"/>
  <c r="J23" i="18"/>
  <c r="D56" i="15"/>
  <c r="P22" i="15"/>
  <c r="P17" i="15"/>
  <c r="F66" i="26"/>
  <c r="F82" i="26" s="1"/>
  <c r="N19" i="13"/>
  <c r="P19" i="13" s="1"/>
  <c r="N19" i="11"/>
  <c r="N18" i="13"/>
  <c r="N18" i="11"/>
  <c r="N17" i="13"/>
  <c r="N17" i="11"/>
  <c r="J15" i="17"/>
  <c r="L15" i="17" s="1"/>
  <c r="P15" i="17" s="1"/>
  <c r="J52" i="15"/>
  <c r="L52" i="15" s="1"/>
  <c r="P52" i="15" s="1"/>
  <c r="J43" i="15"/>
  <c r="H44" i="15"/>
  <c r="J38" i="15"/>
  <c r="L38" i="15" s="1"/>
  <c r="P38" i="15" s="1"/>
  <c r="F188" i="12"/>
  <c r="F191" i="12" s="1"/>
  <c r="J173" i="12"/>
  <c r="L173" i="12" s="1"/>
  <c r="J169" i="12"/>
  <c r="H176" i="12"/>
  <c r="J164" i="12"/>
  <c r="L164" i="12" s="1"/>
  <c r="J160" i="12"/>
  <c r="H166" i="12"/>
  <c r="L148" i="14"/>
  <c r="L154" i="14" s="1"/>
  <c r="J154" i="14"/>
  <c r="D66" i="26"/>
  <c r="N12" i="13"/>
  <c r="N12" i="11"/>
  <c r="P12" i="11" s="1"/>
  <c r="H33" i="26"/>
  <c r="H30" i="17"/>
  <c r="H33" i="17" s="1"/>
  <c r="J20" i="17"/>
  <c r="L20" i="17" s="1"/>
  <c r="P20" i="17" s="1"/>
  <c r="J14" i="17"/>
  <c r="L14" i="17" s="1"/>
  <c r="P14" i="17" s="1"/>
  <c r="L46" i="16"/>
  <c r="L53" i="16" s="1"/>
  <c r="J53" i="16"/>
  <c r="D188" i="12"/>
  <c r="J172" i="12"/>
  <c r="L172" i="12" s="1"/>
  <c r="J54" i="13"/>
  <c r="L54" i="13" s="1"/>
  <c r="P54" i="13" s="1"/>
  <c r="J127" i="12"/>
  <c r="L127" i="12" s="1"/>
  <c r="J124" i="12"/>
  <c r="L124" i="12" s="1"/>
  <c r="P108" i="13"/>
  <c r="F111" i="11"/>
  <c r="D79" i="13"/>
  <c r="J60" i="12"/>
  <c r="H64" i="12"/>
  <c r="J61" i="13"/>
  <c r="H65" i="13"/>
  <c r="P56" i="11"/>
  <c r="P52" i="13"/>
  <c r="P43" i="11"/>
  <c r="P39" i="13"/>
  <c r="P26" i="13"/>
  <c r="P16" i="11"/>
  <c r="D114" i="14"/>
  <c r="J94" i="14"/>
  <c r="L82" i="14"/>
  <c r="L94" i="14" s="1"/>
  <c r="F64" i="12"/>
  <c r="P55" i="13"/>
  <c r="P46" i="11"/>
  <c r="P42" i="13"/>
  <c r="P38" i="11"/>
  <c r="H47" i="11"/>
  <c r="J30" i="11"/>
  <c r="J47" i="14"/>
  <c r="L30" i="14"/>
  <c r="L47" i="14" s="1"/>
  <c r="J11" i="13"/>
  <c r="H27" i="13"/>
  <c r="J119" i="12"/>
  <c r="L119" i="12" s="1"/>
  <c r="J106" i="13"/>
  <c r="L106" i="13" s="1"/>
  <c r="P106" i="13" s="1"/>
  <c r="J98" i="13"/>
  <c r="L98" i="13" s="1"/>
  <c r="J92" i="12"/>
  <c r="L92" i="12" s="1"/>
  <c r="J85" i="11"/>
  <c r="L85" i="11" s="1"/>
  <c r="F94" i="13"/>
  <c r="J76" i="11"/>
  <c r="L76" i="11" s="1"/>
  <c r="J72" i="13"/>
  <c r="L72" i="13" s="1"/>
  <c r="P72" i="13" s="1"/>
  <c r="H79" i="11"/>
  <c r="J68" i="11"/>
  <c r="L68" i="14"/>
  <c r="L79" i="14" s="1"/>
  <c r="J79" i="14"/>
  <c r="J62" i="12"/>
  <c r="L62" i="12" s="1"/>
  <c r="D65" i="11"/>
  <c r="H57" i="12"/>
  <c r="J49" i="12"/>
  <c r="J45" i="11"/>
  <c r="L45" i="11" s="1"/>
  <c r="P45" i="11" s="1"/>
  <c r="J37" i="11"/>
  <c r="L37" i="11" s="1"/>
  <c r="P37" i="11" s="1"/>
  <c r="F47" i="11"/>
  <c r="J24" i="13"/>
  <c r="L24" i="13" s="1"/>
  <c r="P24" i="13" s="1"/>
  <c r="J18" i="11"/>
  <c r="L18" i="11" s="1"/>
  <c r="P18" i="11" s="1"/>
  <c r="J14" i="13"/>
  <c r="L14" i="13" s="1"/>
  <c r="F27" i="13"/>
  <c r="J108" i="12"/>
  <c r="L108" i="12" s="1"/>
  <c r="J100" i="12"/>
  <c r="L100" i="12" s="1"/>
  <c r="J111" i="14"/>
  <c r="L97" i="14"/>
  <c r="L111" i="14" s="1"/>
  <c r="J92" i="13"/>
  <c r="L92" i="13" s="1"/>
  <c r="P92" i="13" s="1"/>
  <c r="J84" i="13"/>
  <c r="L84" i="13" s="1"/>
  <c r="J75" i="11"/>
  <c r="L75" i="11" s="1"/>
  <c r="J71" i="13"/>
  <c r="L71" i="13" s="1"/>
  <c r="F79" i="11"/>
  <c r="J52" i="12"/>
  <c r="L52" i="12" s="1"/>
  <c r="F57" i="12"/>
  <c r="J44" i="13"/>
  <c r="L44" i="13" s="1"/>
  <c r="P44" i="13" s="1"/>
  <c r="J39" i="12"/>
  <c r="L39" i="12" s="1"/>
  <c r="J36" i="13"/>
  <c r="L36" i="13" s="1"/>
  <c r="P36" i="13" s="1"/>
  <c r="J31" i="12"/>
  <c r="L31" i="12" s="1"/>
  <c r="D46" i="12"/>
  <c r="J23" i="13"/>
  <c r="L23" i="13" s="1"/>
  <c r="J21" i="13"/>
  <c r="L21" i="13" s="1"/>
  <c r="P21" i="13" s="1"/>
  <c r="J16" i="12"/>
  <c r="L16" i="12" s="1"/>
  <c r="J13" i="13"/>
  <c r="L13" i="13" s="1"/>
  <c r="P13" i="13" s="1"/>
  <c r="S70" i="25"/>
  <c r="U69" i="25"/>
  <c r="U70" i="25" s="1"/>
  <c r="U32" i="2"/>
  <c r="U50" i="2"/>
  <c r="O51" i="25"/>
  <c r="Q57" i="2"/>
  <c r="Q63" i="2" s="1"/>
  <c r="Q70" i="2" s="1"/>
  <c r="E57" i="2"/>
  <c r="E63" i="2" s="1"/>
  <c r="E70" i="2" s="1"/>
  <c r="N41" i="1"/>
  <c r="N49" i="1" s="1"/>
  <c r="L49" i="1"/>
  <c r="C28" i="10"/>
  <c r="U26" i="10"/>
  <c r="U28" i="10" s="1"/>
  <c r="V185" i="4"/>
  <c r="U32" i="25"/>
  <c r="V172" i="4"/>
  <c r="F178" i="4"/>
  <c r="V146" i="4"/>
  <c r="G12" i="10"/>
  <c r="P149" i="4"/>
  <c r="N11" i="1"/>
  <c r="N19" i="1" s="1"/>
  <c r="L19" i="1"/>
  <c r="V186" i="4"/>
  <c r="V177" i="4"/>
  <c r="U27" i="25"/>
  <c r="P178" i="4"/>
  <c r="U21" i="25"/>
  <c r="G21" i="10"/>
  <c r="U21" i="10" s="1"/>
  <c r="X21" i="10" s="1"/>
  <c r="O57" i="25"/>
  <c r="U52" i="2"/>
  <c r="O53" i="25"/>
  <c r="U48" i="2"/>
  <c r="I48" i="25"/>
  <c r="I22" i="25"/>
  <c r="T76" i="4"/>
  <c r="V76" i="4" s="1"/>
  <c r="T72" i="4"/>
  <c r="V72" i="4" s="1"/>
  <c r="O45" i="25"/>
  <c r="U28" i="25"/>
  <c r="G57" i="2"/>
  <c r="G63" i="2" s="1"/>
  <c r="G70" i="2" s="1"/>
  <c r="T94" i="4"/>
  <c r="F96" i="4"/>
  <c r="F98" i="4" s="1"/>
  <c r="AC98" i="4" s="1"/>
  <c r="J453" i="26"/>
  <c r="R441" i="26"/>
  <c r="R336" i="26"/>
  <c r="R264" i="26"/>
  <c r="R190" i="26"/>
  <c r="R82" i="26"/>
  <c r="B61" i="15"/>
  <c r="L37" i="21"/>
  <c r="AC80" i="6"/>
  <c r="AC73" i="7"/>
  <c r="AA97" i="7"/>
  <c r="AC97" i="7" s="1"/>
  <c r="AC92" i="7"/>
  <c r="AU248" i="5"/>
  <c r="AS98" i="5"/>
  <c r="AU86" i="5"/>
  <c r="M31" i="5"/>
  <c r="M118" i="5" s="1"/>
  <c r="M253" i="5" s="1"/>
  <c r="AI115" i="5"/>
  <c r="AU115" i="5" s="1"/>
  <c r="V53" i="4"/>
  <c r="V56" i="4" s="1"/>
  <c r="T56" i="4"/>
  <c r="K30" i="3"/>
  <c r="T105" i="4"/>
  <c r="T107" i="4" s="1"/>
  <c r="V103" i="4"/>
  <c r="V105" i="4" s="1"/>
  <c r="V107" i="4" s="1"/>
  <c r="N55" i="23"/>
  <c r="N63" i="13"/>
  <c r="N63" i="11"/>
  <c r="F462" i="26"/>
  <c r="F465" i="26" s="1"/>
  <c r="L452" i="22"/>
  <c r="F336" i="26"/>
  <c r="R461" i="22"/>
  <c r="R464" i="22" s="1"/>
  <c r="N61" i="13"/>
  <c r="N65" i="13" s="1"/>
  <c r="N61" i="11"/>
  <c r="P445" i="26"/>
  <c r="N110" i="13"/>
  <c r="N110" i="11"/>
  <c r="D445" i="26"/>
  <c r="D450" i="26" s="1"/>
  <c r="R443" i="26"/>
  <c r="R445" i="26" s="1"/>
  <c r="N104" i="13"/>
  <c r="P104" i="13" s="1"/>
  <c r="N104" i="11"/>
  <c r="P104" i="11" s="1"/>
  <c r="R415" i="26"/>
  <c r="L389" i="26"/>
  <c r="R351" i="22"/>
  <c r="H462" i="26"/>
  <c r="H465" i="26" s="1"/>
  <c r="L445" i="26"/>
  <c r="P441" i="26"/>
  <c r="R449" i="22"/>
  <c r="N97" i="13"/>
  <c r="N97" i="11"/>
  <c r="R416" i="26"/>
  <c r="R417" i="22"/>
  <c r="N98" i="13"/>
  <c r="N98" i="11"/>
  <c r="F325" i="26"/>
  <c r="R228" i="22"/>
  <c r="N78" i="13"/>
  <c r="N78" i="11"/>
  <c r="P78" i="11" s="1"/>
  <c r="F217" i="26"/>
  <c r="F219" i="26" s="1"/>
  <c r="P200" i="26"/>
  <c r="P190" i="26"/>
  <c r="P219" i="26" s="1"/>
  <c r="P172" i="26"/>
  <c r="N137" i="26"/>
  <c r="D117" i="26"/>
  <c r="N68" i="13"/>
  <c r="N68" i="11"/>
  <c r="P93" i="26"/>
  <c r="N41" i="13"/>
  <c r="N41" i="11"/>
  <c r="R215" i="22"/>
  <c r="R188" i="22"/>
  <c r="N172" i="26"/>
  <c r="F165" i="4"/>
  <c r="F123" i="4"/>
  <c r="F128" i="4" s="1"/>
  <c r="X130" i="4" s="1"/>
  <c r="D82" i="26"/>
  <c r="N103" i="13"/>
  <c r="P103" i="13" s="1"/>
  <c r="N103" i="11"/>
  <c r="P103" i="11" s="1"/>
  <c r="N336" i="26"/>
  <c r="P264" i="26"/>
  <c r="L217" i="26"/>
  <c r="L200" i="26"/>
  <c r="L172" i="26"/>
  <c r="H137" i="26"/>
  <c r="P437" i="26"/>
  <c r="L421" i="26"/>
  <c r="R335" i="22"/>
  <c r="H325" i="26"/>
  <c r="D264" i="26"/>
  <c r="D421" i="26" s="1"/>
  <c r="F230" i="26"/>
  <c r="R165" i="26"/>
  <c r="R152" i="22"/>
  <c r="L66" i="26"/>
  <c r="L82" i="26" s="1"/>
  <c r="P28" i="17"/>
  <c r="P23" i="17"/>
  <c r="P17" i="17"/>
  <c r="J85" i="16"/>
  <c r="L81" i="16"/>
  <c r="L85" i="16" s="1"/>
  <c r="J79" i="16"/>
  <c r="L74" i="16"/>
  <c r="L79" i="16" s="1"/>
  <c r="J71" i="16"/>
  <c r="L61" i="16"/>
  <c r="L71" i="16" s="1"/>
  <c r="P28" i="15"/>
  <c r="D176" i="12"/>
  <c r="N34" i="13"/>
  <c r="P34" i="13" s="1"/>
  <c r="N34" i="11"/>
  <c r="P34" i="11" s="1"/>
  <c r="H66" i="26"/>
  <c r="H82" i="26" s="1"/>
  <c r="N14" i="13"/>
  <c r="N14" i="11"/>
  <c r="N33" i="26"/>
  <c r="D33" i="26"/>
  <c r="D30" i="17"/>
  <c r="D33" i="17" s="1"/>
  <c r="J27" i="17"/>
  <c r="F88" i="16"/>
  <c r="F91" i="16" s="1"/>
  <c r="D56" i="16"/>
  <c r="P35" i="15"/>
  <c r="P31" i="15"/>
  <c r="H40" i="15"/>
  <c r="J27" i="15"/>
  <c r="P18" i="15"/>
  <c r="H188" i="12"/>
  <c r="H191" i="12" s="1"/>
  <c r="J179" i="12"/>
  <c r="N35" i="13"/>
  <c r="P35" i="13" s="1"/>
  <c r="N35" i="11"/>
  <c r="P35" i="11" s="1"/>
  <c r="N31" i="13"/>
  <c r="P31" i="13" s="1"/>
  <c r="N31" i="11"/>
  <c r="P31" i="11" s="1"/>
  <c r="N23" i="13"/>
  <c r="N23" i="11"/>
  <c r="J21" i="17"/>
  <c r="L21" i="17" s="1"/>
  <c r="P21" i="17" s="1"/>
  <c r="D88" i="16"/>
  <c r="L42" i="16"/>
  <c r="L43" i="16" s="1"/>
  <c r="J43" i="16"/>
  <c r="J186" i="12"/>
  <c r="L186" i="12" s="1"/>
  <c r="J182" i="12"/>
  <c r="L182" i="12" s="1"/>
  <c r="F193" i="14"/>
  <c r="F196" i="14" s="1"/>
  <c r="L157" i="14"/>
  <c r="L159" i="14" s="1"/>
  <c r="J159" i="14"/>
  <c r="J137" i="12"/>
  <c r="L137" i="12" s="1"/>
  <c r="J133" i="12"/>
  <c r="L133" i="12" s="1"/>
  <c r="N66" i="26"/>
  <c r="N82" i="26" s="1"/>
  <c r="N20" i="13"/>
  <c r="N20" i="11"/>
  <c r="P20" i="11" s="1"/>
  <c r="N15" i="13"/>
  <c r="N15" i="11"/>
  <c r="P15" i="11" s="1"/>
  <c r="J29" i="17"/>
  <c r="L29" i="17" s="1"/>
  <c r="P29" i="17" s="1"/>
  <c r="H44" i="18"/>
  <c r="J37" i="15"/>
  <c r="L37" i="15" s="1"/>
  <c r="P37" i="15" s="1"/>
  <c r="J33" i="15"/>
  <c r="L33" i="15" s="1"/>
  <c r="P33" i="15" s="1"/>
  <c r="D40" i="15"/>
  <c r="J20" i="15"/>
  <c r="L20" i="15" s="1"/>
  <c r="P20" i="15" s="1"/>
  <c r="J23" i="16"/>
  <c r="L11" i="16"/>
  <c r="L23" i="16" s="1"/>
  <c r="D193" i="14"/>
  <c r="D196" i="14" s="1"/>
  <c r="L134" i="14"/>
  <c r="L145" i="14" s="1"/>
  <c r="J145" i="14"/>
  <c r="J22" i="13"/>
  <c r="L22" i="13" s="1"/>
  <c r="P22" i="13" s="1"/>
  <c r="J123" i="12"/>
  <c r="L123" i="12" s="1"/>
  <c r="P108" i="11"/>
  <c r="P100" i="11"/>
  <c r="P78" i="13"/>
  <c r="H65" i="11"/>
  <c r="J61" i="11"/>
  <c r="P52" i="11"/>
  <c r="D58" i="11"/>
  <c r="F115" i="4"/>
  <c r="P26" i="11"/>
  <c r="P20" i="13"/>
  <c r="P12" i="13"/>
  <c r="P107" i="13"/>
  <c r="P99" i="13"/>
  <c r="D110" i="12"/>
  <c r="F117" i="4"/>
  <c r="H94" i="11"/>
  <c r="J82" i="11"/>
  <c r="P64" i="11"/>
  <c r="F65" i="11"/>
  <c r="P51" i="11"/>
  <c r="H46" i="12"/>
  <c r="J29" i="12"/>
  <c r="P25" i="11"/>
  <c r="P19" i="11"/>
  <c r="P15" i="13"/>
  <c r="H27" i="11"/>
  <c r="J11" i="11"/>
  <c r="J27" i="14"/>
  <c r="L11" i="14"/>
  <c r="L27" i="14" s="1"/>
  <c r="J110" i="11"/>
  <c r="L110" i="11" s="1"/>
  <c r="P110" i="11" s="1"/>
  <c r="J105" i="12"/>
  <c r="L105" i="12" s="1"/>
  <c r="J102" i="11"/>
  <c r="L102" i="11" s="1"/>
  <c r="P102" i="11" s="1"/>
  <c r="J97" i="12"/>
  <c r="L97" i="12" s="1"/>
  <c r="J93" i="13"/>
  <c r="L93" i="13" s="1"/>
  <c r="P93" i="13" s="1"/>
  <c r="J89" i="11"/>
  <c r="L89" i="11" s="1"/>
  <c r="J85" i="13"/>
  <c r="L85" i="13" s="1"/>
  <c r="J75" i="12"/>
  <c r="L75" i="12" s="1"/>
  <c r="H78" i="12"/>
  <c r="J67" i="12"/>
  <c r="J116" i="4"/>
  <c r="J82" i="4" s="1"/>
  <c r="J63" i="11"/>
  <c r="L63" i="11" s="1"/>
  <c r="P63" i="11" s="1"/>
  <c r="D64" i="12"/>
  <c r="J50" i="13"/>
  <c r="H58" i="13"/>
  <c r="J45" i="13"/>
  <c r="L45" i="13" s="1"/>
  <c r="P45" i="13" s="1"/>
  <c r="J40" i="12"/>
  <c r="L40" i="12" s="1"/>
  <c r="J37" i="13"/>
  <c r="L37" i="13" s="1"/>
  <c r="P37" i="13" s="1"/>
  <c r="J32" i="12"/>
  <c r="L32" i="12" s="1"/>
  <c r="F46" i="12"/>
  <c r="J17" i="12"/>
  <c r="L17" i="12" s="1"/>
  <c r="F27" i="11"/>
  <c r="J105" i="11"/>
  <c r="L105" i="11" s="1"/>
  <c r="P105" i="11" s="1"/>
  <c r="J101" i="13"/>
  <c r="L101" i="13" s="1"/>
  <c r="P101" i="13" s="1"/>
  <c r="H111" i="11"/>
  <c r="J97" i="11"/>
  <c r="H114" i="14"/>
  <c r="H196" i="14" s="1"/>
  <c r="J92" i="11"/>
  <c r="L92" i="11" s="1"/>
  <c r="P92" i="11" s="1"/>
  <c r="J87" i="12"/>
  <c r="L87" i="12" s="1"/>
  <c r="J84" i="11"/>
  <c r="L84" i="11" s="1"/>
  <c r="D94" i="11"/>
  <c r="J70" i="12"/>
  <c r="L70" i="12" s="1"/>
  <c r="H116" i="4"/>
  <c r="H82" i="4" s="1"/>
  <c r="F78" i="12"/>
  <c r="J62" i="13"/>
  <c r="L62" i="13" s="1"/>
  <c r="P62" i="13" s="1"/>
  <c r="J57" i="13"/>
  <c r="L57" i="13" s="1"/>
  <c r="P57" i="13" s="1"/>
  <c r="J53" i="11"/>
  <c r="L53" i="11" s="1"/>
  <c r="P53" i="11" s="1"/>
  <c r="F58" i="13"/>
  <c r="J44" i="11"/>
  <c r="L44" i="11" s="1"/>
  <c r="P44" i="11" s="1"/>
  <c r="J36" i="11"/>
  <c r="L36" i="11" s="1"/>
  <c r="P36" i="11" s="1"/>
  <c r="D47" i="13"/>
  <c r="J22" i="12"/>
  <c r="L22" i="12" s="1"/>
  <c r="J21" i="11"/>
  <c r="L21" i="11" s="1"/>
  <c r="P21" i="11" s="1"/>
  <c r="J13" i="11"/>
  <c r="L13" i="11" s="1"/>
  <c r="P13" i="11" s="1"/>
  <c r="D27" i="11"/>
  <c r="V184" i="4"/>
  <c r="I45" i="25"/>
  <c r="U30" i="25"/>
  <c r="H178" i="4"/>
  <c r="R149" i="4"/>
  <c r="R167" i="4" s="1"/>
  <c r="F149" i="4"/>
  <c r="H48" i="4"/>
  <c r="T43" i="4"/>
  <c r="V43" i="4" s="1"/>
  <c r="F153" i="4"/>
  <c r="V152" i="4"/>
  <c r="V153" i="4" s="1"/>
  <c r="U42" i="25"/>
  <c r="U42" i="2"/>
  <c r="H188" i="4"/>
  <c r="U26" i="25"/>
  <c r="R178" i="4"/>
  <c r="R210" i="4" s="1"/>
  <c r="E35" i="25"/>
  <c r="Q53" i="25"/>
  <c r="E53" i="25"/>
  <c r="U47" i="2"/>
  <c r="O48" i="25"/>
  <c r="O60" i="25" s="1"/>
  <c r="O66" i="25" s="1"/>
  <c r="O73" i="25" s="1"/>
  <c r="O22" i="25"/>
  <c r="T61" i="4"/>
  <c r="F65" i="4"/>
  <c r="U43" i="25"/>
  <c r="V182" i="4"/>
  <c r="F188" i="4"/>
  <c r="U34" i="25"/>
  <c r="O35" i="25"/>
  <c r="Q50" i="25"/>
  <c r="E50" i="25"/>
  <c r="H67" i="1"/>
  <c r="H70" i="1" s="1"/>
  <c r="H73" i="1" s="1"/>
  <c r="V187" i="4"/>
  <c r="I57" i="25"/>
  <c r="S56" i="25"/>
  <c r="U56" i="25" s="1"/>
  <c r="U18" i="25"/>
  <c r="V144" i="4"/>
  <c r="I53" i="25"/>
  <c r="S52" i="25"/>
  <c r="U52" i="25" s="1"/>
  <c r="U14" i="25"/>
  <c r="V140" i="4"/>
  <c r="T149" i="4"/>
  <c r="H149" i="4"/>
  <c r="H167" i="4" s="1"/>
  <c r="AE167" i="4" s="1"/>
  <c r="AE12" i="4" s="1"/>
  <c r="L56" i="1"/>
  <c r="N54" i="1"/>
  <c r="N56" i="1" s="1"/>
  <c r="N67" i="1" s="1"/>
  <c r="N70" i="1" s="1"/>
  <c r="N73" i="1" s="1"/>
  <c r="H78" i="4"/>
  <c r="L67" i="1" l="1"/>
  <c r="L70" i="1" s="1"/>
  <c r="L73" i="1" s="1"/>
  <c r="V165" i="4"/>
  <c r="U57" i="25"/>
  <c r="P210" i="4"/>
  <c r="G60" i="25"/>
  <c r="G66" i="25" s="1"/>
  <c r="G73" i="25" s="1"/>
  <c r="P167" i="4"/>
  <c r="C31" i="10"/>
  <c r="U30" i="3"/>
  <c r="V128" i="4"/>
  <c r="F167" i="4"/>
  <c r="X167" i="4" s="1"/>
  <c r="X12" i="4" s="1"/>
  <c r="T167" i="4"/>
  <c r="J167" i="4"/>
  <c r="AM167" i="4" s="1"/>
  <c r="AM12" i="4" s="1"/>
  <c r="AM16" i="4" s="1"/>
  <c r="AS16" i="4" s="1"/>
  <c r="AT16" i="4" s="1"/>
  <c r="V149" i="4"/>
  <c r="U50" i="25"/>
  <c r="U53" i="25"/>
  <c r="D91" i="16"/>
  <c r="L88" i="16"/>
  <c r="R217" i="22"/>
  <c r="H421" i="26"/>
  <c r="P421" i="26"/>
  <c r="N421" i="26"/>
  <c r="R418" i="26"/>
  <c r="R450" i="26"/>
  <c r="R172" i="26"/>
  <c r="R389" i="26"/>
  <c r="L450" i="26"/>
  <c r="H210" i="4"/>
  <c r="AE210" i="4" s="1"/>
  <c r="AE15" i="4" s="1"/>
  <c r="H114" i="11"/>
  <c r="P450" i="26"/>
  <c r="L219" i="26"/>
  <c r="N219" i="26"/>
  <c r="G22" i="10"/>
  <c r="H219" i="26"/>
  <c r="D219" i="26"/>
  <c r="F421" i="26"/>
  <c r="D453" i="26"/>
  <c r="R421" i="26"/>
  <c r="R219" i="26"/>
  <c r="L453" i="26"/>
  <c r="P453" i="26"/>
  <c r="T65" i="4"/>
  <c r="V61" i="4"/>
  <c r="V65" i="4" s="1"/>
  <c r="L82" i="11"/>
  <c r="J94" i="11"/>
  <c r="F83" i="4"/>
  <c r="V117" i="4"/>
  <c r="V83" i="4" s="1"/>
  <c r="F120" i="4"/>
  <c r="F81" i="4"/>
  <c r="V115" i="4"/>
  <c r="N73" i="13"/>
  <c r="P73" i="13" s="1"/>
  <c r="N73" i="11"/>
  <c r="P73" i="11" s="1"/>
  <c r="N111" i="11"/>
  <c r="F210" i="4"/>
  <c r="X210" i="4" s="1"/>
  <c r="J114" i="14"/>
  <c r="P14" i="13"/>
  <c r="L68" i="11"/>
  <c r="J79" i="11"/>
  <c r="D191" i="12"/>
  <c r="J176" i="12"/>
  <c r="L169" i="12"/>
  <c r="L176" i="12" s="1"/>
  <c r="N83" i="13"/>
  <c r="P83" i="13" s="1"/>
  <c r="N83" i="11"/>
  <c r="P83" i="11" s="1"/>
  <c r="N76" i="13"/>
  <c r="N76" i="11"/>
  <c r="N85" i="13"/>
  <c r="P85" i="13" s="1"/>
  <c r="N85" i="11"/>
  <c r="F453" i="26"/>
  <c r="AA106" i="7"/>
  <c r="U57" i="2"/>
  <c r="U63" i="2" s="1"/>
  <c r="U70" i="2" s="1"/>
  <c r="U74" i="2" s="1"/>
  <c r="P57" i="11"/>
  <c r="J111" i="13"/>
  <c r="L97" i="13"/>
  <c r="J120" i="4"/>
  <c r="J130" i="4" s="1"/>
  <c r="AM130" i="4" s="1"/>
  <c r="J81" i="4"/>
  <c r="J79" i="13"/>
  <c r="L68" i="13"/>
  <c r="J94" i="13"/>
  <c r="L82" i="13"/>
  <c r="F82" i="4"/>
  <c r="V116" i="4"/>
  <c r="V82" i="4" s="1"/>
  <c r="J143" i="12"/>
  <c r="L132" i="12"/>
  <c r="L143" i="12" s="1"/>
  <c r="N27" i="11"/>
  <c r="N453" i="26"/>
  <c r="N40" i="15"/>
  <c r="N59" i="15" s="1"/>
  <c r="Q108" i="7"/>
  <c r="AC76" i="7"/>
  <c r="V188" i="4"/>
  <c r="W11" i="10"/>
  <c r="W22" i="10" s="1"/>
  <c r="P17" i="13"/>
  <c r="P62" i="11"/>
  <c r="H113" i="12"/>
  <c r="P63" i="13"/>
  <c r="J93" i="12"/>
  <c r="L81" i="12"/>
  <c r="L93" i="12" s="1"/>
  <c r="N74" i="13"/>
  <c r="P74" i="13" s="1"/>
  <c r="N74" i="11"/>
  <c r="P74" i="11" s="1"/>
  <c r="AU28" i="5"/>
  <c r="AI31" i="5"/>
  <c r="L97" i="11"/>
  <c r="J111" i="11"/>
  <c r="J58" i="13"/>
  <c r="L50" i="13"/>
  <c r="J78" i="12"/>
  <c r="L67" i="12"/>
  <c r="L78" i="12" s="1"/>
  <c r="J27" i="11"/>
  <c r="L11" i="11"/>
  <c r="D113" i="12"/>
  <c r="J40" i="15"/>
  <c r="L27" i="15"/>
  <c r="N75" i="13"/>
  <c r="N75" i="11"/>
  <c r="P75" i="11" s="1"/>
  <c r="N111" i="13"/>
  <c r="N65" i="11"/>
  <c r="AN210" i="4"/>
  <c r="U12" i="10"/>
  <c r="X12" i="10" s="1"/>
  <c r="X22" i="10" s="1"/>
  <c r="P85" i="11"/>
  <c r="L60" i="12"/>
  <c r="L64" i="12" s="1"/>
  <c r="J64" i="12"/>
  <c r="F114" i="11"/>
  <c r="J56" i="16"/>
  <c r="L160" i="12"/>
  <c r="L166" i="12" s="1"/>
  <c r="J166" i="12"/>
  <c r="L43" i="15"/>
  <c r="J44" i="15"/>
  <c r="D59" i="15"/>
  <c r="J32" i="18"/>
  <c r="J44" i="18" s="1"/>
  <c r="S30" i="3"/>
  <c r="U51" i="25"/>
  <c r="P17" i="11"/>
  <c r="H120" i="4"/>
  <c r="H130" i="4" s="1"/>
  <c r="AE130" i="4" s="1"/>
  <c r="AE14" i="4" s="1"/>
  <c r="H81" i="4"/>
  <c r="H86" i="4" s="1"/>
  <c r="H88" i="4" s="1"/>
  <c r="AE88" i="4" s="1"/>
  <c r="AE10" i="4" s="1"/>
  <c r="H114" i="13"/>
  <c r="P41" i="13"/>
  <c r="P110" i="13"/>
  <c r="F114" i="13"/>
  <c r="J157" i="12"/>
  <c r="L155" i="12"/>
  <c r="L157" i="12" s="1"/>
  <c r="J24" i="17"/>
  <c r="L12" i="17"/>
  <c r="N27" i="13"/>
  <c r="F84" i="4"/>
  <c r="V118" i="4"/>
  <c r="V84" i="4" s="1"/>
  <c r="P40" i="13"/>
  <c r="P102" i="13"/>
  <c r="L47" i="15"/>
  <c r="J56" i="15"/>
  <c r="N32" i="13"/>
  <c r="N47" i="13" s="1"/>
  <c r="N32" i="11"/>
  <c r="J152" i="12"/>
  <c r="L146" i="12"/>
  <c r="L152" i="12" s="1"/>
  <c r="H91" i="16"/>
  <c r="J46" i="12"/>
  <c r="L29" i="12"/>
  <c r="L46" i="12" s="1"/>
  <c r="J188" i="12"/>
  <c r="L179" i="12"/>
  <c r="L188" i="12" s="1"/>
  <c r="N86" i="13"/>
  <c r="P86" i="13" s="1"/>
  <c r="N86" i="11"/>
  <c r="P86" i="11" s="1"/>
  <c r="X14" i="4"/>
  <c r="N77" i="13"/>
  <c r="P77" i="13" s="1"/>
  <c r="N77" i="11"/>
  <c r="P77" i="11" s="1"/>
  <c r="N82" i="13"/>
  <c r="N82" i="11"/>
  <c r="N91" i="13"/>
  <c r="P91" i="13" s="1"/>
  <c r="N91" i="11"/>
  <c r="P91" i="11" s="1"/>
  <c r="N87" i="13"/>
  <c r="P87" i="13" s="1"/>
  <c r="N87" i="11"/>
  <c r="P87" i="11" s="1"/>
  <c r="AS98" i="4"/>
  <c r="AC11" i="4"/>
  <c r="AS11" i="4" s="1"/>
  <c r="AT11" i="4" s="1"/>
  <c r="I60" i="25"/>
  <c r="I66" i="25" s="1"/>
  <c r="I73" i="25" s="1"/>
  <c r="P23" i="13"/>
  <c r="L49" i="12"/>
  <c r="L57" i="12" s="1"/>
  <c r="J57" i="12"/>
  <c r="J47" i="11"/>
  <c r="L30" i="11"/>
  <c r="L56" i="16"/>
  <c r="L91" i="16" s="1"/>
  <c r="R39" i="23"/>
  <c r="R55" i="23" s="1"/>
  <c r="R420" i="22"/>
  <c r="R452" i="22" s="1"/>
  <c r="AS118" i="5"/>
  <c r="U45" i="25"/>
  <c r="E60" i="25"/>
  <c r="E66" i="25" s="1"/>
  <c r="E73" i="25" s="1"/>
  <c r="U48" i="25"/>
  <c r="U35" i="25"/>
  <c r="J85" i="4"/>
  <c r="V119" i="4"/>
  <c r="V85" i="4" s="1"/>
  <c r="P101" i="11"/>
  <c r="P98" i="11"/>
  <c r="J47" i="13"/>
  <c r="L30" i="13"/>
  <c r="L193" i="14"/>
  <c r="N70" i="13"/>
  <c r="P70" i="13" s="1"/>
  <c r="N70" i="11"/>
  <c r="P70" i="11" s="1"/>
  <c r="U22" i="25"/>
  <c r="U58" i="25"/>
  <c r="T48" i="4"/>
  <c r="V40" i="4"/>
  <c r="V48" i="4" s="1"/>
  <c r="V178" i="4"/>
  <c r="P23" i="11"/>
  <c r="P75" i="13"/>
  <c r="P109" i="13"/>
  <c r="P14" i="11"/>
  <c r="P33" i="11"/>
  <c r="P54" i="11"/>
  <c r="P76" i="13"/>
  <c r="L10" i="12"/>
  <c r="L26" i="12" s="1"/>
  <c r="J26" i="12"/>
  <c r="D114" i="13"/>
  <c r="H59" i="15"/>
  <c r="N89" i="13"/>
  <c r="P89" i="13" s="1"/>
  <c r="N89" i="11"/>
  <c r="P89" i="11" s="1"/>
  <c r="N58" i="11"/>
  <c r="AU98" i="5"/>
  <c r="AU172" i="5"/>
  <c r="AS238" i="5"/>
  <c r="AU238" i="5" s="1"/>
  <c r="L61" i="11"/>
  <c r="J65" i="11"/>
  <c r="H193" i="12"/>
  <c r="L27" i="17"/>
  <c r="J30" i="17"/>
  <c r="J33" i="17" s="1"/>
  <c r="J88" i="16"/>
  <c r="J91" i="16" s="1"/>
  <c r="V108" i="4"/>
  <c r="T96" i="4"/>
  <c r="T98" i="4" s="1"/>
  <c r="V94" i="4"/>
  <c r="V96" i="4" s="1"/>
  <c r="V98" i="4" s="1"/>
  <c r="L114" i="14"/>
  <c r="P76" i="11"/>
  <c r="P98" i="13"/>
  <c r="J27" i="13"/>
  <c r="L11" i="13"/>
  <c r="J65" i="13"/>
  <c r="L61" i="13"/>
  <c r="N47" i="11"/>
  <c r="N90" i="13"/>
  <c r="P90" i="13" s="1"/>
  <c r="N90" i="11"/>
  <c r="P90" i="11" s="1"/>
  <c r="U55" i="25"/>
  <c r="O63" i="2"/>
  <c r="O70" i="2" s="1"/>
  <c r="W57" i="2"/>
  <c r="P32" i="11"/>
  <c r="P33" i="13"/>
  <c r="L50" i="11"/>
  <c r="J58" i="11"/>
  <c r="D114" i="11"/>
  <c r="L11" i="15"/>
  <c r="J24" i="15"/>
  <c r="J193" i="14"/>
  <c r="J196" i="14" s="1"/>
  <c r="H453" i="26"/>
  <c r="S60" i="25"/>
  <c r="S66" i="25" s="1"/>
  <c r="S73" i="25" s="1"/>
  <c r="T78" i="4"/>
  <c r="V70" i="4"/>
  <c r="V78" i="4" s="1"/>
  <c r="Q60" i="25"/>
  <c r="Q66" i="25" s="1"/>
  <c r="Q73" i="25" s="1"/>
  <c r="T210" i="4"/>
  <c r="P32" i="13"/>
  <c r="L96" i="12"/>
  <c r="L110" i="12" s="1"/>
  <c r="L113" i="12" s="1"/>
  <c r="J110" i="12"/>
  <c r="J113" i="12" s="1"/>
  <c r="P18" i="13"/>
  <c r="P41" i="11"/>
  <c r="J129" i="12"/>
  <c r="L117" i="12"/>
  <c r="L129" i="12" s="1"/>
  <c r="F113" i="12"/>
  <c r="F193" i="12" s="1"/>
  <c r="N84" i="13"/>
  <c r="P84" i="13" s="1"/>
  <c r="N84" i="11"/>
  <c r="P84" i="11" s="1"/>
  <c r="N58" i="13"/>
  <c r="N71" i="13"/>
  <c r="P71" i="13" s="1"/>
  <c r="N71" i="11"/>
  <c r="P71" i="11" s="1"/>
  <c r="AC76" i="6"/>
  <c r="AC108" i="6" s="1"/>
  <c r="Q108" i="6"/>
  <c r="AO118" i="5"/>
  <c r="AO253" i="5" s="1"/>
  <c r="AS167" i="4" l="1"/>
  <c r="U77" i="25"/>
  <c r="AE20" i="4"/>
  <c r="AE23" i="4" s="1"/>
  <c r="V167" i="4"/>
  <c r="V168" i="4" s="1"/>
  <c r="V210" i="4"/>
  <c r="V211" i="4" s="1"/>
  <c r="R453" i="26"/>
  <c r="P11" i="15"/>
  <c r="P24" i="15" s="1"/>
  <c r="L24" i="15"/>
  <c r="P61" i="13"/>
  <c r="P65" i="13" s="1"/>
  <c r="L65" i="13"/>
  <c r="AT98" i="4"/>
  <c r="V99" i="4"/>
  <c r="N79" i="11"/>
  <c r="L196" i="14"/>
  <c r="U60" i="25"/>
  <c r="U66" i="25" s="1"/>
  <c r="U73" i="25" s="1"/>
  <c r="P30" i="11"/>
  <c r="P47" i="11" s="1"/>
  <c r="L47" i="11"/>
  <c r="P11" i="11"/>
  <c r="P27" i="11" s="1"/>
  <c r="L27" i="11"/>
  <c r="P97" i="11"/>
  <c r="P111" i="11" s="1"/>
  <c r="L111" i="11"/>
  <c r="P68" i="13"/>
  <c r="P79" i="13" s="1"/>
  <c r="L79" i="13"/>
  <c r="L111" i="13"/>
  <c r="P97" i="13"/>
  <c r="P111" i="13" s="1"/>
  <c r="D193" i="12"/>
  <c r="V120" i="4"/>
  <c r="V130" i="4" s="1"/>
  <c r="V81" i="4"/>
  <c r="V86" i="4" s="1"/>
  <c r="V88" i="4" s="1"/>
  <c r="AS12" i="4"/>
  <c r="AT12" i="4" s="1"/>
  <c r="V212" i="4"/>
  <c r="P30" i="13"/>
  <c r="P47" i="13" s="1"/>
  <c r="L47" i="13"/>
  <c r="N94" i="11"/>
  <c r="N114" i="11" s="1"/>
  <c r="J59" i="15"/>
  <c r="L40" i="15"/>
  <c r="P27" i="15"/>
  <c r="P40" i="15" s="1"/>
  <c r="P50" i="13"/>
  <c r="P58" i="13" s="1"/>
  <c r="L58" i="13"/>
  <c r="U22" i="10"/>
  <c r="U31" i="10" s="1"/>
  <c r="S42" i="10" s="1"/>
  <c r="L94" i="13"/>
  <c r="P82" i="13"/>
  <c r="P94" i="13" s="1"/>
  <c r="J114" i="13"/>
  <c r="AA108" i="7"/>
  <c r="AC106" i="7"/>
  <c r="N79" i="13"/>
  <c r="F86" i="4"/>
  <c r="F88" i="4" s="1"/>
  <c r="P11" i="13"/>
  <c r="P27" i="13" s="1"/>
  <c r="L27" i="13"/>
  <c r="P61" i="11"/>
  <c r="P65" i="11" s="1"/>
  <c r="L65" i="11"/>
  <c r="N94" i="13"/>
  <c r="L191" i="12"/>
  <c r="L193" i="12" s="1"/>
  <c r="L56" i="15"/>
  <c r="P47" i="15"/>
  <c r="P56" i="15" s="1"/>
  <c r="P59" i="15" s="1"/>
  <c r="P12" i="17"/>
  <c r="P24" i="17" s="1"/>
  <c r="L24" i="17"/>
  <c r="L44" i="15"/>
  <c r="P43" i="15"/>
  <c r="P44" i="15" s="1"/>
  <c r="N114" i="13"/>
  <c r="AU31" i="5"/>
  <c r="AI118" i="5"/>
  <c r="J86" i="4"/>
  <c r="J88" i="4" s="1"/>
  <c r="AM88" i="4" s="1"/>
  <c r="AM10" i="4" s="1"/>
  <c r="AM20" i="4" s="1"/>
  <c r="P68" i="11"/>
  <c r="P79" i="11" s="1"/>
  <c r="L79" i="11"/>
  <c r="AC130" i="4"/>
  <c r="F130" i="4"/>
  <c r="P82" i="11"/>
  <c r="P94" i="11" s="1"/>
  <c r="L94" i="11"/>
  <c r="P50" i="11"/>
  <c r="P58" i="11" s="1"/>
  <c r="L58" i="11"/>
  <c r="L30" i="17"/>
  <c r="L33" i="17" s="1"/>
  <c r="P27" i="17"/>
  <c r="P30" i="17" s="1"/>
  <c r="P33" i="17" s="1"/>
  <c r="T88" i="4"/>
  <c r="AS253" i="5"/>
  <c r="J191" i="12"/>
  <c r="J193" i="12" s="1"/>
  <c r="J114" i="11"/>
  <c r="AC108" i="7"/>
  <c r="AS210" i="4"/>
  <c r="AT210" i="4" s="1"/>
  <c r="X15" i="4"/>
  <c r="AS15" i="4" s="1"/>
  <c r="AT15" i="4" s="1"/>
  <c r="AT167" i="4" l="1"/>
  <c r="P114" i="11"/>
  <c r="V131" i="4"/>
  <c r="V89" i="4"/>
  <c r="V90" i="4"/>
  <c r="P114" i="13"/>
  <c r="L114" i="11"/>
  <c r="L114" i="13"/>
  <c r="AC14" i="4"/>
  <c r="AS14" i="4" s="1"/>
  <c r="AT14" i="4" s="1"/>
  <c r="AS130" i="4"/>
  <c r="AT130" i="4" s="1"/>
  <c r="AI253" i="5"/>
  <c r="AU253" i="5" s="1"/>
  <c r="AU118" i="5"/>
  <c r="L59" i="15"/>
  <c r="AC107" i="4"/>
  <c r="AS107" i="4" s="1"/>
  <c r="AT107" i="4" s="1"/>
  <c r="AC88" i="4"/>
  <c r="X20" i="4"/>
  <c r="X23" i="4" s="1"/>
  <c r="AC10" i="4" l="1"/>
  <c r="AS88" i="4"/>
  <c r="AT88" i="4" s="1"/>
  <c r="AC13" i="4" l="1"/>
  <c r="AS13" i="4" s="1"/>
  <c r="AT13" i="4" s="1"/>
  <c r="AS10" i="4"/>
  <c r="AT10" i="4" s="1"/>
  <c r="AC20" i="4" l="1"/>
  <c r="AC23" i="4" s="1"/>
</calcChain>
</file>

<file path=xl/sharedStrings.xml><?xml version="1.0" encoding="utf-8"?>
<sst xmlns="http://schemas.openxmlformats.org/spreadsheetml/2006/main" count="5937" uniqueCount="4035">
  <si>
    <t>KENTUCKY UTILITIES COMPANY</t>
  </si>
  <si>
    <t>SUMMARY OF UTILITY PLANT - REGULATORY ACCOUNTING</t>
  </si>
  <si>
    <t>Beginning</t>
  </si>
  <si>
    <t>Transfers/</t>
  </si>
  <si>
    <t>Ending</t>
  </si>
  <si>
    <t>Balance</t>
  </si>
  <si>
    <t>Additions</t>
  </si>
  <si>
    <t>Retirements</t>
  </si>
  <si>
    <t>Adjustments</t>
  </si>
  <si>
    <t>Net Additions</t>
  </si>
  <si>
    <t>UTILITY PLANT IN SERVICE</t>
  </si>
  <si>
    <t>Electric</t>
  </si>
  <si>
    <t>Electric Distribution</t>
  </si>
  <si>
    <t>Electric General Plant</t>
  </si>
  <si>
    <t>Electric Hydro Production</t>
  </si>
  <si>
    <t>Electric Intangible Plant</t>
  </si>
  <si>
    <t>Electric Other Production</t>
  </si>
  <si>
    <t>Electric Steam Production</t>
  </si>
  <si>
    <t>Electric Transmission</t>
  </si>
  <si>
    <t>Total 101 Accounts</t>
  </si>
  <si>
    <t>ELECTRIC PLANT PURCHASED OR SOLD</t>
  </si>
  <si>
    <t>Electric Steam</t>
  </si>
  <si>
    <t>Total 102001</t>
  </si>
  <si>
    <t>PLANT HELD FOR FUTURE USE</t>
  </si>
  <si>
    <t>Total 105001</t>
  </si>
  <si>
    <t>COMPLETED CONSTRUCTION NOT CLASSIFIED</t>
  </si>
  <si>
    <t>Total 106 Accounts</t>
  </si>
  <si>
    <t>NONUTILITY PROPERTY</t>
  </si>
  <si>
    <t>Common</t>
  </si>
  <si>
    <t>Non Utility Property</t>
  </si>
  <si>
    <t>Total 121001</t>
  </si>
  <si>
    <t>CONSTRUCTION WORK IN PROGRESS</t>
  </si>
  <si>
    <t>Total 107001</t>
  </si>
  <si>
    <t>Total Plant (Non-CWIP)</t>
  </si>
  <si>
    <t>Total Plant + CWIP</t>
  </si>
  <si>
    <t>Total Plant + CWIP - Non Utiltity (BS)</t>
  </si>
  <si>
    <t xml:space="preserve"> </t>
  </si>
  <si>
    <t>ARO</t>
  </si>
  <si>
    <t>RWIP</t>
  </si>
  <si>
    <t>Accruals</t>
  </si>
  <si>
    <t>Settlements</t>
  </si>
  <si>
    <t>Transfers Out</t>
  </si>
  <si>
    <t>Cost of Removal</t>
  </si>
  <si>
    <t>Salvage</t>
  </si>
  <si>
    <t>Other Credits</t>
  </si>
  <si>
    <t>LIFE RESERVE</t>
  </si>
  <si>
    <t>Electric Distribution - ARO</t>
  </si>
  <si>
    <t>Electric Hydro Production - ARO</t>
  </si>
  <si>
    <t>Electric Other Production - ARO</t>
  </si>
  <si>
    <t>Electric Steam Production - ARO</t>
  </si>
  <si>
    <t>Electric Transmission - ARO</t>
  </si>
  <si>
    <t>COST OF REMOVAL</t>
  </si>
  <si>
    <t>SALVAGE</t>
  </si>
  <si>
    <t>TOTAL RESERVES</t>
  </si>
  <si>
    <t>RETIREMENT WORK IN PROGRESS</t>
  </si>
  <si>
    <t>YTD ACTIVITY</t>
  </si>
  <si>
    <t>AMORTIZATION</t>
  </si>
  <si>
    <t>Depreciation &amp; Amortization Total</t>
  </si>
  <si>
    <t>Utility Plant at Original Cost Less Reserve for</t>
  </si>
  <si>
    <t xml:space="preserve">  Depreciation &amp; Amortization (Excl nonutility)</t>
  </si>
  <si>
    <t>RWIP BY G/L ACCOUNT - REGULATORY ACCOUNTING</t>
  </si>
  <si>
    <t>RWIP ACCOUNT 108099</t>
  </si>
  <si>
    <t>RWIP ACCOUNT 108799</t>
  </si>
  <si>
    <t>RWIP ACCOUNT 108901</t>
  </si>
  <si>
    <t>TOTAL RWIP</t>
  </si>
  <si>
    <t>VARIANCE</t>
  </si>
  <si>
    <t>SUMMARY OF CHANGES FOR CASH FLOW STATEMENT - REGULATORY</t>
  </si>
  <si>
    <t>Non-Cash Changes</t>
  </si>
  <si>
    <t>Cash Changes</t>
  </si>
  <si>
    <t>Beginning Balance</t>
  </si>
  <si>
    <t>Ending Balance</t>
  </si>
  <si>
    <t>Depreciation/ Amortization Expense (403)</t>
  </si>
  <si>
    <t>Depreciation/ Amortization Expense (403) (PA-Pension)</t>
  </si>
  <si>
    <t>ARO Depr Total Activity (403)</t>
  </si>
  <si>
    <t>ARO 254 Activity (Parent COR)</t>
  </si>
  <si>
    <t>ARO Accretion</t>
  </si>
  <si>
    <t>Unitizations</t>
  </si>
  <si>
    <t>Pension 107001 (PA)</t>
  </si>
  <si>
    <t>Retirements    (FIN BOOKS)</t>
  </si>
  <si>
    <t>Retirements    (PA BOOKS)</t>
  </si>
  <si>
    <t>Gains/(Losses)</t>
  </si>
  <si>
    <t>ARO Settlements (Gross)</t>
  </si>
  <si>
    <t>ARO Revaluation/ Addtions (Gross)</t>
  </si>
  <si>
    <t>Transfer from 101 and 108 to 182 (Gross)</t>
  </si>
  <si>
    <t>ARO Transfers</t>
  </si>
  <si>
    <t>Purchase Acct Netting - Net Book Value</t>
  </si>
  <si>
    <t>Other Misc Transfers</t>
  </si>
  <si>
    <t>Other - Non Depr Exp/Change</t>
  </si>
  <si>
    <t>RWIP - CCR</t>
  </si>
  <si>
    <t>CWIP Spend</t>
  </si>
  <si>
    <t>Net Change in Account</t>
  </si>
  <si>
    <t>Difference</t>
  </si>
  <si>
    <t>Property, plant and equipment:</t>
  </si>
  <si>
    <t>Regulated utility plant - electric</t>
  </si>
  <si>
    <t>Nonregulated plant</t>
  </si>
  <si>
    <t>Accumulated depreciation</t>
  </si>
  <si>
    <t>CWIP</t>
  </si>
  <si>
    <t>Other long-term intangibles</t>
  </si>
  <si>
    <t>Accumulated cost of removal of utility plant</t>
  </si>
  <si>
    <t>Regulatory Assets-Noncurrent- ARO</t>
  </si>
  <si>
    <t>Current ARO Liability</t>
  </si>
  <si>
    <t>ARO Liability</t>
  </si>
  <si>
    <t>Check</t>
  </si>
  <si>
    <t>Note:</t>
  </si>
  <si>
    <t>Other long-term intangibles include accounts beginning with 101, 108, and 111</t>
  </si>
  <si>
    <t>Current ARO Liability includes accounts:  230022.</t>
  </si>
  <si>
    <t>Other balance sheet accounts affected (per Recon Depr Exp to IS)</t>
  </si>
  <si>
    <t>Fuel (151061)</t>
  </si>
  <si>
    <t>Other current assets (184315)</t>
  </si>
  <si>
    <t>254XXX ARO Regulatory Liability</t>
  </si>
  <si>
    <t>nets to zero (b/s to b/s entry)</t>
  </si>
  <si>
    <t>Less: - Intangibles</t>
  </si>
  <si>
    <t>330.10</t>
  </si>
  <si>
    <t>Electric Intang</t>
  </si>
  <si>
    <t>340.10</t>
  </si>
  <si>
    <t>350.10</t>
  </si>
  <si>
    <t>360.10</t>
  </si>
  <si>
    <t>302.00</t>
  </si>
  <si>
    <t>Franchise and Consent</t>
  </si>
  <si>
    <t>Total Intangibles</t>
  </si>
  <si>
    <t>Intangibles - Cost</t>
  </si>
  <si>
    <t>Intangibles - Depreciation</t>
  </si>
  <si>
    <t>Plus:</t>
  </si>
  <si>
    <t>Accumulated Depreciation</t>
  </si>
  <si>
    <t>Less:</t>
  </si>
  <si>
    <t>Plus</t>
  </si>
  <si>
    <t>REGULATORY LIABILITY ARO - GENERATION</t>
  </si>
  <si>
    <t>Addition</t>
  </si>
  <si>
    <t>DETAIL OF TRANSFERS - REGULATORY ACCOUNTING</t>
  </si>
  <si>
    <t>Adjustment</t>
  </si>
  <si>
    <t>Transfer</t>
  </si>
  <si>
    <t>N/A</t>
  </si>
  <si>
    <t>JAN-2016</t>
  </si>
  <si>
    <t>FEB-2016</t>
  </si>
  <si>
    <t>APRIL 2016 (A)</t>
  </si>
  <si>
    <t>APRIL 2016 (B)</t>
  </si>
  <si>
    <t>MAY 2016 (A)</t>
  </si>
  <si>
    <t>MAY-2016 (B)</t>
  </si>
  <si>
    <t>JUNE</t>
  </si>
  <si>
    <t>JUNE (B)</t>
  </si>
  <si>
    <t>JULY (A)</t>
  </si>
  <si>
    <t>JULY (B)</t>
  </si>
  <si>
    <t>AUGUST</t>
  </si>
  <si>
    <t>SEPTEMBER</t>
  </si>
  <si>
    <t>OCTOBER</t>
  </si>
  <si>
    <t>NOVEMBER (A)</t>
  </si>
  <si>
    <t>NOVEMBER (B)</t>
  </si>
  <si>
    <t>DECEMBER (A)</t>
  </si>
  <si>
    <t>DECEMBER (B)</t>
  </si>
  <si>
    <t>Total</t>
  </si>
  <si>
    <t>Summary</t>
  </si>
  <si>
    <t>Transfers</t>
  </si>
  <si>
    <t>FERC FORM 1 COLUMN CLASSIFICATION:</t>
  </si>
  <si>
    <t>E360.10-Land Rights</t>
  </si>
  <si>
    <t>E360.20-Land</t>
  </si>
  <si>
    <t>E361.00-Structures and Improvements</t>
  </si>
  <si>
    <t>E362.00-Station Equipment</t>
  </si>
  <si>
    <t>E364.00-Poles, Towers, and Fixtures</t>
  </si>
  <si>
    <t>E365.00-OH Conductors and Devices</t>
  </si>
  <si>
    <t>E366.00-Underground Conduit</t>
  </si>
  <si>
    <t>E367.00-UG Conductors and Devices</t>
  </si>
  <si>
    <t>E368.00-Line Transformers</t>
  </si>
  <si>
    <t>E369.00-Services</t>
  </si>
  <si>
    <t>E370.00-Meters</t>
  </si>
  <si>
    <t>E370.01-Meters AMS</t>
  </si>
  <si>
    <t>E371.00-Install on Customer Premise</t>
  </si>
  <si>
    <t>E373.00-Street Lighting / Signal Sy</t>
  </si>
  <si>
    <t>E374.05-ARO Cost Elec Dist (L/B)</t>
  </si>
  <si>
    <t>E374.07-ARO Cost Elec Dist (Eqp)</t>
  </si>
  <si>
    <t>Total Distribution 101</t>
  </si>
  <si>
    <t>E389.20-Land</t>
  </si>
  <si>
    <t>E390.10-Structures and Improvements</t>
  </si>
  <si>
    <t>E390.20-Improvements to Leased Property</t>
  </si>
  <si>
    <t>E391.10-Office Equipment</t>
  </si>
  <si>
    <t>E391.20-Non PC Computer Equipment</t>
  </si>
  <si>
    <t>E391.30-Cash Processing Equipment</t>
  </si>
  <si>
    <t>E391.31-Personal Computers</t>
  </si>
  <si>
    <t>E392.00-Cars and Light Trucks</t>
  </si>
  <si>
    <t>E392.10-Heavy Trucks and Other</t>
  </si>
  <si>
    <t>E393.00-Stores Equipment</t>
  </si>
  <si>
    <t>E394.00-Tools, Shop, and Garage Equ</t>
  </si>
  <si>
    <t>E395.00-Laboratory Equipment</t>
  </si>
  <si>
    <t>E396.00-Power Operated Equipment</t>
  </si>
  <si>
    <t>E397.00-Comm Equip Microwave</t>
  </si>
  <si>
    <t>E397.10-Comm Equip General</t>
  </si>
  <si>
    <t>E397.20-DSM Communication Equipment</t>
  </si>
  <si>
    <t>E398.00-Miscellaneous Equipment</t>
  </si>
  <si>
    <t>Total General Plant 101</t>
  </si>
  <si>
    <t>E330.10-Land Rights</t>
  </si>
  <si>
    <t>E331.00-Structures and Improvements</t>
  </si>
  <si>
    <t>E332.00-Reservoirs, Dams, and Water</t>
  </si>
  <si>
    <t>E333.00-Water Wheels, Turbines, Gen</t>
  </si>
  <si>
    <t>E334.00-Accessory Electric Equipmen</t>
  </si>
  <si>
    <t>E335.00-Misc Power Plant Equipment</t>
  </si>
  <si>
    <t>E336.00-Roads, Railroads, and Bridg</t>
  </si>
  <si>
    <t>E337.07-ARO Cost Hydro Prod (Eqp)</t>
  </si>
  <si>
    <t>Total Hydro 101</t>
  </si>
  <si>
    <t>E301.00-Organization</t>
  </si>
  <si>
    <t>E302.00-Franchises and Consents</t>
  </si>
  <si>
    <t>E303.00-Misc Intangible Plant</t>
  </si>
  <si>
    <t>E303.10-CCS Software</t>
  </si>
  <si>
    <t>Total Intangible 101</t>
  </si>
  <si>
    <t>E340.10-Land Rights</t>
  </si>
  <si>
    <t>E340.20-Land</t>
  </si>
  <si>
    <t>E341.00-Structures and Improvements</t>
  </si>
  <si>
    <t>E342.00-Fuel Holders, Producers, Ac</t>
  </si>
  <si>
    <t>E342.01-AROP Fuel Holders, Prod, Ac</t>
  </si>
  <si>
    <t>E343.00-Prime Movers</t>
  </si>
  <si>
    <t>E344.00-Generators</t>
  </si>
  <si>
    <t>E345.00-Accessory Electric Equipmen</t>
  </si>
  <si>
    <t>E345.01-AROP Accessory Electric Equipmen</t>
  </si>
  <si>
    <t>E346.00-Misc Power Plant Equipment</t>
  </si>
  <si>
    <t>E347.07-ARO Cost Other Prod (Eqp)</t>
  </si>
  <si>
    <t>Total Other Production 101</t>
  </si>
  <si>
    <t>E310.20-Land</t>
  </si>
  <si>
    <t>E311.00-Structures and Improvements</t>
  </si>
  <si>
    <t xml:space="preserve">E311.01-AROP Structures and Improv </t>
  </si>
  <si>
    <t>E312.00-Boiler Plant Equipment</t>
  </si>
  <si>
    <t>E312.01-AROP Boiler Plant Equipment</t>
  </si>
  <si>
    <t>E314.00-Turbogenerator Units</t>
  </si>
  <si>
    <t>E314.01-AROP Turbogenerator Units</t>
  </si>
  <si>
    <t>E315.00-Accessory Electric Equipmen</t>
  </si>
  <si>
    <t>E315.01-AROP Accessory Electric Equipmen</t>
  </si>
  <si>
    <t>E316.00-Misc Power Plant Equip</t>
  </si>
  <si>
    <t>E317.07-ARO Cost Steam (Eqp)</t>
  </si>
  <si>
    <t>E317.08-ARO Cost Steam (CCR)</t>
  </si>
  <si>
    <t>Total Steam Production 101</t>
  </si>
  <si>
    <t>E350.10-Land Rights</t>
  </si>
  <si>
    <t>E350.20-Land</t>
  </si>
  <si>
    <t>E352.10-Struct &amp; Imp-Non Sys Contro</t>
  </si>
  <si>
    <t>E352.20-Struct &amp; Imp-Sys Control/Co</t>
  </si>
  <si>
    <t>E353.10-Station Equipment - Non Sys</t>
  </si>
  <si>
    <t>E353.11-AROP Station Equip Non Sys</t>
  </si>
  <si>
    <t>E353.20-Station Equip-Sys Control</t>
  </si>
  <si>
    <t>E354.00-Towers and Fixtures</t>
  </si>
  <si>
    <t>E355.00-Poles and Fixtures</t>
  </si>
  <si>
    <t>E356.00-OH Conductors and Devices</t>
  </si>
  <si>
    <t>E357.00-Underground Conduit</t>
  </si>
  <si>
    <t>E358.00-UG Conductors and Devices</t>
  </si>
  <si>
    <t>E359.15-ARO Cost Transm (L/B)</t>
  </si>
  <si>
    <t>E359.17-ARO Cost Transm (Eqp)</t>
  </si>
  <si>
    <t>Total Transmission 101</t>
  </si>
  <si>
    <t>PLANT PURCHASED AND SOLD</t>
  </si>
  <si>
    <t>Total 102 Accounts</t>
  </si>
  <si>
    <t>Total Distribution 106</t>
  </si>
  <si>
    <t>Total General Plant 106</t>
  </si>
  <si>
    <t>Total Hydro 106</t>
  </si>
  <si>
    <t>Total Intangible 106</t>
  </si>
  <si>
    <t>Total Other Production 106</t>
  </si>
  <si>
    <t>Total Steam Production 106</t>
  </si>
  <si>
    <t>Total Transmission 106</t>
  </si>
  <si>
    <t>Net Transfers</t>
  </si>
  <si>
    <t>Jan-2016</t>
  </si>
  <si>
    <t>Reserve Adjustments Between COR and SAL</t>
  </si>
  <si>
    <t>Feb 2016</t>
  </si>
  <si>
    <t>Transfer between plant accounts.</t>
  </si>
  <si>
    <t>April 2016 (A)</t>
  </si>
  <si>
    <t>April 2016 (B)</t>
  </si>
  <si>
    <t>Vehicle Sale</t>
  </si>
  <si>
    <t>Transfer of London #3 Distribution Substation from Plant in Service to Plant Held for Future Use</t>
  </si>
  <si>
    <t>MAY 2016 (B)</t>
  </si>
  <si>
    <t>JUNE (A)</t>
  </si>
  <si>
    <t>EWB 3 Land from KU to LGE for Brown Solar</t>
  </si>
  <si>
    <t>ARO Revaluation of Ghent Landfill</t>
  </si>
  <si>
    <t xml:space="preserve">ARO CCR Transfer </t>
  </si>
  <si>
    <t>ARO Revaluation of Landfills and Ponds</t>
  </si>
  <si>
    <t xml:space="preserve">OCTOBER </t>
  </si>
  <si>
    <t>ARO Revaluation</t>
  </si>
  <si>
    <t>DECEMBER</t>
  </si>
  <si>
    <t>DSM write off</t>
  </si>
  <si>
    <t>DETAIL OF TRANSFERS - REGULATORY ACCOUNTING - VIRGINIA</t>
  </si>
  <si>
    <t>Transfer between Accounts</t>
  </si>
  <si>
    <t>DETAIL OF TRANSFERS - REGULATORY ACCOUNTING - TENNESSEE</t>
  </si>
  <si>
    <t>Land and Vehicle Retirements- 2016</t>
  </si>
  <si>
    <t>Land Cost</t>
  </si>
  <si>
    <t>Unplanned</t>
  </si>
  <si>
    <t>Actual Cash</t>
  </si>
  <si>
    <t>Booked</t>
  </si>
  <si>
    <t>Vehicles NBV</t>
  </si>
  <si>
    <t>Depreciation</t>
  </si>
  <si>
    <t>(Gain)/Loss</t>
  </si>
  <si>
    <t>Received</t>
  </si>
  <si>
    <t>to GL (Y/N)</t>
  </si>
  <si>
    <t>Vehicle Auction (150387)</t>
  </si>
  <si>
    <t>Y</t>
  </si>
  <si>
    <t>Grand Total</t>
  </si>
  <si>
    <t>Amounts in the cost column for land/vehicles represents the undepreciated balance on the vehicles.</t>
  </si>
  <si>
    <t>KENTUCKY UTILITIIES COMPANY</t>
  </si>
  <si>
    <t>CWIP SPEND - YTD - REGULATORY ACCOUNTING</t>
  </si>
  <si>
    <t>Project Number</t>
  </si>
  <si>
    <t>Project Description</t>
  </si>
  <si>
    <t>001KU16</t>
  </si>
  <si>
    <t>Access Switch Rotation-KU16</t>
  </si>
  <si>
    <t>002KU15</t>
  </si>
  <si>
    <t>Aligne Fuels Reports-KU15</t>
  </si>
  <si>
    <t>002KU16</t>
  </si>
  <si>
    <t>Analog Sunset-KU16</t>
  </si>
  <si>
    <t>003KU15</t>
  </si>
  <si>
    <t>Aligne Upgrade-KU15</t>
  </si>
  <si>
    <t>004KU14</t>
  </si>
  <si>
    <t>Call Center-Route&amp;Report-KU14</t>
  </si>
  <si>
    <t>004KU15</t>
  </si>
  <si>
    <t>Analog Sunset Yr 2/3-KU15</t>
  </si>
  <si>
    <t>005KU14</t>
  </si>
  <si>
    <t>Cust Comm-text, apps-KU14</t>
  </si>
  <si>
    <t>006KU15</t>
  </si>
  <si>
    <t>Bulk Power &amp; Env Systems-KU15</t>
  </si>
  <si>
    <t>006KU16</t>
  </si>
  <si>
    <t>Bulk Power &amp; Env Systems-KU16</t>
  </si>
  <si>
    <t>007KU16</t>
  </si>
  <si>
    <t>Cabling Server Connect-KU16</t>
  </si>
  <si>
    <t>009KU16</t>
  </si>
  <si>
    <t>CERUS IV-KU16</t>
  </si>
  <si>
    <t>011KU15</t>
  </si>
  <si>
    <t>CIP Compl Year 5-KU15</t>
  </si>
  <si>
    <t>011KU16</t>
  </si>
  <si>
    <t>CIP Compl Year 6-KU16</t>
  </si>
  <si>
    <t>012KU15</t>
  </si>
  <si>
    <t>CIP Compl Tools - Year 5-KU15</t>
  </si>
  <si>
    <t>012KU16</t>
  </si>
  <si>
    <t>CIP Compl Tools - Year 6-KU16</t>
  </si>
  <si>
    <t>013KU16</t>
  </si>
  <si>
    <t>Core Network Infra-KU16</t>
  </si>
  <si>
    <t>017KU16</t>
  </si>
  <si>
    <t>Electric Insp Enhan-KU16</t>
  </si>
  <si>
    <t>019KU15</t>
  </si>
  <si>
    <t>Design Tool Repl (WIM)-KU15</t>
  </si>
  <si>
    <t>021KU15</t>
  </si>
  <si>
    <t>Electric Insp Enhan-KU15</t>
  </si>
  <si>
    <t>021KU16</t>
  </si>
  <si>
    <t>Further app virt build-KU16</t>
  </si>
  <si>
    <t>023KU16</t>
  </si>
  <si>
    <t>IT Security Infrast-KU16</t>
  </si>
  <si>
    <t>024KU15</t>
  </si>
  <si>
    <t>Further app virt build-KU15</t>
  </si>
  <si>
    <t>025KU16</t>
  </si>
  <si>
    <t>Lville Electrical Upgr-KU16</t>
  </si>
  <si>
    <t>026KU15</t>
  </si>
  <si>
    <t>GIS Enhance and Upgr-KU15</t>
  </si>
  <si>
    <t>026KU16</t>
  </si>
  <si>
    <t>Lville Racks &amp; Furn-KU16</t>
  </si>
  <si>
    <t>029KU16</t>
  </si>
  <si>
    <t>Microsoft Lic True-up-KU16</t>
  </si>
  <si>
    <t>031KU16</t>
  </si>
  <si>
    <t>Mobile Infrastructure-KU16</t>
  </si>
  <si>
    <t>032KU14</t>
  </si>
  <si>
    <t>Vulnerability Scanning-KU14</t>
  </si>
  <si>
    <t>032KU16</t>
  </si>
  <si>
    <t>Mobile Radio-KU16</t>
  </si>
  <si>
    <t>033KU16</t>
  </si>
  <si>
    <t>Mble Rad Syst Replace-KU16</t>
  </si>
  <si>
    <t>034KU16</t>
  </si>
  <si>
    <t>Multi-Fun Dev Grow&amp;Ref-KU16</t>
  </si>
  <si>
    <t>036KU15</t>
  </si>
  <si>
    <t>Lville Racks &amp; Furn-KU15</t>
  </si>
  <si>
    <t>037KU16</t>
  </si>
  <si>
    <t>Ntwrk Acc Dev&amp;Site Infra-KU16</t>
  </si>
  <si>
    <t>038KU14</t>
  </si>
  <si>
    <t>Ghent Alt Trans Ser-KU14</t>
  </si>
  <si>
    <t>038KU15</t>
  </si>
  <si>
    <t>Microsoft Lic True-up-KU15</t>
  </si>
  <si>
    <t>038KU16</t>
  </si>
  <si>
    <t>Ntwrk Acc Dev &amp; Gate-KU16</t>
  </si>
  <si>
    <t>039KU16</t>
  </si>
  <si>
    <t>Network Management-KU16</t>
  </si>
  <si>
    <t>040KU16</t>
  </si>
  <si>
    <t>Network Test Equipment-KU16</t>
  </si>
  <si>
    <t>041KU15</t>
  </si>
  <si>
    <t>Mobile Radio-KU15</t>
  </si>
  <si>
    <t>042KU15</t>
  </si>
  <si>
    <t>Mble Rad Syst RepYr 1/2-KU15</t>
  </si>
  <si>
    <t>043KU16</t>
  </si>
  <si>
    <t>Original SW Upgrade-KU16</t>
  </si>
  <si>
    <t>044KU16</t>
  </si>
  <si>
    <t>Outside Cable Plant-KU16</t>
  </si>
  <si>
    <t>046KU16</t>
  </si>
  <si>
    <t>Pers Product Grow &amp; Ref-KU16</t>
  </si>
  <si>
    <t>047KU16</t>
  </si>
  <si>
    <t>Phone Expan/Break Fix-KU16</t>
  </si>
  <si>
    <t>053KU15</t>
  </si>
  <si>
    <t>Orcl Ntwk Mgmt Sys Rep-KU15</t>
  </si>
  <si>
    <t>053KU16</t>
  </si>
  <si>
    <t>Replace PDUs - BOC-KU16</t>
  </si>
  <si>
    <t>054KU15</t>
  </si>
  <si>
    <t>Outside Cable Plant-KU15</t>
  </si>
  <si>
    <t>055KU15</t>
  </si>
  <si>
    <t>PeopleSoft Enhancements-KU15</t>
  </si>
  <si>
    <t>056KU15</t>
  </si>
  <si>
    <t>Pers Product Grow &amp; Ref-KU15</t>
  </si>
  <si>
    <t>059KU16</t>
  </si>
  <si>
    <t>Sec Infra Enhancements-KU16</t>
  </si>
  <si>
    <t>060KU16</t>
  </si>
  <si>
    <t>Serv Cap Expan and Rel-KU16</t>
  </si>
  <si>
    <t>061KU15</t>
  </si>
  <si>
    <t>Purch/Rebuild Radio Sites-KU15</t>
  </si>
  <si>
    <t>063KU16</t>
  </si>
  <si>
    <t>Simpsonville Elect Upg-KU16</t>
  </si>
  <si>
    <t>064KU16</t>
  </si>
  <si>
    <t>Simpson Furn &amp; Racks-KU16</t>
  </si>
  <si>
    <t>065KU16</t>
  </si>
  <si>
    <t>Site Security Improve-KU16</t>
  </si>
  <si>
    <t>067KU16</t>
  </si>
  <si>
    <t>Tele Rm Data Cent Y1/2-KU16</t>
  </si>
  <si>
    <t>068KU16</t>
  </si>
  <si>
    <t>Telecom Shelter Ren-KU16</t>
  </si>
  <si>
    <t>071KU14</t>
  </si>
  <si>
    <t>Telecom Shelter Renov-KU14</t>
  </si>
  <si>
    <t>073KU15</t>
  </si>
  <si>
    <t>Serv Cap Expan and Rel-KU15</t>
  </si>
  <si>
    <t>074KU15</t>
  </si>
  <si>
    <t>Serv HW Refresh-KU15</t>
  </si>
  <si>
    <t>074KU16</t>
  </si>
  <si>
    <t>Upgrade Vmware Infra-KU16</t>
  </si>
  <si>
    <t>076KU15</t>
  </si>
  <si>
    <t>Simpson Furn&amp;Racks-KU15</t>
  </si>
  <si>
    <t>076KU16</t>
  </si>
  <si>
    <t>Vulnerability Scanning-KU16</t>
  </si>
  <si>
    <t>077KU15</t>
  </si>
  <si>
    <t>Site Security Impr- KU15</t>
  </si>
  <si>
    <t>077KU16</t>
  </si>
  <si>
    <t>Wireless Upgrade (WERUS)-KU16</t>
  </si>
  <si>
    <t>078KU16</t>
  </si>
  <si>
    <t>WMS Work MGMT Syst-KU</t>
  </si>
  <si>
    <t>079KU15</t>
  </si>
  <si>
    <t>Telecom Shelter Ren-KU15</t>
  </si>
  <si>
    <t>080KU14</t>
  </si>
  <si>
    <t>Lockout/Tagout (LOTO)-KU14</t>
  </si>
  <si>
    <t>081KU14</t>
  </si>
  <si>
    <t>SE KY MW Buildout-KU14</t>
  </si>
  <si>
    <t>082KU15</t>
  </si>
  <si>
    <t>Upgrade Vmware Infra-KU15</t>
  </si>
  <si>
    <t>083KU16</t>
  </si>
  <si>
    <t>Tower Replacements-KU16</t>
  </si>
  <si>
    <t>085KU16</t>
  </si>
  <si>
    <t>Monitor Replacement-KU16</t>
  </si>
  <si>
    <t>086KU16</t>
  </si>
  <si>
    <t>Purch/Rebuild Radio Sites-KU16</t>
  </si>
  <si>
    <t>087KU14</t>
  </si>
  <si>
    <t>EE DSM Filing (Non-AMS)-KU14</t>
  </si>
  <si>
    <t>088KU16</t>
  </si>
  <si>
    <t>Tech Ref desktop/laptops-KU16</t>
  </si>
  <si>
    <t>093KU16</t>
  </si>
  <si>
    <t>Server HW Refresh-KU16</t>
  </si>
  <si>
    <t>100KU15</t>
  </si>
  <si>
    <t>Replace Edge 95 Units-KU15</t>
  </si>
  <si>
    <t>100KU16</t>
  </si>
  <si>
    <t>Microsoft EA-KU16</t>
  </si>
  <si>
    <t>108KU16</t>
  </si>
  <si>
    <t>SOA Middleware Upgrades-KU16</t>
  </si>
  <si>
    <t>109KU16</t>
  </si>
  <si>
    <t>WallStreet Suite Upgr-KU16</t>
  </si>
  <si>
    <t>110KU16</t>
  </si>
  <si>
    <t>Monitoring Project-KU16</t>
  </si>
  <si>
    <t>113KU15</t>
  </si>
  <si>
    <t>Tech Ref desk &amp; laptops-KU15</t>
  </si>
  <si>
    <t>113KU16</t>
  </si>
  <si>
    <t>TOA Enhancements-KU16</t>
  </si>
  <si>
    <t>117150</t>
  </si>
  <si>
    <t>Trimble County 2 KU</t>
  </si>
  <si>
    <t>117362</t>
  </si>
  <si>
    <t>Accrued Labor - KU</t>
  </si>
  <si>
    <t>117KU16</t>
  </si>
  <si>
    <t>TRODS-KU16</t>
  </si>
  <si>
    <t>118213</t>
  </si>
  <si>
    <t>Va City-AEP Clinch River</t>
  </si>
  <si>
    <t>119903</t>
  </si>
  <si>
    <t>Clear A&amp;G 12/04</t>
  </si>
  <si>
    <t>120756</t>
  </si>
  <si>
    <t>Misc. A/R Uncollect - KU Cap</t>
  </si>
  <si>
    <t>120KU14</t>
  </si>
  <si>
    <t>UC&amp;C-KU14</t>
  </si>
  <si>
    <t>120KU15</t>
  </si>
  <si>
    <t>UC&amp;C-KU15</t>
  </si>
  <si>
    <t>121840</t>
  </si>
  <si>
    <t>G'TOWN &amp; VER. CARD READERS</t>
  </si>
  <si>
    <t>122609</t>
  </si>
  <si>
    <t>Ghent Ash Pond/Landfill</t>
  </si>
  <si>
    <t>122KU14</t>
  </si>
  <si>
    <t>Ventyx Mobile Upgrade-KU14</t>
  </si>
  <si>
    <t>123219</t>
  </si>
  <si>
    <t>KU BRCT7 A/B Conversion 08</t>
  </si>
  <si>
    <t>123961</t>
  </si>
  <si>
    <t>GS SoftwareODS 2009</t>
  </si>
  <si>
    <t>124214</t>
  </si>
  <si>
    <t>GH1 BOILER ROOM ROOF</t>
  </si>
  <si>
    <t>124323</t>
  </si>
  <si>
    <t>GH1 TURBINE ROOM ROOF REPL</t>
  </si>
  <si>
    <t>124782</t>
  </si>
  <si>
    <t>09 CENT BLUEGRASS STATION</t>
  </si>
  <si>
    <t>125KU16</t>
  </si>
  <si>
    <t>EMS CIP-KU16</t>
  </si>
  <si>
    <t>126KU16</t>
  </si>
  <si>
    <t>Expand EMS Dev System-KU16</t>
  </si>
  <si>
    <t>127134</t>
  </si>
  <si>
    <t>TC CCP LANDFILL PH1 RAV-KU</t>
  </si>
  <si>
    <t>127182</t>
  </si>
  <si>
    <t>PeopleSoft Time (KU %)</t>
  </si>
  <si>
    <t>127560</t>
  </si>
  <si>
    <t>CANE RUN 7 - KU</t>
  </si>
  <si>
    <t>127KU16</t>
  </si>
  <si>
    <t>EMS Sys_Monitor Tool-KU16</t>
  </si>
  <si>
    <t>129KU16</t>
  </si>
  <si>
    <t>Implement SDE Replace-KU16</t>
  </si>
  <si>
    <t>130827</t>
  </si>
  <si>
    <t>SCM 2013 Cent Rplc Bushings</t>
  </si>
  <si>
    <t>130867</t>
  </si>
  <si>
    <t>BR3 FABRIC FILTER</t>
  </si>
  <si>
    <t>130870</t>
  </si>
  <si>
    <t>GH1 FABRIC FILTER</t>
  </si>
  <si>
    <t>130871</t>
  </si>
  <si>
    <t>GH2 FABRIC FILTER</t>
  </si>
  <si>
    <t>130872</t>
  </si>
  <si>
    <t>GH3 FABRIC FILTER</t>
  </si>
  <si>
    <t>130873</t>
  </si>
  <si>
    <t>GH4 FABRIC FILTER</t>
  </si>
  <si>
    <t>130KU15</t>
  </si>
  <si>
    <t>Advanced Malware Detect-KU15</t>
  </si>
  <si>
    <t>131170</t>
  </si>
  <si>
    <t>GH 1 Crush Feed Shut Off gates</t>
  </si>
  <si>
    <t>131172</t>
  </si>
  <si>
    <t>GH Coal Sample System Repl</t>
  </si>
  <si>
    <t>131203</t>
  </si>
  <si>
    <t>GH4 SH Spray Valve Retrofit</t>
  </si>
  <si>
    <t>131338</t>
  </si>
  <si>
    <t>Ghent 345kV Control House</t>
  </si>
  <si>
    <t>131350</t>
  </si>
  <si>
    <t>Tyrone Control House</t>
  </si>
  <si>
    <t>131355</t>
  </si>
  <si>
    <t>Ghent Redesign 138kV Sub</t>
  </si>
  <si>
    <t>131809</t>
  </si>
  <si>
    <t>CIP Test Lab-KU-2013</t>
  </si>
  <si>
    <t>131859</t>
  </si>
  <si>
    <t>CIP-KU-2015</t>
  </si>
  <si>
    <t>131861</t>
  </si>
  <si>
    <t>CIP-KU-2016</t>
  </si>
  <si>
    <t>131948KU</t>
  </si>
  <si>
    <t>GS SL XRay Spectrograph-KU</t>
  </si>
  <si>
    <t>132000KU</t>
  </si>
  <si>
    <t>TC CT HGP Insp #1-KU</t>
  </si>
  <si>
    <t>132245</t>
  </si>
  <si>
    <t>Brown Landfill Phase II</t>
  </si>
  <si>
    <t>132371</t>
  </si>
  <si>
    <t>Brown Landfill PH I</t>
  </si>
  <si>
    <t>132674</t>
  </si>
  <si>
    <t>KU Park Control House</t>
  </si>
  <si>
    <t>132865</t>
  </si>
  <si>
    <t>OXFORD COAL MINE TAP</t>
  </si>
  <si>
    <t>132928KU</t>
  </si>
  <si>
    <t>GS CDM Aurora - KU</t>
  </si>
  <si>
    <t>133071</t>
  </si>
  <si>
    <t>BR3 Spare Condensate Pump</t>
  </si>
  <si>
    <t>133088</t>
  </si>
  <si>
    <t>BR FGD Agitator Repl 16</t>
  </si>
  <si>
    <t>133102KU</t>
  </si>
  <si>
    <t>GS GE 345kV Spr KU</t>
  </si>
  <si>
    <t>133250</t>
  </si>
  <si>
    <t>Leestown Road Hwy Proj 2011</t>
  </si>
  <si>
    <t>133456</t>
  </si>
  <si>
    <t>GH3 &amp; 4 J Conveyor Siding</t>
  </si>
  <si>
    <t>133468</t>
  </si>
  <si>
    <t>GH3 SCR L1 Replacement</t>
  </si>
  <si>
    <t>133470</t>
  </si>
  <si>
    <t>GH4 SCR L1 Regen 2017</t>
  </si>
  <si>
    <t>133472</t>
  </si>
  <si>
    <t>GH3 C Heater Repl</t>
  </si>
  <si>
    <t>133493</t>
  </si>
  <si>
    <t>GH4 C Feedwater Heater Repl</t>
  </si>
  <si>
    <t>133520</t>
  </si>
  <si>
    <t>GH4 B Feedwater Htr Repl</t>
  </si>
  <si>
    <t>133526</t>
  </si>
  <si>
    <t>GH3 B Feedwater Htr Repl</t>
  </si>
  <si>
    <t>133590</t>
  </si>
  <si>
    <t>GH1 SCR L1 Catalyst Regen 2016</t>
  </si>
  <si>
    <t>133591</t>
  </si>
  <si>
    <t>GH1 SCR L3 Catalyst Regen 2016</t>
  </si>
  <si>
    <t>133638</t>
  </si>
  <si>
    <t>EFFLUENT WATER STUDY - BR</t>
  </si>
  <si>
    <t>133641</t>
  </si>
  <si>
    <t>EFFLUENT WATER STUDY-GH</t>
  </si>
  <si>
    <t>133683</t>
  </si>
  <si>
    <t>EFFLUENT WATER STUDY-TC KU</t>
  </si>
  <si>
    <t>133740</t>
  </si>
  <si>
    <t>GH CHA&amp;CHA1 4kv Switchgear</t>
  </si>
  <si>
    <t>133789</t>
  </si>
  <si>
    <t>GH4 Sample Panel Replacement</t>
  </si>
  <si>
    <t>133790</t>
  </si>
  <si>
    <t>GH3 Sample Panel Replacement</t>
  </si>
  <si>
    <t>133793</t>
  </si>
  <si>
    <t>GH 3-5 Pulv Gearbox</t>
  </si>
  <si>
    <t>133890</t>
  </si>
  <si>
    <t>BRCT Pipeline AC Mitigation</t>
  </si>
  <si>
    <t>133980</t>
  </si>
  <si>
    <t>BRFGD 01 Absorber Bleed Pump</t>
  </si>
  <si>
    <t>133981</t>
  </si>
  <si>
    <t>BRFGD 02 Absorber Bleed Pump</t>
  </si>
  <si>
    <t>133KU16</t>
  </si>
  <si>
    <t>NE KY Buildout Eng Phase-KU16</t>
  </si>
  <si>
    <t>134111KU</t>
  </si>
  <si>
    <t>TC2 SCR L2 REPLACE-KU</t>
  </si>
  <si>
    <t>134190</t>
  </si>
  <si>
    <t>EKP CPR PLT RELO</t>
  </si>
  <si>
    <t>134232KU</t>
  </si>
  <si>
    <t>TC 2 KU BOILER METAL OVERLAY</t>
  </si>
  <si>
    <t>134237</t>
  </si>
  <si>
    <t>DSP LEX AREA MAJOR PROJECTS</t>
  </si>
  <si>
    <t>134283</t>
  </si>
  <si>
    <t>BNDS MILL-FNCHVLLE STAT REPL</t>
  </si>
  <si>
    <t>134284</t>
  </si>
  <si>
    <t>SR 2016 Bonds Mill-Finchville</t>
  </si>
  <si>
    <t>134KU15</t>
  </si>
  <si>
    <t>Cascade Corp Sec Assets-KU15</t>
  </si>
  <si>
    <t>135112</t>
  </si>
  <si>
    <t>BR2 Coal Fdr Transition Chutes</t>
  </si>
  <si>
    <t>135361</t>
  </si>
  <si>
    <t>REL LEXPLNT-PISGH 69RBLD</t>
  </si>
  <si>
    <t>135433</t>
  </si>
  <si>
    <t>TEP-Add 345kV Brkr to W Lex</t>
  </si>
  <si>
    <t>135625</t>
  </si>
  <si>
    <t>Matanzas Sub Upgrade</t>
  </si>
  <si>
    <t>135911</t>
  </si>
  <si>
    <t>DLC - KU</t>
  </si>
  <si>
    <t>135KU16</t>
  </si>
  <si>
    <t>Rate Case 2016-KU16</t>
  </si>
  <si>
    <t>136550KU</t>
  </si>
  <si>
    <t>GS SL Gas Chrmgrph KU</t>
  </si>
  <si>
    <t>136555KU</t>
  </si>
  <si>
    <t>GS SL IFT Anlzr KU</t>
  </si>
  <si>
    <t>137011</t>
  </si>
  <si>
    <t>BR1/2 A Conv to 1-1&amp;1-2 Crshrs</t>
  </si>
  <si>
    <t>137031</t>
  </si>
  <si>
    <t>GH Ash Filtra Controls Repl</t>
  </si>
  <si>
    <t>137033</t>
  </si>
  <si>
    <t>GH Barge Mooring Cell C-9</t>
  </si>
  <si>
    <t>137041</t>
  </si>
  <si>
    <t>GH4 UPS Replacement</t>
  </si>
  <si>
    <t>137045KU</t>
  </si>
  <si>
    <t>TC2 KU AIR HEAT BASKETS</t>
  </si>
  <si>
    <t>137071</t>
  </si>
  <si>
    <t>GH4 FGD Sump Pump Repl</t>
  </si>
  <si>
    <t>137083</t>
  </si>
  <si>
    <t>GH3 FGD ME Chevron Repl</t>
  </si>
  <si>
    <t>137163</t>
  </si>
  <si>
    <t>BR CY HMI Addition</t>
  </si>
  <si>
    <t>137206</t>
  </si>
  <si>
    <t>BRCT 11N2 SFC Controls Upgrade</t>
  </si>
  <si>
    <t>137375</t>
  </si>
  <si>
    <t>GH 1-6 Pulv Gearbox</t>
  </si>
  <si>
    <t>137492</t>
  </si>
  <si>
    <t>TC Landfill Add'l Land KU</t>
  </si>
  <si>
    <t>137662KU</t>
  </si>
  <si>
    <t>TC2 KU SUB SCRAPER CONVEYOR</t>
  </si>
  <si>
    <t>137728</t>
  </si>
  <si>
    <t>SR 2017 Bonds Mill-West Cliff</t>
  </si>
  <si>
    <t>137738</t>
  </si>
  <si>
    <t>HWY 641 RELO</t>
  </si>
  <si>
    <t>137745</t>
  </si>
  <si>
    <t>PR HARDIN CO SMITH 345KV P2</t>
  </si>
  <si>
    <t>137749</t>
  </si>
  <si>
    <t>DSP SHELBYVILLE E-TRANS</t>
  </si>
  <si>
    <t>138898KU</t>
  </si>
  <si>
    <t>Enterprise Info Mgmt-KU12</t>
  </si>
  <si>
    <t>138KU16</t>
  </si>
  <si>
    <t>PowerPlant Module Upgr-KU16</t>
  </si>
  <si>
    <t>139046</t>
  </si>
  <si>
    <t>TC2 DSI System - KU</t>
  </si>
  <si>
    <t>139595KU</t>
  </si>
  <si>
    <t>GS GE DME Phase II KU</t>
  </si>
  <si>
    <t>139598KU</t>
  </si>
  <si>
    <t>GS GE Aux Trans Prot KU</t>
  </si>
  <si>
    <t>139600KU</t>
  </si>
  <si>
    <t>GS CDM PRC-05 Collect KU</t>
  </si>
  <si>
    <t>139627</t>
  </si>
  <si>
    <t>Test Lab Equipment-2015-KU</t>
  </si>
  <si>
    <t>139638KU</t>
  </si>
  <si>
    <t>0-GS CDM CIP Ver 5.0 KU</t>
  </si>
  <si>
    <t>139669</t>
  </si>
  <si>
    <t>BR1&amp;2 Mercury Mitigation Syst</t>
  </si>
  <si>
    <t>139670KU</t>
  </si>
  <si>
    <t>GS CDM CIP Ver 6.0 KU</t>
  </si>
  <si>
    <t>139763KU</t>
  </si>
  <si>
    <t>TC KU ACID INJECTION FA</t>
  </si>
  <si>
    <t>139771KU</t>
  </si>
  <si>
    <t>TC2 KU CO MONITOR SYS</t>
  </si>
  <si>
    <t>139788KU</t>
  </si>
  <si>
    <t>TC KU COAL HAND PLC REPL</t>
  </si>
  <si>
    <t>139789KU</t>
  </si>
  <si>
    <t>TC KU RADIO SYS COAL TUNL</t>
  </si>
  <si>
    <t>139820</t>
  </si>
  <si>
    <t>BR2 Precip Voltage Controls</t>
  </si>
  <si>
    <t>139823</t>
  </si>
  <si>
    <t>BR2 Precip Rapper Controls</t>
  </si>
  <si>
    <t>139840</t>
  </si>
  <si>
    <t>DX Digitial Governor</t>
  </si>
  <si>
    <t>139864</t>
  </si>
  <si>
    <t>BRCT GT24 Evap Media Repl KU</t>
  </si>
  <si>
    <t>139906</t>
  </si>
  <si>
    <t>TEP-Morganfield 161kV Brkr Add</t>
  </si>
  <si>
    <t>139979</t>
  </si>
  <si>
    <t>TEP-FARLEY-US STEEL 69kV</t>
  </si>
  <si>
    <t>139996</t>
  </si>
  <si>
    <t>TEP-ALCLDE-ELHU</t>
  </si>
  <si>
    <t>139KU15</t>
  </si>
  <si>
    <t>CTS/AFB-Accting Enhance-KU15</t>
  </si>
  <si>
    <t>139KU16</t>
  </si>
  <si>
    <t>Central Firewall Mgmt-KU16</t>
  </si>
  <si>
    <t>140018</t>
  </si>
  <si>
    <t>Dix Upgrade KU 2014</t>
  </si>
  <si>
    <t>140031</t>
  </si>
  <si>
    <t>GH S/R MCC Repl</t>
  </si>
  <si>
    <t>140098</t>
  </si>
  <si>
    <t>EMS OPERATOR MONITORS-KU-2016</t>
  </si>
  <si>
    <t>140194</t>
  </si>
  <si>
    <t>GH Crusher Hse 2 Dust Col</t>
  </si>
  <si>
    <t>140204</t>
  </si>
  <si>
    <t>GH1 Blowdown Line Repl</t>
  </si>
  <si>
    <t>140208</t>
  </si>
  <si>
    <t>GH2 CT Fan Blade Replacement</t>
  </si>
  <si>
    <t>140409KU</t>
  </si>
  <si>
    <t>S&amp;TT Trans Trng Cntr</t>
  </si>
  <si>
    <t>140485</t>
  </si>
  <si>
    <t>ELIZABETHTOWN T&amp;E CAPITAL 2014</t>
  </si>
  <si>
    <t>140526</t>
  </si>
  <si>
    <t>SCM2015 CENT RTU REPLACEMENTS</t>
  </si>
  <si>
    <t>140528</t>
  </si>
  <si>
    <t>SCM2015 CENT REPL LTC/REG CNTR</t>
  </si>
  <si>
    <t>140545</t>
  </si>
  <si>
    <t>SCM2015 PINE REPL 22KV BRKRS</t>
  </si>
  <si>
    <t>140548</t>
  </si>
  <si>
    <t>SCM2015 PINE REPL OIL BRKRS</t>
  </si>
  <si>
    <t>140574</t>
  </si>
  <si>
    <t>SCM2015 CENT MISC CAPITAL SUB</t>
  </si>
  <si>
    <t>140577</t>
  </si>
  <si>
    <t>SCM2015 CENT REPL BREAKERS</t>
  </si>
  <si>
    <t>140579</t>
  </si>
  <si>
    <t>SCM2015 CENT REPL BUSHINGS</t>
  </si>
  <si>
    <t>140599KU</t>
  </si>
  <si>
    <t>TC2 KU PEGGING STEAM</t>
  </si>
  <si>
    <t>140620</t>
  </si>
  <si>
    <t>SCM2015 EARL FAILED BRKR/RECL</t>
  </si>
  <si>
    <t>140624</t>
  </si>
  <si>
    <t>SCM2015 EARL WILDLIFE PROTECT</t>
  </si>
  <si>
    <t>140632</t>
  </si>
  <si>
    <t>SCM2015 PINE FAILED BRKR/RECL</t>
  </si>
  <si>
    <t>140634</t>
  </si>
  <si>
    <t>SCM2015 PINE MISC CAPITAL SUB</t>
  </si>
  <si>
    <t>140635</t>
  </si>
  <si>
    <t>SCM2015 PINE MISC NESC COMPL</t>
  </si>
  <si>
    <t>140640</t>
  </si>
  <si>
    <t>SCM2015 PINE TOOLS &amp; EQUIPMENT</t>
  </si>
  <si>
    <t>140655KU</t>
  </si>
  <si>
    <t>GS GE TCCT Hrdng KU</t>
  </si>
  <si>
    <t>140658KU</t>
  </si>
  <si>
    <t>TC CT KU LC1 UPGD #1</t>
  </si>
  <si>
    <t>141296</t>
  </si>
  <si>
    <t>LONDON OP-CONSTRUCTION</t>
  </si>
  <si>
    <t>141348</t>
  </si>
  <si>
    <t>Winchester - Pole Racks</t>
  </si>
  <si>
    <t>141389</t>
  </si>
  <si>
    <t>KU FURNITURE PROJ</t>
  </si>
  <si>
    <t>141394</t>
  </si>
  <si>
    <t>Green River 884 Brkr Failure</t>
  </si>
  <si>
    <t>141400</t>
  </si>
  <si>
    <t>Business Offices CapEx 2015</t>
  </si>
  <si>
    <t>141401</t>
  </si>
  <si>
    <t>CARPET / FLOORING REPLACEMENT</t>
  </si>
  <si>
    <t>141427</t>
  </si>
  <si>
    <t>KU FURNITURE &amp; CHAIRS</t>
  </si>
  <si>
    <t>141436</t>
  </si>
  <si>
    <t>KU FAILED EQP REPLACE 2016</t>
  </si>
  <si>
    <t>141438</t>
  </si>
  <si>
    <t>KU FURN &amp; CHAIR 2016</t>
  </si>
  <si>
    <t>141577</t>
  </si>
  <si>
    <t>Meter Shop 2016 Lex Forklift</t>
  </si>
  <si>
    <t>141636</t>
  </si>
  <si>
    <t>MS 2016 KU Danville Board</t>
  </si>
  <si>
    <t>142358</t>
  </si>
  <si>
    <t>Retail Hardware KU 2016</t>
  </si>
  <si>
    <t>142401</t>
  </si>
  <si>
    <t>TEP-CMPGD-EMNUEL-TP</t>
  </si>
  <si>
    <t>142496KU</t>
  </si>
  <si>
    <t>TC KU BENTLY NEVADA PHASE II</t>
  </si>
  <si>
    <t>142569</t>
  </si>
  <si>
    <t>Paint Lick Hwy Project</t>
  </si>
  <si>
    <t>142753KU</t>
  </si>
  <si>
    <t>TC2 KU IGNIT FUEL 2015</t>
  </si>
  <si>
    <t>142760</t>
  </si>
  <si>
    <t>Rplce EMS Wkstations-KU-2013</t>
  </si>
  <si>
    <t>142896</t>
  </si>
  <si>
    <t>Earlington 2014 Pole Insp</t>
  </si>
  <si>
    <t>142915</t>
  </si>
  <si>
    <t>BR3 APHC Repl (Partial)</t>
  </si>
  <si>
    <t>142KU16</t>
  </si>
  <si>
    <t>UC4 Upgrade to V10-KU16</t>
  </si>
  <si>
    <t>143043</t>
  </si>
  <si>
    <t>Brown Solar Facility - KU</t>
  </si>
  <si>
    <t>143049</t>
  </si>
  <si>
    <t>MILLERSBURG-BYPASS-RELO</t>
  </si>
  <si>
    <t>143109</t>
  </si>
  <si>
    <t>STAMPING GROUND - 0481</t>
  </si>
  <si>
    <t>143174</t>
  </si>
  <si>
    <t>Replace Ghent 942 Breaker</t>
  </si>
  <si>
    <t>143325</t>
  </si>
  <si>
    <t>LEXINGTON CEMI</t>
  </si>
  <si>
    <t>143356</t>
  </si>
  <si>
    <t>US 60-KY 4 INTRCHNG HWY RELO</t>
  </si>
  <si>
    <t>143640 KU</t>
  </si>
  <si>
    <t>CR7 NGCC Inventory KU</t>
  </si>
  <si>
    <t>143722</t>
  </si>
  <si>
    <t>GH2 Phosphate Pump</t>
  </si>
  <si>
    <t>143755</t>
  </si>
  <si>
    <t>DELAPLAIN TRANSFORMER UPGRD</t>
  </si>
  <si>
    <t>143864 KU</t>
  </si>
  <si>
    <t>PR Gas Pipe Line KU</t>
  </si>
  <si>
    <t>143872</t>
  </si>
  <si>
    <t>TRANSFER REGULATORS FROM LGE</t>
  </si>
  <si>
    <t>143KU16</t>
  </si>
  <si>
    <t>Light Table Licenses-KU16</t>
  </si>
  <si>
    <t>144038</t>
  </si>
  <si>
    <t>GHENT LANDFILL PHASE IB</t>
  </si>
  <si>
    <t>144039</t>
  </si>
  <si>
    <t>I75, Exit 95 Richmond HWY</t>
  </si>
  <si>
    <t>144061</t>
  </si>
  <si>
    <t>REL TUNNELL HILL SWITCH</t>
  </si>
  <si>
    <t>144081</t>
  </si>
  <si>
    <t>TRANSFORMERS FROM LGE</t>
  </si>
  <si>
    <t>144112</t>
  </si>
  <si>
    <t>BACKUP CC V_WALL RPLC-KU-2016</t>
  </si>
  <si>
    <t>144118</t>
  </si>
  <si>
    <t>GR 69kV Control House Rpl</t>
  </si>
  <si>
    <t>144129</t>
  </si>
  <si>
    <t>Rpl Dix Dam 604 &amp; 624 Brkrs</t>
  </si>
  <si>
    <t>144140</t>
  </si>
  <si>
    <t>Rpl (3) Leitchfield Brkrs</t>
  </si>
  <si>
    <t>144141</t>
  </si>
  <si>
    <t>Rpl (1) 138kV Ohio Co Brkr</t>
  </si>
  <si>
    <t>144143</t>
  </si>
  <si>
    <t>Rpl Toyota South 714 Brkr</t>
  </si>
  <si>
    <t>144150</t>
  </si>
  <si>
    <t>Rpl Middlesboro Fence</t>
  </si>
  <si>
    <t>144152</t>
  </si>
  <si>
    <t>Rpl Green River 69kV Fence</t>
  </si>
  <si>
    <t>144153</t>
  </si>
  <si>
    <t>Rpl River Queen Fence</t>
  </si>
  <si>
    <t>144155</t>
  </si>
  <si>
    <t>Rpl Clinton Fence</t>
  </si>
  <si>
    <t>144157</t>
  </si>
  <si>
    <t>Rpl Marion Fence</t>
  </si>
  <si>
    <t>144158</t>
  </si>
  <si>
    <t>Rpl East Frankfort Fence</t>
  </si>
  <si>
    <t>144179</t>
  </si>
  <si>
    <t>GH1 Boiler Lwr Sidewall Panel</t>
  </si>
  <si>
    <t>144180</t>
  </si>
  <si>
    <t>GH3 ESS MCC Transfer Swt</t>
  </si>
  <si>
    <t>144181</t>
  </si>
  <si>
    <t>GH4 APH Coil</t>
  </si>
  <si>
    <t>144214</t>
  </si>
  <si>
    <t>GH1 LED Lighting Below 3rd Flr</t>
  </si>
  <si>
    <t>144243</t>
  </si>
  <si>
    <t>GH1 SH Pendant Platen Loops</t>
  </si>
  <si>
    <t>144246</t>
  </si>
  <si>
    <t>GH1 HPSW Piping Basement</t>
  </si>
  <si>
    <t>144248</t>
  </si>
  <si>
    <t>GH2 HPSW Piping Basement</t>
  </si>
  <si>
    <t>144249</t>
  </si>
  <si>
    <t>GH CY Office-Locker Building</t>
  </si>
  <si>
    <t>144256</t>
  </si>
  <si>
    <t>GH Coal Conveyor Structure Rpl</t>
  </si>
  <si>
    <t>144257</t>
  </si>
  <si>
    <t>GH4 FGD Recycle Pump Gearbox</t>
  </si>
  <si>
    <t>144265</t>
  </si>
  <si>
    <t>GH3 FGD Recycle Pump Gearbox</t>
  </si>
  <si>
    <t>144275</t>
  </si>
  <si>
    <t>GH 3&amp;4 Brominator Upgrade</t>
  </si>
  <si>
    <t>144276</t>
  </si>
  <si>
    <t>GH4 Aux Trans HU Relay</t>
  </si>
  <si>
    <t>144280</t>
  </si>
  <si>
    <t>GH4 ESS MCC Transfer Swt</t>
  </si>
  <si>
    <t>144291</t>
  </si>
  <si>
    <t>GH1 Coal Handling Controls</t>
  </si>
  <si>
    <t>144295</t>
  </si>
  <si>
    <t>GH 3-1 CT Fan Gearbox</t>
  </si>
  <si>
    <t>144296</t>
  </si>
  <si>
    <t>GH2 Electromatic Valve</t>
  </si>
  <si>
    <t>144297</t>
  </si>
  <si>
    <t>GH Crusher Hse 1 Belt Feeder</t>
  </si>
  <si>
    <t>144318</t>
  </si>
  <si>
    <t>GH3 APH Coils</t>
  </si>
  <si>
    <t>144338</t>
  </si>
  <si>
    <t>Brown N CIP Security Upgrds</t>
  </si>
  <si>
    <t>144360</t>
  </si>
  <si>
    <t>REL-Madisonville 604 Brkr Add</t>
  </si>
  <si>
    <t>144364</t>
  </si>
  <si>
    <t>REL-Parkers Mill 604 Brkr Adds</t>
  </si>
  <si>
    <t>144366</t>
  </si>
  <si>
    <t>REL-Warsaw 604 Brkr Addition</t>
  </si>
  <si>
    <t>144421</t>
  </si>
  <si>
    <t>GH 3-6 Pulv Gearbox</t>
  </si>
  <si>
    <t>144432</t>
  </si>
  <si>
    <t>'BR1 Maintenance Vent Fan Repl</t>
  </si>
  <si>
    <t>144433</t>
  </si>
  <si>
    <t>'BR3 Maintenance Vent Fan Repl</t>
  </si>
  <si>
    <t>144435</t>
  </si>
  <si>
    <t>DX Building Refurbishment</t>
  </si>
  <si>
    <t>144441</t>
  </si>
  <si>
    <t>BR2 ID Fn-FGD Duct Exp Jnt Rpl</t>
  </si>
  <si>
    <t>144443</t>
  </si>
  <si>
    <t>BR3 Conv Room Dust Collector</t>
  </si>
  <si>
    <t>144445</t>
  </si>
  <si>
    <t>BR1 Flame Scanner Card Repl</t>
  </si>
  <si>
    <t>144455</t>
  </si>
  <si>
    <t>BR3 Burner Corner Panels</t>
  </si>
  <si>
    <t>144475KU</t>
  </si>
  <si>
    <t>GS GE CORS KU</t>
  </si>
  <si>
    <t>144489</t>
  </si>
  <si>
    <t>BR Workout Facility</t>
  </si>
  <si>
    <t>144587</t>
  </si>
  <si>
    <t>SIMPSONVILLE FENCE KU IT</t>
  </si>
  <si>
    <t>144594</t>
  </si>
  <si>
    <t>ONE Q ELECTRICAL - 2015 KU</t>
  </si>
  <si>
    <t>144597</t>
  </si>
  <si>
    <t>LOUDON RENOVATIONS 2015</t>
  </si>
  <si>
    <t>144598</t>
  </si>
  <si>
    <t>KU ELECTRICAL 2015</t>
  </si>
  <si>
    <t>144600</t>
  </si>
  <si>
    <t>I-75 TOYOTA INTERCHANGE</t>
  </si>
  <si>
    <t>144610</t>
  </si>
  <si>
    <t>BR Main Pond Closure</t>
  </si>
  <si>
    <t>144618</t>
  </si>
  <si>
    <t>KU FENCES AND GATES - 2015</t>
  </si>
  <si>
    <t>144619</t>
  </si>
  <si>
    <t>KU-HVAC REPLACEMENT 2015</t>
  </si>
  <si>
    <t>144632</t>
  </si>
  <si>
    <t>REL-Cawood 604 Brkr Addition</t>
  </si>
  <si>
    <t>144634</t>
  </si>
  <si>
    <t>REL-FMC 604 Brkr Addition</t>
  </si>
  <si>
    <t>144636</t>
  </si>
  <si>
    <t>REL-Stanford 604 Brkr Add</t>
  </si>
  <si>
    <t>144637</t>
  </si>
  <si>
    <t>REL-Camargo 604 Brkr Add</t>
  </si>
  <si>
    <t>144682</t>
  </si>
  <si>
    <t>TEP-DFR Replace MODs-KU</t>
  </si>
  <si>
    <t>144711</t>
  </si>
  <si>
    <t>Earlington Cap Tools 2015-16</t>
  </si>
  <si>
    <t>144719</t>
  </si>
  <si>
    <t>Lexington Cap Tools 2015-16</t>
  </si>
  <si>
    <t>144735</t>
  </si>
  <si>
    <t>Haefling Ckt 0055 Dist</t>
  </si>
  <si>
    <t>144736</t>
  </si>
  <si>
    <t>Innovation Drive Ck 0593</t>
  </si>
  <si>
    <t>144737</t>
  </si>
  <si>
    <t>Lexington Area Major Proj</t>
  </si>
  <si>
    <t>144739</t>
  </si>
  <si>
    <t>Versailles 4kV Ckt 505 Upgrade</t>
  </si>
  <si>
    <t>144741</t>
  </si>
  <si>
    <t>Manhole Cover Repl Prog KU</t>
  </si>
  <si>
    <t>144743</t>
  </si>
  <si>
    <t>Reconductor Ckt 2220 Lebanon</t>
  </si>
  <si>
    <t>144744</t>
  </si>
  <si>
    <t>RIC Ckt 2109 Reconductor</t>
  </si>
  <si>
    <t>144746</t>
  </si>
  <si>
    <t>KU Distribution Capacitors</t>
  </si>
  <si>
    <t>144747</t>
  </si>
  <si>
    <t>Milford Recond</t>
  </si>
  <si>
    <t>144751</t>
  </si>
  <si>
    <t>Shelbyville East Dist</t>
  </si>
  <si>
    <t>144769</t>
  </si>
  <si>
    <t>LEX AREA MAJOR SUB PROJECT</t>
  </si>
  <si>
    <t>144770</t>
  </si>
  <si>
    <t>SHELBYVILLE EAST DIST SUB</t>
  </si>
  <si>
    <t>144771</t>
  </si>
  <si>
    <t>LOCKPORT SUB ADD 138KV BRKR</t>
  </si>
  <si>
    <t>144773</t>
  </si>
  <si>
    <t>VINE ST REPL LGCY AIR MAG BRKR</t>
  </si>
  <si>
    <t>144774</t>
  </si>
  <si>
    <t>SCM2015 DAN REPL LGCY OIL BRKR</t>
  </si>
  <si>
    <t>144775</t>
  </si>
  <si>
    <t>SCM2015 DAN REPL LGCY VAC BRKR</t>
  </si>
  <si>
    <t>144777</t>
  </si>
  <si>
    <t>HUNTERS BOTTOM SUB RECLOSER</t>
  </si>
  <si>
    <t>144785</t>
  </si>
  <si>
    <t>SCM LEX UPGRD 4KV PORTABLE</t>
  </si>
  <si>
    <t>144820</t>
  </si>
  <si>
    <t>SCM2016 LEX REPL SUB BATTERY</t>
  </si>
  <si>
    <t>144821</t>
  </si>
  <si>
    <t>SCM2016 LEX LGCY RTU REPLACE</t>
  </si>
  <si>
    <t>144823</t>
  </si>
  <si>
    <t>SCM2016 EARL REPL LEGACY BRKR</t>
  </si>
  <si>
    <t>144825</t>
  </si>
  <si>
    <t>SCM2016 EARL REPL SUB BATTERY</t>
  </si>
  <si>
    <t>144826</t>
  </si>
  <si>
    <t>SCM2016 DAN CA DIFF RELAY REPL</t>
  </si>
  <si>
    <t>144873</t>
  </si>
  <si>
    <t>SCM2016 PINE REPL SUB BATTERY</t>
  </si>
  <si>
    <t>144874</t>
  </si>
  <si>
    <t>SCM2016 LEX MISC CAPITAL SUB</t>
  </si>
  <si>
    <t>144875</t>
  </si>
  <si>
    <t>SCM2016 LEX MISC NESC COMPL</t>
  </si>
  <si>
    <t>144876</t>
  </si>
  <si>
    <t>SCM2016 LEX REPL BREAKERS</t>
  </si>
  <si>
    <t>144877</t>
  </si>
  <si>
    <t>SCM2016 LEX REPL BUSHINGS</t>
  </si>
  <si>
    <t>144878</t>
  </si>
  <si>
    <t>SCM2016 LEX REPL REGULATORS</t>
  </si>
  <si>
    <t>144879</t>
  </si>
  <si>
    <t>SCM2016 LEX SUB BLDNG &amp; GND</t>
  </si>
  <si>
    <t>144880</t>
  </si>
  <si>
    <t>SCM2016 LEX WILDLIFE PROTECT</t>
  </si>
  <si>
    <t>144881</t>
  </si>
  <si>
    <t>SCM2016 EARL FAILED BRKR/RECL</t>
  </si>
  <si>
    <t>144882</t>
  </si>
  <si>
    <t>SCM2016 EARL MISC CAPITAL SUB</t>
  </si>
  <si>
    <t>144883</t>
  </si>
  <si>
    <t>SCM2016 EARL MISC NESC COMPL</t>
  </si>
  <si>
    <t>144884</t>
  </si>
  <si>
    <t>SCM2016 EARL WILDLIFE PROTECT</t>
  </si>
  <si>
    <t>144885</t>
  </si>
  <si>
    <t>SCM2016 CENT LIGHTNING PROTECT</t>
  </si>
  <si>
    <t>144886</t>
  </si>
  <si>
    <t>SCM2016 CENT LTC OIL FILT ADDS</t>
  </si>
  <si>
    <t>144887</t>
  </si>
  <si>
    <t>SCM2016 KU OIL CONTAINMENT UPG</t>
  </si>
  <si>
    <t>144896</t>
  </si>
  <si>
    <t>SCM2016 PINE FAILED BRKR/RECL</t>
  </si>
  <si>
    <t>144897</t>
  </si>
  <si>
    <t>SCM2016 PINE MISC CAPITAL SUB</t>
  </si>
  <si>
    <t>144898</t>
  </si>
  <si>
    <t>SCM2016 PINE MISC NESC COMPL</t>
  </si>
  <si>
    <t>144899</t>
  </si>
  <si>
    <t>SCM2016 PINE SUB BLDNG &amp; GND</t>
  </si>
  <si>
    <t>144900</t>
  </si>
  <si>
    <t>SCM2016 PINE WILDLIFE PROTECT</t>
  </si>
  <si>
    <t>144903</t>
  </si>
  <si>
    <t>SCM2016 PINE TOOLS &amp; EQUIPMENT</t>
  </si>
  <si>
    <t>144904</t>
  </si>
  <si>
    <t>SCM2016 EARL TOOLS &amp; EQUIPMENT</t>
  </si>
  <si>
    <t>144905</t>
  </si>
  <si>
    <t>SCM2016 LEX TOOLS &amp; EQUIPMENT</t>
  </si>
  <si>
    <t>144907</t>
  </si>
  <si>
    <t>SCM2016 DAN TOOLS &amp; EQUIPMENT</t>
  </si>
  <si>
    <t>144953</t>
  </si>
  <si>
    <t>KU HW/SW 2015</t>
  </si>
  <si>
    <t>144962</t>
  </si>
  <si>
    <t>REL-Farley/Artemus/Pine Panels</t>
  </si>
  <si>
    <t>144970</t>
  </si>
  <si>
    <t>REL BARTON MOS</t>
  </si>
  <si>
    <t>144992</t>
  </si>
  <si>
    <t>KU SECURITY EQUIPMENT 2015</t>
  </si>
  <si>
    <t>144994</t>
  </si>
  <si>
    <t>KU CAMERAS 2016</t>
  </si>
  <si>
    <t>144996</t>
  </si>
  <si>
    <t>KU FIRE SYSTEMS 2016</t>
  </si>
  <si>
    <t>144998</t>
  </si>
  <si>
    <t>KU SECURITY EQUIPMENT 2016</t>
  </si>
  <si>
    <t>145011</t>
  </si>
  <si>
    <t>KU CAMERAS 2017</t>
  </si>
  <si>
    <t>145120</t>
  </si>
  <si>
    <t>Paris Forklift 5000#</t>
  </si>
  <si>
    <t>145405</t>
  </si>
  <si>
    <t>Adv Meter Sys KU 2015</t>
  </si>
  <si>
    <t>145855KU</t>
  </si>
  <si>
    <t>TC KU LAB MONITORS 2015</t>
  </si>
  <si>
    <t>145882</t>
  </si>
  <si>
    <t>BR3 "A" Aux Xfmr Buss Sections</t>
  </si>
  <si>
    <t>145887</t>
  </si>
  <si>
    <t>Airport/Keeneland Reliability</t>
  </si>
  <si>
    <t>146001KU</t>
  </si>
  <si>
    <t>TC KU LAB EQUIP 2016</t>
  </si>
  <si>
    <t>146002KU</t>
  </si>
  <si>
    <t>TC KU LAB MONITORS 2016</t>
  </si>
  <si>
    <t>146004KU</t>
  </si>
  <si>
    <t>TC KU PREDICT MAINT DEV 2016</t>
  </si>
  <si>
    <t>146005KU</t>
  </si>
  <si>
    <t>TC KU SAFETY ERT EQUIP 2016</t>
  </si>
  <si>
    <t>146135</t>
  </si>
  <si>
    <t>University of Cumb - Wburg</t>
  </si>
  <si>
    <t>146413</t>
  </si>
  <si>
    <t>TRANSFORMERS FROM LGE1</t>
  </si>
  <si>
    <t>146421</t>
  </si>
  <si>
    <t>Cumberland Gap Nat Pk</t>
  </si>
  <si>
    <t>146424</t>
  </si>
  <si>
    <t>Danville 2015 PITP project</t>
  </si>
  <si>
    <t>146425</t>
  </si>
  <si>
    <t>Pineville PITP Project 2015</t>
  </si>
  <si>
    <t>146426</t>
  </si>
  <si>
    <t>Earlington PITP project 2015</t>
  </si>
  <si>
    <t>146427</t>
  </si>
  <si>
    <t>Elizabethtown PITP 2015</t>
  </si>
  <si>
    <t>146428</t>
  </si>
  <si>
    <t>Richmond 2015 PITP project</t>
  </si>
  <si>
    <t>146429</t>
  </si>
  <si>
    <t>Norton PITP 2015 project</t>
  </si>
  <si>
    <t>146436</t>
  </si>
  <si>
    <t>Lexington 2015 PITP</t>
  </si>
  <si>
    <t>146439</t>
  </si>
  <si>
    <t>Higby Mill Firewall</t>
  </si>
  <si>
    <t>146457</t>
  </si>
  <si>
    <t>Livingston County Reactor</t>
  </si>
  <si>
    <t>146522</t>
  </si>
  <si>
    <t>XFER TRANSFORMERS FROM LGE</t>
  </si>
  <si>
    <t>146526</t>
  </si>
  <si>
    <t>LOUDEN RENOVATIONS</t>
  </si>
  <si>
    <t>146574</t>
  </si>
  <si>
    <t>TRANSFER XFMR TO KU</t>
  </si>
  <si>
    <t>146595</t>
  </si>
  <si>
    <t>Verda 4479</t>
  </si>
  <si>
    <t>146598</t>
  </si>
  <si>
    <t>WBurg S. Ckt 0226</t>
  </si>
  <si>
    <t>146602</t>
  </si>
  <si>
    <t>N-1 DIST XFMR LAKESHORE SUB</t>
  </si>
  <si>
    <t>146606</t>
  </si>
  <si>
    <t>N-1 DIST XFMR LAKESHORE CW</t>
  </si>
  <si>
    <t>146609</t>
  </si>
  <si>
    <t>BR Oil/Water Sep Level Indctrs</t>
  </si>
  <si>
    <t>146684</t>
  </si>
  <si>
    <t>SCM2015 DAN MISC CAPITAL</t>
  </si>
  <si>
    <t>146688</t>
  </si>
  <si>
    <t>SCM2015 DAN WILDLIFE PROT</t>
  </si>
  <si>
    <t>146700</t>
  </si>
  <si>
    <t>NEWTOWN PIKE EXTENSION</t>
  </si>
  <si>
    <t>146702</t>
  </si>
  <si>
    <t>NRP FARLEY-ALCALDE</t>
  </si>
  <si>
    <t>146706</t>
  </si>
  <si>
    <t>GRAHAMVILLE-WICKLIFFE P2</t>
  </si>
  <si>
    <t>146708</t>
  </si>
  <si>
    <t>N-1 DISTXFMR INNOVATION DR SUB</t>
  </si>
  <si>
    <t>146710</t>
  </si>
  <si>
    <t>NRP BROWN-FAWKES 138KV</t>
  </si>
  <si>
    <t>146714KU</t>
  </si>
  <si>
    <t>TC KU OFFICE REBUILD 2015</t>
  </si>
  <si>
    <t>146731</t>
  </si>
  <si>
    <t>W. Frankfort 69kV Brk (Reimb)</t>
  </si>
  <si>
    <t>146757</t>
  </si>
  <si>
    <t>Lakeshore New Circuit</t>
  </si>
  <si>
    <t>146762</t>
  </si>
  <si>
    <t>London Frontage Rd</t>
  </si>
  <si>
    <t>146763</t>
  </si>
  <si>
    <t>LEBANON EAST SUB PROJECT</t>
  </si>
  <si>
    <t>146785</t>
  </si>
  <si>
    <t>Wasioto 119 Widening</t>
  </si>
  <si>
    <t>146789</t>
  </si>
  <si>
    <t>BOC FURNITURE-KU</t>
  </si>
  <si>
    <t>146822</t>
  </si>
  <si>
    <t>2015 CEMI Earlington</t>
  </si>
  <si>
    <t>146823</t>
  </si>
  <si>
    <t>Lex Arc Flash Ash Ave 2-0111</t>
  </si>
  <si>
    <t>146824</t>
  </si>
  <si>
    <t>Arc Flash Dan Lancaster 2</t>
  </si>
  <si>
    <t>146827</t>
  </si>
  <si>
    <t>2015 CEMI Shelbyville</t>
  </si>
  <si>
    <t>146858</t>
  </si>
  <si>
    <t>SPIR GHENT-NAS</t>
  </si>
  <si>
    <t>146899</t>
  </si>
  <si>
    <t>Nortonville 0819 KU CIFI 2016</t>
  </si>
  <si>
    <t>146902</t>
  </si>
  <si>
    <t>Stonewall 0096 CIFI 2015</t>
  </si>
  <si>
    <t>146903</t>
  </si>
  <si>
    <t>Reynolds 0044 KU CIFI 2016</t>
  </si>
  <si>
    <t>146904</t>
  </si>
  <si>
    <t>Picadome 0232 KU CIFI 2016</t>
  </si>
  <si>
    <t>146905</t>
  </si>
  <si>
    <t>Parkers Mill 0051 CIFI 2015</t>
  </si>
  <si>
    <t>146906</t>
  </si>
  <si>
    <t>A O Smith 0607 CIFI 2015</t>
  </si>
  <si>
    <t>146907</t>
  </si>
  <si>
    <t>SHUN PIKE 0581 KU CIFI 2016</t>
  </si>
  <si>
    <t>146909</t>
  </si>
  <si>
    <t>CEMI ETOWN 2015</t>
  </si>
  <si>
    <t>146910</t>
  </si>
  <si>
    <t>Harlan 4406 CIFI 2015</t>
  </si>
  <si>
    <t>146911</t>
  </si>
  <si>
    <t>Stinking Creek 0313 CIFI 2016</t>
  </si>
  <si>
    <t>146925</t>
  </si>
  <si>
    <t>Online Mon Equip - W. Lex</t>
  </si>
  <si>
    <t>146936</t>
  </si>
  <si>
    <t>RECEIVE 2 XFMRS FROM LGE</t>
  </si>
  <si>
    <t>146939</t>
  </si>
  <si>
    <t>Lebanon East #427 Exits</t>
  </si>
  <si>
    <t>146941</t>
  </si>
  <si>
    <t>LEBANON EAST TRNSFRMR ADD</t>
  </si>
  <si>
    <t>146982</t>
  </si>
  <si>
    <t>PR Ghent-Blackwell 138kV</t>
  </si>
  <si>
    <t>146983</t>
  </si>
  <si>
    <t>NRP GHENT-BLACKWELL 138kV</t>
  </si>
  <si>
    <t>146984</t>
  </si>
  <si>
    <t>NRP BLACKWELL-KENTON 138kV</t>
  </si>
  <si>
    <t>146997</t>
  </si>
  <si>
    <t>HIGBY MILL-KY RIVER P2</t>
  </si>
  <si>
    <t>146KU16</t>
  </si>
  <si>
    <t>MR Hardware-KU16</t>
  </si>
  <si>
    <t>147011</t>
  </si>
  <si>
    <t>BOC SECURITY RENOVATION-KU</t>
  </si>
  <si>
    <t>147024</t>
  </si>
  <si>
    <t>REPLACE MIDWAY TRANSFORMER</t>
  </si>
  <si>
    <t>147030</t>
  </si>
  <si>
    <t>BR2 Duct Probes &amp; Analyzers</t>
  </si>
  <si>
    <t>147032</t>
  </si>
  <si>
    <t>RECEIVE 2 XFMR FROM LGE</t>
  </si>
  <si>
    <t>147087</t>
  </si>
  <si>
    <t>KU NALCO ENGINEERING</t>
  </si>
  <si>
    <t>147089</t>
  </si>
  <si>
    <t>ONE Q KU FITNESS CENTER 2015</t>
  </si>
  <si>
    <t>147091KU</t>
  </si>
  <si>
    <t>GS GE CORS ENG KU</t>
  </si>
  <si>
    <t>147101</t>
  </si>
  <si>
    <t>URD Cable Inj - LEXOC</t>
  </si>
  <si>
    <t>147130</t>
  </si>
  <si>
    <t>NRP KENTON-RODBURN 138kV</t>
  </si>
  <si>
    <t>147131</t>
  </si>
  <si>
    <t>PR Kenton-Rodburn 138kV</t>
  </si>
  <si>
    <t>147154</t>
  </si>
  <si>
    <t>RECEIVE TRANSFORMER FROM LGE</t>
  </si>
  <si>
    <t>147159</t>
  </si>
  <si>
    <t>Rpl Danville N 604 &amp; 608 Brkrs</t>
  </si>
  <si>
    <t>147161</t>
  </si>
  <si>
    <t>Rpl Taylor County 804 Brkr</t>
  </si>
  <si>
    <t>147162</t>
  </si>
  <si>
    <t>Rpl Harlan Wye 614 Breaker</t>
  </si>
  <si>
    <t>147180KU</t>
  </si>
  <si>
    <t>TC KU BAP/GSP SLOPE IMPROV</t>
  </si>
  <si>
    <t>147211</t>
  </si>
  <si>
    <t>ETOWN LAND</t>
  </si>
  <si>
    <t>147217</t>
  </si>
  <si>
    <t>TEP-W. Cliff-Shakertown Term</t>
  </si>
  <si>
    <t>147218</t>
  </si>
  <si>
    <t>TEP-Brown Subs Term Eqp</t>
  </si>
  <si>
    <t>147233</t>
  </si>
  <si>
    <t>Wheatcroft 614 Brkr Rpl</t>
  </si>
  <si>
    <t>147241</t>
  </si>
  <si>
    <t>TEP Corydon-Highland Mine 69kV</t>
  </si>
  <si>
    <t>147243</t>
  </si>
  <si>
    <t>BR3 SCR 3rd Layer Catalyst 16</t>
  </si>
  <si>
    <t>147286</t>
  </si>
  <si>
    <t>PR Spencer Road-Clark Co 69kV</t>
  </si>
  <si>
    <t>147287KU</t>
  </si>
  <si>
    <t>TC KU REROUTE WATER FLOW</t>
  </si>
  <si>
    <t>147302</t>
  </si>
  <si>
    <t>SIMPSONVILLE FENCE KU TR</t>
  </si>
  <si>
    <t>147303</t>
  </si>
  <si>
    <t>GH1 SCR NOx Process Monitor</t>
  </si>
  <si>
    <t>147313</t>
  </si>
  <si>
    <t>PR Bardstown-Elizabethtown</t>
  </si>
  <si>
    <t>147315</t>
  </si>
  <si>
    <t>PR Lebanon-Springfield</t>
  </si>
  <si>
    <t>147334</t>
  </si>
  <si>
    <t>PR London-Sweet Hollow 69kV</t>
  </si>
  <si>
    <t>147335</t>
  </si>
  <si>
    <t>PR Green Rvr Plnt-Morganfield</t>
  </si>
  <si>
    <t>147341</t>
  </si>
  <si>
    <t>Walker Bushings</t>
  </si>
  <si>
    <t>147344</t>
  </si>
  <si>
    <t>Dorchester Bushings</t>
  </si>
  <si>
    <t>147345</t>
  </si>
  <si>
    <t>Earlington North Bushings</t>
  </si>
  <si>
    <t>147350</t>
  </si>
  <si>
    <t>GH3 Scanner Air Fan Repl</t>
  </si>
  <si>
    <t>147360</t>
  </si>
  <si>
    <t>Tyrone Ground Grid</t>
  </si>
  <si>
    <t>147405</t>
  </si>
  <si>
    <t>GH1-6 Feeder &amp; Outlet Hop Repl</t>
  </si>
  <si>
    <t>147442</t>
  </si>
  <si>
    <t>N-1 DIST XFMR CENTRAL CITY SUB</t>
  </si>
  <si>
    <t>147450</t>
  </si>
  <si>
    <t>NRP Brown North-Hardin Co</t>
  </si>
  <si>
    <t>147460</t>
  </si>
  <si>
    <t>GH1 12" Boiler Sump Line</t>
  </si>
  <si>
    <t>147461</t>
  </si>
  <si>
    <t>NRP Grn Rvr Plnt-Grn Rvr Steel</t>
  </si>
  <si>
    <t>147463</t>
  </si>
  <si>
    <t>NRP Grn Rvr Steel-Cloverport</t>
  </si>
  <si>
    <t>147465</t>
  </si>
  <si>
    <t>NRP Livingston-So Paducah</t>
  </si>
  <si>
    <t>147466</t>
  </si>
  <si>
    <t>NRP Crittenden-Morganfield</t>
  </si>
  <si>
    <t>147467</t>
  </si>
  <si>
    <t>NRP Grn Rvr Plnt-Erlngton No</t>
  </si>
  <si>
    <t>147473</t>
  </si>
  <si>
    <t>NRP Cloverport-Hardinsburg</t>
  </si>
  <si>
    <t>147474</t>
  </si>
  <si>
    <t>NRP Hrdnsburg-Cen Hrdn EKPC</t>
  </si>
  <si>
    <t>147478</t>
  </si>
  <si>
    <t>NRP GR Plant-Morganfield</t>
  </si>
  <si>
    <t>147480</t>
  </si>
  <si>
    <t>REL Esserville Switch</t>
  </si>
  <si>
    <t>147534</t>
  </si>
  <si>
    <t>REL Radcliff Switch</t>
  </si>
  <si>
    <t>147655</t>
  </si>
  <si>
    <t>GH4 SCR Dilution Steam Ctrls</t>
  </si>
  <si>
    <t>147699</t>
  </si>
  <si>
    <t>GH4 Turb Sealing Steam Ctrls</t>
  </si>
  <si>
    <t>147702</t>
  </si>
  <si>
    <t>GH3 Crusher Hoists</t>
  </si>
  <si>
    <t>147712</t>
  </si>
  <si>
    <t>GH3 SCR Dilution Steam Ctrls</t>
  </si>
  <si>
    <t>147713</t>
  </si>
  <si>
    <t>GH2 Beck Drive Wiring Repl</t>
  </si>
  <si>
    <t>147822</t>
  </si>
  <si>
    <t>Buena Vista Ckt 2104 Rec</t>
  </si>
  <si>
    <t>147824</t>
  </si>
  <si>
    <t>Central City N1DT Ckt Work</t>
  </si>
  <si>
    <t>147875</t>
  </si>
  <si>
    <t>GH Gys Farm Containment Berm</t>
  </si>
  <si>
    <t>147889</t>
  </si>
  <si>
    <t>BRCY Fire Panel Repl</t>
  </si>
  <si>
    <t>147890</t>
  </si>
  <si>
    <t>BR3 Conv Room Fire Panel</t>
  </si>
  <si>
    <t>147898</t>
  </si>
  <si>
    <t>BR1&amp;2 Turb Rm Crane Cntrl Upgr</t>
  </si>
  <si>
    <t>147901</t>
  </si>
  <si>
    <t>GH Central Tool Room</t>
  </si>
  <si>
    <t>147902</t>
  </si>
  <si>
    <t>GH3 FGD Sump Pump</t>
  </si>
  <si>
    <t>147906</t>
  </si>
  <si>
    <t>BR1 O2 Analyzer/Probe Repl</t>
  </si>
  <si>
    <t>147914</t>
  </si>
  <si>
    <t>BR2 DCS Battery Replacement</t>
  </si>
  <si>
    <t>147915</t>
  </si>
  <si>
    <t>BR1 DCS Battery Replacement</t>
  </si>
  <si>
    <t>147916</t>
  </si>
  <si>
    <t>BR3 Elevator Drive Replacement</t>
  </si>
  <si>
    <t>147924</t>
  </si>
  <si>
    <t>BR FGD Inlet Duct Lining</t>
  </si>
  <si>
    <t>147928</t>
  </si>
  <si>
    <t>BR 1A Feedwater Heater Repl</t>
  </si>
  <si>
    <t>147936</t>
  </si>
  <si>
    <t>BR2 APHC Repl</t>
  </si>
  <si>
    <t>147942</t>
  </si>
  <si>
    <t>BRCT5 C Insp &amp; Parts Recond</t>
  </si>
  <si>
    <t>147961</t>
  </si>
  <si>
    <t>BRCT11 AVR Upgrade</t>
  </si>
  <si>
    <t>147964</t>
  </si>
  <si>
    <t>DX Diesel Generator Install</t>
  </si>
  <si>
    <t>147966</t>
  </si>
  <si>
    <t>GH CCR RULING NON MECH</t>
  </si>
  <si>
    <t>147973</t>
  </si>
  <si>
    <t>TC KU CCR RULING NON MECH</t>
  </si>
  <si>
    <t>147981</t>
  </si>
  <si>
    <t>BR CY Flop Gate Actuators</t>
  </si>
  <si>
    <t>147983</t>
  </si>
  <si>
    <t>BR1 Steam Separators Repl</t>
  </si>
  <si>
    <t>147984</t>
  </si>
  <si>
    <t>BR CEMS Dataloggers</t>
  </si>
  <si>
    <t>147985</t>
  </si>
  <si>
    <t>BRCT CEMS Dataloggers</t>
  </si>
  <si>
    <t>147986KU</t>
  </si>
  <si>
    <t>TC KU PROXIM ACCESS READ INST</t>
  </si>
  <si>
    <t>147KU16</t>
  </si>
  <si>
    <t>MV90 upgrade-KU16</t>
  </si>
  <si>
    <t>148021</t>
  </si>
  <si>
    <t>DANVILLE BO REPL DOOR/WINDOWS</t>
  </si>
  <si>
    <t>148024</t>
  </si>
  <si>
    <t>REPL WINDOWS AT DRIVE THRU</t>
  </si>
  <si>
    <t>148027</t>
  </si>
  <si>
    <t>CARPET/FLOORING - KU 2016</t>
  </si>
  <si>
    <t>148029</t>
  </si>
  <si>
    <t>RICHMOND DRAINAGE REPL 2016</t>
  </si>
  <si>
    <t>148030</t>
  </si>
  <si>
    <t>WINCHESTER BACK STAIRS REPL</t>
  </si>
  <si>
    <t>148049</t>
  </si>
  <si>
    <t>XEROX EQ - KU 2016</t>
  </si>
  <si>
    <t>148088 KU</t>
  </si>
  <si>
    <t>PR Admin Building KU</t>
  </si>
  <si>
    <t>148121</t>
  </si>
  <si>
    <t>GH1 F MCC Repl</t>
  </si>
  <si>
    <t>148124</t>
  </si>
  <si>
    <t>GH4 SO3 Controls Repl</t>
  </si>
  <si>
    <t>148125</t>
  </si>
  <si>
    <t>GH I&amp;E Shop CalibrationEquip16</t>
  </si>
  <si>
    <t>148145KU</t>
  </si>
  <si>
    <t>GS SL Analytical Balance KU</t>
  </si>
  <si>
    <t>148196</t>
  </si>
  <si>
    <t>Rpl Brown North 912 Breaker</t>
  </si>
  <si>
    <t>148251</t>
  </si>
  <si>
    <t>DSP Richmond North Sub Prop</t>
  </si>
  <si>
    <t>148370</t>
  </si>
  <si>
    <t>REL-Hoover 604 Breaker Add</t>
  </si>
  <si>
    <t>148371</t>
  </si>
  <si>
    <t>REL-Earlington 604 Brkr Add</t>
  </si>
  <si>
    <t>148388</t>
  </si>
  <si>
    <t>REL Hughes Lane MOS</t>
  </si>
  <si>
    <t>148483</t>
  </si>
  <si>
    <t>Lex Arc Flash-Clays Mill 0145</t>
  </si>
  <si>
    <t>148485</t>
  </si>
  <si>
    <t>Lex Arc Flash-Clays Mill 0148</t>
  </si>
  <si>
    <t>148486</t>
  </si>
  <si>
    <t>Lex Arc Flash-Haefling 0055</t>
  </si>
  <si>
    <t>148487</t>
  </si>
  <si>
    <t>Lex Arc Flash- Higby Mill 0023</t>
  </si>
  <si>
    <t>148488</t>
  </si>
  <si>
    <t>Lex Arc Flash-Higby Mill 1071</t>
  </si>
  <si>
    <t>148489</t>
  </si>
  <si>
    <t>Lex Arc Flash IBM 1-0110</t>
  </si>
  <si>
    <t>148492</t>
  </si>
  <si>
    <t>Lex Arc Flash - IBM 2-0140</t>
  </si>
  <si>
    <t>148493</t>
  </si>
  <si>
    <t>Lex Arc Flash - Reyn.1-0044</t>
  </si>
  <si>
    <t>148494</t>
  </si>
  <si>
    <t>Lex Arc Flash - Reyn.2-0056</t>
  </si>
  <si>
    <t>148495</t>
  </si>
  <si>
    <t>Lex Arc Flash - Stonewall 0097</t>
  </si>
  <si>
    <t>148498</t>
  </si>
  <si>
    <t>EMS CHNL EXPANSION-KU-2015</t>
  </si>
  <si>
    <t>148602</t>
  </si>
  <si>
    <t>SCM2016 DAN REPL SUB BATTERY</t>
  </si>
  <si>
    <t>148607</t>
  </si>
  <si>
    <t>SCM2016 DAN REPL LEGACY BRKR</t>
  </si>
  <si>
    <t>148613</t>
  </si>
  <si>
    <t>SCM2016 LEX REPL LEGACY BRKR</t>
  </si>
  <si>
    <t>148616</t>
  </si>
  <si>
    <t>SCM2016 PINE REPL LEGACY BRKR</t>
  </si>
  <si>
    <t>148617</t>
  </si>
  <si>
    <t>SCM2016 KU REPL LTC/REG CNTRL</t>
  </si>
  <si>
    <t>148621</t>
  </si>
  <si>
    <t>SCM2016 DAN FAILED BRKR/RECL</t>
  </si>
  <si>
    <t>148622</t>
  </si>
  <si>
    <t>SCM2016 DAN MISC CAPITAL PROJ</t>
  </si>
  <si>
    <t>148623</t>
  </si>
  <si>
    <t>SCM2016 DAN MISC NESC COMPL</t>
  </si>
  <si>
    <t>148624</t>
  </si>
  <si>
    <t>SCM2016 DAN SUB BLDG &amp; GRNDS</t>
  </si>
  <si>
    <t>148625</t>
  </si>
  <si>
    <t>SCM2016 DAN WILDLIFE PROTECT</t>
  </si>
  <si>
    <t>148627</t>
  </si>
  <si>
    <t>SCM2016 EARL SUB BLDG &amp; GRNDS</t>
  </si>
  <si>
    <t>148631</t>
  </si>
  <si>
    <t>SCM2016 KU RPL XFMR FANS</t>
  </si>
  <si>
    <t>148644</t>
  </si>
  <si>
    <t>Rpl Brown North 924 Breaker</t>
  </si>
  <si>
    <t>148711</t>
  </si>
  <si>
    <t>Lexington Arrow Sign Boards</t>
  </si>
  <si>
    <t>148980</t>
  </si>
  <si>
    <t>TOYOTA SOUTH SUBSTATION</t>
  </si>
  <si>
    <t>148KU16</t>
  </si>
  <si>
    <t>Implement Corp. SIEM-KU16</t>
  </si>
  <si>
    <t>149026</t>
  </si>
  <si>
    <t>NERCALRT PNVL SW STN-PNVL TVA</t>
  </si>
  <si>
    <t>149027</t>
  </si>
  <si>
    <t>TEP-KU DFR 2016</t>
  </si>
  <si>
    <t>149029</t>
  </si>
  <si>
    <t>EARLINGTON POLE YARD</t>
  </si>
  <si>
    <t>149030</t>
  </si>
  <si>
    <t>PINEVILLE POLE YARD ENTRANCE</t>
  </si>
  <si>
    <t>149035</t>
  </si>
  <si>
    <t>CCS UPGRADE FURNITURE -KU</t>
  </si>
  <si>
    <t>149050</t>
  </si>
  <si>
    <t>Rpl (2) Indian Hill 69kV Brkrs</t>
  </si>
  <si>
    <t>149087</t>
  </si>
  <si>
    <t>Distribution Capacitors KU</t>
  </si>
  <si>
    <t>149096</t>
  </si>
  <si>
    <t>Earlington CapTools 2016</t>
  </si>
  <si>
    <t>149098</t>
  </si>
  <si>
    <t>Danville Cap Tools 2016</t>
  </si>
  <si>
    <t>149099</t>
  </si>
  <si>
    <t>Richmond Capital Tools 2016</t>
  </si>
  <si>
    <t>149101</t>
  </si>
  <si>
    <t>Elizabethtown Cap Tools 2016</t>
  </si>
  <si>
    <t>149102</t>
  </si>
  <si>
    <t>Shelbyville Cap Tools 2016</t>
  </si>
  <si>
    <t>149103</t>
  </si>
  <si>
    <t>Lexington Cap Tools 2016</t>
  </si>
  <si>
    <t>149104</t>
  </si>
  <si>
    <t>Maysville Cap Tools 2016</t>
  </si>
  <si>
    <t>149105</t>
  </si>
  <si>
    <t>Pineville Cap Tools 2016</t>
  </si>
  <si>
    <t>149106</t>
  </si>
  <si>
    <t>London Cap Tools 2016</t>
  </si>
  <si>
    <t>149107</t>
  </si>
  <si>
    <t>Norton Cap Tools 2016</t>
  </si>
  <si>
    <t>149114</t>
  </si>
  <si>
    <t>KUGO CONCRETE REPLACEMENT</t>
  </si>
  <si>
    <t>149122</t>
  </si>
  <si>
    <t>BR3 F-2 Feedwater Heater Repl</t>
  </si>
  <si>
    <t>149123KU</t>
  </si>
  <si>
    <t>TC CT KU INSTALL 345KV MODS</t>
  </si>
  <si>
    <t>149167</t>
  </si>
  <si>
    <t>Rpl (2) 69kV Ohio Co Brkrs</t>
  </si>
  <si>
    <t>149177</t>
  </si>
  <si>
    <t>GH2 WFGD IMPROVEMENTS</t>
  </si>
  <si>
    <t>149187</t>
  </si>
  <si>
    <t>BRCT Office Building Repl</t>
  </si>
  <si>
    <t>149341</t>
  </si>
  <si>
    <t>XFMR FROM LGE TO KU</t>
  </si>
  <si>
    <t>149343</t>
  </si>
  <si>
    <t>MCKEE ROAD XFMR REWIND</t>
  </si>
  <si>
    <t>149347</t>
  </si>
  <si>
    <t>GH1 HG CONTROL INJECTION</t>
  </si>
  <si>
    <t>149348</t>
  </si>
  <si>
    <t>GH2 HG CONTROL INJECTION</t>
  </si>
  <si>
    <t>149350</t>
  </si>
  <si>
    <t>GH3 HG CONTROL INJECTION</t>
  </si>
  <si>
    <t>149351</t>
  </si>
  <si>
    <t>GH4 HG CONTROL INJECTION</t>
  </si>
  <si>
    <t>149368</t>
  </si>
  <si>
    <t>E-Town Cap Bank Rpl</t>
  </si>
  <si>
    <t>149369</t>
  </si>
  <si>
    <t>Dow Corning Xfmr Rpl (Reimb)</t>
  </si>
  <si>
    <t>149466</t>
  </si>
  <si>
    <t>KU HW/SW 2016 ASSET MGMT</t>
  </si>
  <si>
    <t>149546</t>
  </si>
  <si>
    <t>URD Cable Rejuv KU</t>
  </si>
  <si>
    <t>149552</t>
  </si>
  <si>
    <t>MR 2016 FieldNet KU</t>
  </si>
  <si>
    <t>149669</t>
  </si>
  <si>
    <t>KUGO CCS UPGRADE</t>
  </si>
  <si>
    <t>149692</t>
  </si>
  <si>
    <t>GH 1&amp;2 Spare BCWP Conversion</t>
  </si>
  <si>
    <t>149705</t>
  </si>
  <si>
    <t>TEP-W Lex Reactor Additions</t>
  </si>
  <si>
    <t>149712</t>
  </si>
  <si>
    <t>RECEIVE 2 TRANS FROM LGE</t>
  </si>
  <si>
    <t>149726</t>
  </si>
  <si>
    <t>CIFI Viley Rd</t>
  </si>
  <si>
    <t>149727</t>
  </si>
  <si>
    <t>CIFI Haefling 0060</t>
  </si>
  <si>
    <t>149752</t>
  </si>
  <si>
    <t>Simpsonville Guard Station-KU</t>
  </si>
  <si>
    <t>149783</t>
  </si>
  <si>
    <t>PR Princeton-Crittenden Co</t>
  </si>
  <si>
    <t>149792</t>
  </si>
  <si>
    <t>BR3 Turb Rm Crane Radio Contr</t>
  </si>
  <si>
    <t>149793</t>
  </si>
  <si>
    <t>GH3 PA Duct Expansion Joints</t>
  </si>
  <si>
    <t>149852</t>
  </si>
  <si>
    <t>GH2 Turbine Room Roof Repl 15</t>
  </si>
  <si>
    <t>149862</t>
  </si>
  <si>
    <t>BR3 Turbine Valve Upgrade</t>
  </si>
  <si>
    <t>149873</t>
  </si>
  <si>
    <t>RECEIVE 3 TRANS FROM LGE</t>
  </si>
  <si>
    <t>149874</t>
  </si>
  <si>
    <t>HARLAN SR RENOVATION-2015</t>
  </si>
  <si>
    <t>149876</t>
  </si>
  <si>
    <t>BR F-1 &amp; B-1 Exp Joint Repl</t>
  </si>
  <si>
    <t>149890</t>
  </si>
  <si>
    <t>El Veh Charge Station KU 2015</t>
  </si>
  <si>
    <t>149891</t>
  </si>
  <si>
    <t>GH I&amp;E Shop Calibration Equip</t>
  </si>
  <si>
    <t>149903</t>
  </si>
  <si>
    <t>GH Trans Hse 2 Dust Collector</t>
  </si>
  <si>
    <t>149909KU</t>
  </si>
  <si>
    <t>TC KU RO UV LIGHT</t>
  </si>
  <si>
    <t>149917</t>
  </si>
  <si>
    <t>Carhartt Dist Ckt</t>
  </si>
  <si>
    <t>149919</t>
  </si>
  <si>
    <t>HANSON 12KV SUB UPGRADE</t>
  </si>
  <si>
    <t>149972KU</t>
  </si>
  <si>
    <t>GS GE ME Remote Vib KU</t>
  </si>
  <si>
    <t>149985</t>
  </si>
  <si>
    <t>GH 100k Fuel Oil Tank Berm</t>
  </si>
  <si>
    <t>149991</t>
  </si>
  <si>
    <t>BUILDING - KEVIL KY</t>
  </si>
  <si>
    <t>149992</t>
  </si>
  <si>
    <t>BUILDING - NORTON VA</t>
  </si>
  <si>
    <t>149993</t>
  </si>
  <si>
    <t>PINEVILLE METER SHOP RENO</t>
  </si>
  <si>
    <t>150008 KU</t>
  </si>
  <si>
    <t>PR13 AC Air Handler Repl KU</t>
  </si>
  <si>
    <t>150012</t>
  </si>
  <si>
    <t>RECEIVE 1 TRANS FROM LGE</t>
  </si>
  <si>
    <t>150012KU</t>
  </si>
  <si>
    <t>TC2 KU BOX HEADER AT DIPP</t>
  </si>
  <si>
    <t>150020</t>
  </si>
  <si>
    <t>GH1 FGD Battery Repl</t>
  </si>
  <si>
    <t>150030KU</t>
  </si>
  <si>
    <t>TC KU FA BARGE LO DUST COLL</t>
  </si>
  <si>
    <t>150032</t>
  </si>
  <si>
    <t>CIFI - TLP Program Lexington</t>
  </si>
  <si>
    <t>150037KU</t>
  </si>
  <si>
    <t>TC KU RACK SYS PW SWITHCGEAR</t>
  </si>
  <si>
    <t>150044</t>
  </si>
  <si>
    <t>SPARE 833KVA TRANSFORMER</t>
  </si>
  <si>
    <t>150046KU</t>
  </si>
  <si>
    <t>TC KU MACH SHOP WELD BOOTH</t>
  </si>
  <si>
    <t>150049</t>
  </si>
  <si>
    <t>GS GE 2016 Explorer KU</t>
  </si>
  <si>
    <t>150062</t>
  </si>
  <si>
    <t>BR BCWP Motor Rewind 2015</t>
  </si>
  <si>
    <t>150066</t>
  </si>
  <si>
    <t>UPGRADE GREEN RIVER 34KV RELAY</t>
  </si>
  <si>
    <t>150079KU</t>
  </si>
  <si>
    <t>GS GE ME Oil Skid KU</t>
  </si>
  <si>
    <t>150080KU</t>
  </si>
  <si>
    <t>GS GE Black Start KU</t>
  </si>
  <si>
    <t>150095</t>
  </si>
  <si>
    <t>FUL UPGRD EMS SWARE-KU-2016</t>
  </si>
  <si>
    <t>150112</t>
  </si>
  <si>
    <t>GH4 AH Outlet Duct Exp Joints</t>
  </si>
  <si>
    <t>150121</t>
  </si>
  <si>
    <t>BR3 Burner Nozzle Tip TC's</t>
  </si>
  <si>
    <t>150126</t>
  </si>
  <si>
    <t>NORTON FAC RELO LAND</t>
  </si>
  <si>
    <t>150133</t>
  </si>
  <si>
    <t>KUGO 3rd Floor Room 367</t>
  </si>
  <si>
    <t>150170</t>
  </si>
  <si>
    <t>Audiovisual Upgrade</t>
  </si>
  <si>
    <t>150184</t>
  </si>
  <si>
    <t>GH Sewage Lift Station Pump</t>
  </si>
  <si>
    <t>150186</t>
  </si>
  <si>
    <t>RECEIVE TRANS FROM LGE</t>
  </si>
  <si>
    <t>150211</t>
  </si>
  <si>
    <t>London Wire Trailer</t>
  </si>
  <si>
    <t>150217</t>
  </si>
  <si>
    <t>Parkers Mill Land Purchase</t>
  </si>
  <si>
    <t>150218</t>
  </si>
  <si>
    <t>KU Ky Wired Non-reimb</t>
  </si>
  <si>
    <t>150221</t>
  </si>
  <si>
    <t>KU Ky Wired Reimbursable</t>
  </si>
  <si>
    <t>150223</t>
  </si>
  <si>
    <t>OIL CONTAINMENT LEBANON JUNCT.</t>
  </si>
  <si>
    <t>150237</t>
  </si>
  <si>
    <t>Georgetown 0426 KU CIFI 2016</t>
  </si>
  <si>
    <t>150241</t>
  </si>
  <si>
    <t>River Queen OCB Kit Install</t>
  </si>
  <si>
    <t>150242</t>
  </si>
  <si>
    <t>Danville N OCB Kit Install</t>
  </si>
  <si>
    <t>150244</t>
  </si>
  <si>
    <t>W Frankfort OCB Kit Install</t>
  </si>
  <si>
    <t>150245</t>
  </si>
  <si>
    <t>Tyrone OCB Kit Install</t>
  </si>
  <si>
    <t>150246</t>
  </si>
  <si>
    <t>Rodburn OCB Kit Install</t>
  </si>
  <si>
    <t>150248</t>
  </si>
  <si>
    <t>Lebanon OCB Kit Install</t>
  </si>
  <si>
    <t>150249</t>
  </si>
  <si>
    <t>Boonesboro N OCB Kit Install</t>
  </si>
  <si>
    <t>150259</t>
  </si>
  <si>
    <t>GH1 APHC Heat Exchanger Repl</t>
  </si>
  <si>
    <t>150264</t>
  </si>
  <si>
    <t>RECEIVE 2 XFRM FROM LGE</t>
  </si>
  <si>
    <t>150270</t>
  </si>
  <si>
    <t>Wheatcroft OCB Kit Install</t>
  </si>
  <si>
    <t>150272</t>
  </si>
  <si>
    <t>INNOVATION 0593 KU CIFI 2016</t>
  </si>
  <si>
    <t>150276</t>
  </si>
  <si>
    <t>WILMORE 12KV 0585 CIFI 2016</t>
  </si>
  <si>
    <t>150279</t>
  </si>
  <si>
    <t>LAWRENCEBURG 2515 KU CIFI 2017</t>
  </si>
  <si>
    <t>150282</t>
  </si>
  <si>
    <t>WILSON DOWN 0081 KU CIFI 2016</t>
  </si>
  <si>
    <t>150285</t>
  </si>
  <si>
    <t>Earlington PITP 2016</t>
  </si>
  <si>
    <t>150287</t>
  </si>
  <si>
    <t>Elizabethtown PITP 2016</t>
  </si>
  <si>
    <t>150288</t>
  </si>
  <si>
    <t>Maysville PITP 2016</t>
  </si>
  <si>
    <t>150289</t>
  </si>
  <si>
    <t>Richmond PITP 2016</t>
  </si>
  <si>
    <t>150290</t>
  </si>
  <si>
    <t>London PITP 2016</t>
  </si>
  <si>
    <t>150291</t>
  </si>
  <si>
    <t>Pineville PITP 2016</t>
  </si>
  <si>
    <t>150292</t>
  </si>
  <si>
    <t>Danville PITP 2016</t>
  </si>
  <si>
    <t>150293</t>
  </si>
  <si>
    <t>Norton PITP 2016</t>
  </si>
  <si>
    <t>150305</t>
  </si>
  <si>
    <t>BW Drafting Printer - KU</t>
  </si>
  <si>
    <t>150331</t>
  </si>
  <si>
    <t>KU FIBERTECH NON-REIMB</t>
  </si>
  <si>
    <t>150333</t>
  </si>
  <si>
    <t>KU FIBERTECH REIMBURSABLE</t>
  </si>
  <si>
    <t>150341</t>
  </si>
  <si>
    <t>London Automatic Gate-KU15</t>
  </si>
  <si>
    <t>150361</t>
  </si>
  <si>
    <t>SCM2015 XFRM FROM LGE TO KU</t>
  </si>
  <si>
    <t>150367</t>
  </si>
  <si>
    <t>GH 2-2 Pulv Gearbox</t>
  </si>
  <si>
    <t>150368</t>
  </si>
  <si>
    <t>KY 89 Hwy Project Richmond</t>
  </si>
  <si>
    <t>150371</t>
  </si>
  <si>
    <t>CIFI 2016 London 0205</t>
  </si>
  <si>
    <t>150372</t>
  </si>
  <si>
    <t>Ferguson South 0539 CIFI 2016</t>
  </si>
  <si>
    <t>150374</t>
  </si>
  <si>
    <t>Big Stone Gap 4701 CIFI 2016</t>
  </si>
  <si>
    <t>150375</t>
  </si>
  <si>
    <t>Dorchester 4603 CIFI 2016</t>
  </si>
  <si>
    <t>150376</t>
  </si>
  <si>
    <t>East Stone Gap 4721 CIFI 2016</t>
  </si>
  <si>
    <t>150378</t>
  </si>
  <si>
    <t>Dayhoit 0414 CIFI 2016</t>
  </si>
  <si>
    <t>150380</t>
  </si>
  <si>
    <t>Evarts 4475 Small Wire 2016</t>
  </si>
  <si>
    <t>150382</t>
  </si>
  <si>
    <t>CLINCH VALLEY BREAKER</t>
  </si>
  <si>
    <t>150383KU</t>
  </si>
  <si>
    <t>TC2 KU 3RD STAGE BUCKETS</t>
  </si>
  <si>
    <t>150406</t>
  </si>
  <si>
    <t>BRCT 8 Gas Detection Syst Repl</t>
  </si>
  <si>
    <t>150414</t>
  </si>
  <si>
    <t>London CEMI 2016</t>
  </si>
  <si>
    <t>150428</t>
  </si>
  <si>
    <t>REPL BUSHINGS RICHMOND IND.</t>
  </si>
  <si>
    <t>150442</t>
  </si>
  <si>
    <t>REPLACE TRANS BENS BRANCH SUB</t>
  </si>
  <si>
    <t>150468</t>
  </si>
  <si>
    <t>Comp-related Equip KU 2016</t>
  </si>
  <si>
    <t>150475</t>
  </si>
  <si>
    <t>2015 RECEIVE TRANS FROM LGE</t>
  </si>
  <si>
    <t>150492</t>
  </si>
  <si>
    <t>PINEVILLE/HARLAN CEMI 2016</t>
  </si>
  <si>
    <t>150624</t>
  </si>
  <si>
    <t>Earlington CEMI</t>
  </si>
  <si>
    <t>150625</t>
  </si>
  <si>
    <t>Mineral Gap Data Center</t>
  </si>
  <si>
    <t>150636</t>
  </si>
  <si>
    <t>Middlesboro (5) Brkr Rpl</t>
  </si>
  <si>
    <t>150642</t>
  </si>
  <si>
    <t>KU Park Surge Arrestor/PT</t>
  </si>
  <si>
    <t>150644</t>
  </si>
  <si>
    <t>Ghent Redesign 138kV-P&amp;C</t>
  </si>
  <si>
    <t>150646</t>
  </si>
  <si>
    <t>PR Livingston-South Paducah</t>
  </si>
  <si>
    <t>150647</t>
  </si>
  <si>
    <t>GH 2-3 PA Fan Replacement</t>
  </si>
  <si>
    <t>150648</t>
  </si>
  <si>
    <t>PR Green Rvr Steel-Cloverport</t>
  </si>
  <si>
    <t>150649KU</t>
  </si>
  <si>
    <t>TC CT9 KU GEN RWND</t>
  </si>
  <si>
    <t>150652</t>
  </si>
  <si>
    <t>PR Blackwell-Kenton</t>
  </si>
  <si>
    <t>150653</t>
  </si>
  <si>
    <t>Carntown 0947 Sm Wire 2016</t>
  </si>
  <si>
    <t>150657</t>
  </si>
  <si>
    <t>CLAYS MILL 0145 CIFI 2016</t>
  </si>
  <si>
    <t>150662</t>
  </si>
  <si>
    <t>BOC CIP BADGING REMODEL-KU</t>
  </si>
  <si>
    <t>150674</t>
  </si>
  <si>
    <t>11TH FL RECONFIG LGE CTR KU</t>
  </si>
  <si>
    <t>150679KU</t>
  </si>
  <si>
    <t>TC KU F1 CONV MTR RWND</t>
  </si>
  <si>
    <t>150681KU</t>
  </si>
  <si>
    <t>TC2 KU EXP JOINT REPL</t>
  </si>
  <si>
    <t>150685</t>
  </si>
  <si>
    <t>GH1 Front RH Pendant Tube Repl</t>
  </si>
  <si>
    <t>150687</t>
  </si>
  <si>
    <t>PR Pocket-Pennington Gap</t>
  </si>
  <si>
    <t>150717</t>
  </si>
  <si>
    <t>N1DT WEST HICKMAN EXPANSION</t>
  </si>
  <si>
    <t>150722</t>
  </si>
  <si>
    <t>SUPPLY CHAIN OFF RENO-KU</t>
  </si>
  <si>
    <t>150728</t>
  </si>
  <si>
    <t>BR RO-2 Membrane Repl</t>
  </si>
  <si>
    <t>150731</t>
  </si>
  <si>
    <t>Hardinsburg 704 Brkr Overhaul</t>
  </si>
  <si>
    <t>150733</t>
  </si>
  <si>
    <t>Etown Insulator Rpl</t>
  </si>
  <si>
    <t>150737</t>
  </si>
  <si>
    <t>GH 0-2C Gypsum Slurry Motor</t>
  </si>
  <si>
    <t>150738</t>
  </si>
  <si>
    <t>GH 4-2 Surge Silo Feeder Motor</t>
  </si>
  <si>
    <t>150739</t>
  </si>
  <si>
    <t>GH Barge Mooring Cell C-13</t>
  </si>
  <si>
    <t>150741</t>
  </si>
  <si>
    <t>Fawkes Ground Grid Rpl</t>
  </si>
  <si>
    <t>150742</t>
  </si>
  <si>
    <t>Danville Office Renov</t>
  </si>
  <si>
    <t>150743</t>
  </si>
  <si>
    <t>36DSP West Hickman Expansion</t>
  </si>
  <si>
    <t>150748</t>
  </si>
  <si>
    <t>BRCT Buffalo Pump Repl/Rbld</t>
  </si>
  <si>
    <t>150752</t>
  </si>
  <si>
    <t>BOC FAILED EQP/FURNITURE KU</t>
  </si>
  <si>
    <t>150754</t>
  </si>
  <si>
    <t>Alcalde Station Service</t>
  </si>
  <si>
    <t>150759</t>
  </si>
  <si>
    <t>GH 1-1 Transport Blower</t>
  </si>
  <si>
    <t>150772</t>
  </si>
  <si>
    <t>Pineville 345kV Brkrs</t>
  </si>
  <si>
    <t>150775</t>
  </si>
  <si>
    <t>BR3 CR Dust Collctr Valve Repl</t>
  </si>
  <si>
    <t>150776KU</t>
  </si>
  <si>
    <t>TC KU MILLING MACH</t>
  </si>
  <si>
    <t>150778</t>
  </si>
  <si>
    <t>GH3 Mill Trolley System</t>
  </si>
  <si>
    <t>150779</t>
  </si>
  <si>
    <t>London 2016 ATV Ranger</t>
  </si>
  <si>
    <t>150785</t>
  </si>
  <si>
    <t>Morehead West 0617 CIFI</t>
  </si>
  <si>
    <t>150786</t>
  </si>
  <si>
    <t>Liberty 0551 KU CIFI 2016</t>
  </si>
  <si>
    <t>150788</t>
  </si>
  <si>
    <t>BR1 ID Fan-FGD Dct Exp Jnt Rpl</t>
  </si>
  <si>
    <t>150790</t>
  </si>
  <si>
    <t>GH MH103 CCR Conv Belt Repl 16</t>
  </si>
  <si>
    <t>150791</t>
  </si>
  <si>
    <t>NRP Ghent-NAS 345kV Tap</t>
  </si>
  <si>
    <t>150793</t>
  </si>
  <si>
    <t>PR Adams-Penn 69kV</t>
  </si>
  <si>
    <t>150796</t>
  </si>
  <si>
    <t>GH MH110Z CCR Conv Belt Repl16</t>
  </si>
  <si>
    <t>150797</t>
  </si>
  <si>
    <t>GH MH111ZA CCR ConvBelt Repl16</t>
  </si>
  <si>
    <t>150798</t>
  </si>
  <si>
    <t>GH MH111ZB CCR ConvBelt Repl16</t>
  </si>
  <si>
    <t>150800</t>
  </si>
  <si>
    <t>RECEIVE 1 XFRM FROM LGE</t>
  </si>
  <si>
    <t>150801</t>
  </si>
  <si>
    <t>GH Personnel Carriers 16</t>
  </si>
  <si>
    <t>150802</t>
  </si>
  <si>
    <t>EKP Long Lick Tap</t>
  </si>
  <si>
    <t>150805</t>
  </si>
  <si>
    <t>OATI Software Change - KU</t>
  </si>
  <si>
    <t>150809</t>
  </si>
  <si>
    <t>GH 4J Conveyor Belt Repl 2016</t>
  </si>
  <si>
    <t>150810</t>
  </si>
  <si>
    <t>GH 4N5 Conveyor Belt Repl 2016</t>
  </si>
  <si>
    <t>150811</t>
  </si>
  <si>
    <t>GH 4N3 Conveyor Belt Repl 2016</t>
  </si>
  <si>
    <t>150838</t>
  </si>
  <si>
    <t>NRP Brown CT-Brown North</t>
  </si>
  <si>
    <t>150841</t>
  </si>
  <si>
    <t>PR Ghent-Scott County</t>
  </si>
  <si>
    <t>150842</t>
  </si>
  <si>
    <t>Princeton-Walker 69kV LTG</t>
  </si>
  <si>
    <t>150843</t>
  </si>
  <si>
    <t>GH1 Burner Repl 2016</t>
  </si>
  <si>
    <t>150844</t>
  </si>
  <si>
    <t>REL Madisonville Loop MOS</t>
  </si>
  <si>
    <t>150845</t>
  </si>
  <si>
    <t>REL-Madisonville Loop-Subs</t>
  </si>
  <si>
    <t>150846</t>
  </si>
  <si>
    <t>REL-Madisonville Loop-P&amp;C</t>
  </si>
  <si>
    <t>150847</t>
  </si>
  <si>
    <t>Green River Steel Switch</t>
  </si>
  <si>
    <t>150850</t>
  </si>
  <si>
    <t>BRCT #4 Ammonia Comp Ovhl</t>
  </si>
  <si>
    <t>150855</t>
  </si>
  <si>
    <t>GH1 CW Bypass Valve</t>
  </si>
  <si>
    <t>150856</t>
  </si>
  <si>
    <t>BR3 SCR Top Layer Catalyst 17</t>
  </si>
  <si>
    <t>150862</t>
  </si>
  <si>
    <t>Richmond 2327 CEMI</t>
  </si>
  <si>
    <t>150863</t>
  </si>
  <si>
    <t>GH 3-3 Cooling Tower Fan Motor</t>
  </si>
  <si>
    <t>150866KU</t>
  </si>
  <si>
    <t>TC FA KU COMBO MTR START</t>
  </si>
  <si>
    <t>150876</t>
  </si>
  <si>
    <t>Dorchester 602 Brkr CT Rpl</t>
  </si>
  <si>
    <t>150877</t>
  </si>
  <si>
    <t>Wofford 602 Brkr CT Rpl</t>
  </si>
  <si>
    <t>150878</t>
  </si>
  <si>
    <t>Elihu 644 Brkr CT Rpl</t>
  </si>
  <si>
    <t>150881</t>
  </si>
  <si>
    <t>8TH FLOOR KUGO CONF CTR</t>
  </si>
  <si>
    <t>150883</t>
  </si>
  <si>
    <t>XEROX WALL - BOC KU</t>
  </si>
  <si>
    <t>150885</t>
  </si>
  <si>
    <t>Diverse Comm 117-122</t>
  </si>
  <si>
    <t>150925</t>
  </si>
  <si>
    <t>NEW GATE &amp; SECURITY EQ-LEX</t>
  </si>
  <si>
    <t>150930</t>
  </si>
  <si>
    <t>Pineville OCB Overhaul</t>
  </si>
  <si>
    <t>150979KU</t>
  </si>
  <si>
    <t>GS GE Lab Equip 2016 KU</t>
  </si>
  <si>
    <t>151086KU</t>
  </si>
  <si>
    <t>TC KU COAL HANDLING ROOF</t>
  </si>
  <si>
    <t>151090</t>
  </si>
  <si>
    <t>GH 3G Conveyor Belt Repl 2016</t>
  </si>
  <si>
    <t>151092</t>
  </si>
  <si>
    <t>Smuckers 69kV Relocation</t>
  </si>
  <si>
    <t>151094</t>
  </si>
  <si>
    <t>RECEIVE 3 XFRM FROM LGE</t>
  </si>
  <si>
    <t>151102KU</t>
  </si>
  <si>
    <t>TC KU LSTONE CONV BELT</t>
  </si>
  <si>
    <t>151104</t>
  </si>
  <si>
    <t>KU Spare Relay Clocks-2016</t>
  </si>
  <si>
    <t>151109</t>
  </si>
  <si>
    <t>GH 4G Conveyor Belt Repl 2016</t>
  </si>
  <si>
    <t>151110</t>
  </si>
  <si>
    <t>SIMP AWNING PAD AND READER</t>
  </si>
  <si>
    <t>151112</t>
  </si>
  <si>
    <t>Kenton Relay Rpl</t>
  </si>
  <si>
    <t>151113</t>
  </si>
  <si>
    <t>West Hickman Land Purchase</t>
  </si>
  <si>
    <t>151120</t>
  </si>
  <si>
    <t>DNU TC CCRT FA KU</t>
  </si>
  <si>
    <t>151121</t>
  </si>
  <si>
    <t>DNU TC CCRT G KU</t>
  </si>
  <si>
    <t>151122</t>
  </si>
  <si>
    <t>DNU TC CCRT TRANS KU</t>
  </si>
  <si>
    <t>151123</t>
  </si>
  <si>
    <t>DNU TC CCRT LANDFILL KU</t>
  </si>
  <si>
    <t>151126KU</t>
  </si>
  <si>
    <t>GS GE BlackStart TC KU</t>
  </si>
  <si>
    <t>151134</t>
  </si>
  <si>
    <t>ETOWN SR OFFICE RECONFIG</t>
  </si>
  <si>
    <t>151141</t>
  </si>
  <si>
    <t>BR FGD Inlet Duct Exp Joint</t>
  </si>
  <si>
    <t>151142</t>
  </si>
  <si>
    <t>GS GE DISPLAY</t>
  </si>
  <si>
    <t>151153</t>
  </si>
  <si>
    <t>GH 1-2B Sewage Lift Stn Pump</t>
  </si>
  <si>
    <t>151154KU</t>
  </si>
  <si>
    <t>TC CT9 KU GEN STAT RE-WEDGE</t>
  </si>
  <si>
    <t>151156</t>
  </si>
  <si>
    <t>Mineral Gap Redundancy</t>
  </si>
  <si>
    <t>151157</t>
  </si>
  <si>
    <t>Wilmore 0586 - TLP</t>
  </si>
  <si>
    <t>151158</t>
  </si>
  <si>
    <t>Green River 3412 - CIFI 2016</t>
  </si>
  <si>
    <t>151159</t>
  </si>
  <si>
    <t>Tunnel Hill 1443 - SW 2016</t>
  </si>
  <si>
    <t>151161</t>
  </si>
  <si>
    <t>SIMP COMM CTR RECONF-KU</t>
  </si>
  <si>
    <t>151168 KU</t>
  </si>
  <si>
    <t>KU Power Maint Trainer</t>
  </si>
  <si>
    <t>151174</t>
  </si>
  <si>
    <t>BR CCRT Capital Spares</t>
  </si>
  <si>
    <t>151177</t>
  </si>
  <si>
    <t>TEP-Hardin Co Xfmr Add</t>
  </si>
  <si>
    <t>151181</t>
  </si>
  <si>
    <t>RECEIVE XFRM FROM LGE</t>
  </si>
  <si>
    <t>151182</t>
  </si>
  <si>
    <t>BR1 Cooling Twr Fan Mtr Rew 16</t>
  </si>
  <si>
    <t>151190</t>
  </si>
  <si>
    <t>GH2 CW Bypass Valve</t>
  </si>
  <si>
    <t>151192KU</t>
  </si>
  <si>
    <t>TC2 KU HPFW PIPE PLATFORMS</t>
  </si>
  <si>
    <t>151194KU</t>
  </si>
  <si>
    <t>TC2 KU TURB VOLT MONITOR</t>
  </si>
  <si>
    <t>151200</t>
  </si>
  <si>
    <t>2016 RECEIVE 2 XFRM FROM LGE</t>
  </si>
  <si>
    <t>151205KU</t>
  </si>
  <si>
    <t>TC KU BAP/GSP IMPROVE 2016</t>
  </si>
  <si>
    <t>151207</t>
  </si>
  <si>
    <t>Richmond Smallwire 2016</t>
  </si>
  <si>
    <t>151209</t>
  </si>
  <si>
    <t>GH3 Blowdown Line Reroute</t>
  </si>
  <si>
    <t>151220</t>
  </si>
  <si>
    <t>ERTs 2016 for KU</t>
  </si>
  <si>
    <t>151222</t>
  </si>
  <si>
    <t>GS SL Gas Bottle Shelter</t>
  </si>
  <si>
    <t>151235</t>
  </si>
  <si>
    <t>Somerset Card Readers</t>
  </si>
  <si>
    <t>151236</t>
  </si>
  <si>
    <t>GR Lawn Tractor</t>
  </si>
  <si>
    <t>151289KU</t>
  </si>
  <si>
    <t>GS GE Dam Impnd '16 TC KU</t>
  </si>
  <si>
    <t>151299</t>
  </si>
  <si>
    <t>GH 1J Conveyor Belt Repl 2016</t>
  </si>
  <si>
    <t>151300</t>
  </si>
  <si>
    <t>EDDYVILLE SR EXHAUST FAN</t>
  </si>
  <si>
    <t>151308</t>
  </si>
  <si>
    <t>Hanson 0811 - CIFI 2016</t>
  </si>
  <si>
    <t>151309</t>
  </si>
  <si>
    <t>Airline Rd CIFI 2016</t>
  </si>
  <si>
    <t>151310</t>
  </si>
  <si>
    <t>Beaver Dam N 919 CIFI 2016</t>
  </si>
  <si>
    <t>151311</t>
  </si>
  <si>
    <t>ETOWN 2 2411 CIFI 2016</t>
  </si>
  <si>
    <t>151312</t>
  </si>
  <si>
    <t>LaGrange Penal 2513 CIFI 2016</t>
  </si>
  <si>
    <t>151313</t>
  </si>
  <si>
    <t>Midway 12kV 0516 CIFI 2016</t>
  </si>
  <si>
    <t>151315</t>
  </si>
  <si>
    <t>IBM 103 CIFI 2016</t>
  </si>
  <si>
    <t>151316</t>
  </si>
  <si>
    <t>Carlisle 12kV CIFI 2016</t>
  </si>
  <si>
    <t>151317</t>
  </si>
  <si>
    <t>Shelby City 0533 CIFI 2016</t>
  </si>
  <si>
    <t>151318</t>
  </si>
  <si>
    <t>Mount Sterling 12kV CIFI 2016</t>
  </si>
  <si>
    <t>151319</t>
  </si>
  <si>
    <t>Boone Ave 0769 CIFI 2016</t>
  </si>
  <si>
    <t>151321</t>
  </si>
  <si>
    <t>GS GE Dam Impnd GH</t>
  </si>
  <si>
    <t>151329 KU</t>
  </si>
  <si>
    <t>CR7 Service Water Line KU</t>
  </si>
  <si>
    <t>151331 KU</t>
  </si>
  <si>
    <t>CR7 Station Buildings KU</t>
  </si>
  <si>
    <t>151333</t>
  </si>
  <si>
    <t>GH L3 Limestone Cnvyr VFD Rpl</t>
  </si>
  <si>
    <t>151347</t>
  </si>
  <si>
    <t>GH 3-1 Pulv Gearbox</t>
  </si>
  <si>
    <t>151351</t>
  </si>
  <si>
    <t>LG&amp;E CTR A/V EQ - 2016 KU</t>
  </si>
  <si>
    <t>151359</t>
  </si>
  <si>
    <t>Meter Shop 2016 Pineville TB&amp;A</t>
  </si>
  <si>
    <t>151364</t>
  </si>
  <si>
    <t>Meter Shop 16 KU Pineville HVP</t>
  </si>
  <si>
    <t>151382</t>
  </si>
  <si>
    <t>GH2 Boiler Bldg LED Lighting</t>
  </si>
  <si>
    <t>151410</t>
  </si>
  <si>
    <t>MS 2016 Earlington P3PMSA</t>
  </si>
  <si>
    <t>151444</t>
  </si>
  <si>
    <t>SOMERSET STOREROOM LED LIGHT</t>
  </si>
  <si>
    <t>151449KU</t>
  </si>
  <si>
    <t>TC KU COMMON 480V BREAKER UPG</t>
  </si>
  <si>
    <t>151451</t>
  </si>
  <si>
    <t>BR3 BFP 10 Ton Hoist</t>
  </si>
  <si>
    <t>151468</t>
  </si>
  <si>
    <t>West Cliff Monitor</t>
  </si>
  <si>
    <t>151469</t>
  </si>
  <si>
    <t>Lake Reba Tap Monitor</t>
  </si>
  <si>
    <t>151470</t>
  </si>
  <si>
    <t>Business Offices CapEx 2016</t>
  </si>
  <si>
    <t>151474</t>
  </si>
  <si>
    <t>Hardin Co Xfmr Fan Rpl</t>
  </si>
  <si>
    <t>151551</t>
  </si>
  <si>
    <t>GH 2M2 Conveyor Repl 2016</t>
  </si>
  <si>
    <t>151552</t>
  </si>
  <si>
    <t>DESK AT LGE CENTER</t>
  </si>
  <si>
    <t>151554</t>
  </si>
  <si>
    <t>PR Hardinsburg-C Hardin EKPC</t>
  </si>
  <si>
    <t>151558</t>
  </si>
  <si>
    <t>GH Security Gate Operator</t>
  </si>
  <si>
    <t>151559KU</t>
  </si>
  <si>
    <t>GS GE Alarm Mgmt TC KU</t>
  </si>
  <si>
    <t>151563KU</t>
  </si>
  <si>
    <t>GS GE Alarm Mgmt CR KU</t>
  </si>
  <si>
    <t>151598</t>
  </si>
  <si>
    <t>N1DT KU Spare Transformers</t>
  </si>
  <si>
    <t>151667</t>
  </si>
  <si>
    <t>2 REGULATORS FROM LGE</t>
  </si>
  <si>
    <t>151679</t>
  </si>
  <si>
    <t>M&amp;C Sorbent Trap System</t>
  </si>
  <si>
    <t>151721</t>
  </si>
  <si>
    <t>Richmond South 2321 CIFI 2016</t>
  </si>
  <si>
    <t>151761</t>
  </si>
  <si>
    <t>Fawkes Firewall/Cap Bank</t>
  </si>
  <si>
    <t>151785</t>
  </si>
  <si>
    <t>Polaris RGR 570 Lex</t>
  </si>
  <si>
    <t>151795</t>
  </si>
  <si>
    <t>GH DTLS LED Lighting</t>
  </si>
  <si>
    <t>151829</t>
  </si>
  <si>
    <t>Meldrum 0308 CIFI 2016</t>
  </si>
  <si>
    <t>151832</t>
  </si>
  <si>
    <t>Somerset 3 - CIFI 2016</t>
  </si>
  <si>
    <t>151834</t>
  </si>
  <si>
    <t>Poor Valley 0751 CIFI 2016</t>
  </si>
  <si>
    <t>151836</t>
  </si>
  <si>
    <t>Sandy Ridge 2 0676 CIFI 2016</t>
  </si>
  <si>
    <t>151885</t>
  </si>
  <si>
    <t>BR3-F Htr Extraction Chk Valve</t>
  </si>
  <si>
    <t>151886</t>
  </si>
  <si>
    <t>GH Property Acquisition 16</t>
  </si>
  <si>
    <t>151897</t>
  </si>
  <si>
    <t>Danville Drafting Plotter-KU</t>
  </si>
  <si>
    <t>151898</t>
  </si>
  <si>
    <t>West Frankfort Relay Rpl</t>
  </si>
  <si>
    <t>151905</t>
  </si>
  <si>
    <t>Green River Plant Switch Rpl</t>
  </si>
  <si>
    <t>151907</t>
  </si>
  <si>
    <t>Earlington Pole Lights-KU16</t>
  </si>
  <si>
    <t>151911</t>
  </si>
  <si>
    <t>EARLINGTON BO EMER LIGHTS</t>
  </si>
  <si>
    <t>151913</t>
  </si>
  <si>
    <t>EARLINGTON SIDEWALK REPL</t>
  </si>
  <si>
    <t>151936</t>
  </si>
  <si>
    <t>BR Video Conferencing Equip</t>
  </si>
  <si>
    <t>151954</t>
  </si>
  <si>
    <t>GH 0MH104Z ConveyorBelt Repl16</t>
  </si>
  <si>
    <t>151955KU</t>
  </si>
  <si>
    <t>TC2 KU GEN FIELD RWND</t>
  </si>
  <si>
    <t>151957KU</t>
  </si>
  <si>
    <t>TC2 KU GENERATOR STATOR</t>
  </si>
  <si>
    <t>151974</t>
  </si>
  <si>
    <t>BR02 Lmstne Slurry Tnk Flr Ref</t>
  </si>
  <si>
    <t>151975 KU</t>
  </si>
  <si>
    <t>CR7 SEE Transformer KU</t>
  </si>
  <si>
    <t>151987</t>
  </si>
  <si>
    <t>BR FGD Abs Inlet Exp Jnt Repl</t>
  </si>
  <si>
    <t>151KU16</t>
  </si>
  <si>
    <t>Entrprs Data Domain Expn-KU16</t>
  </si>
  <si>
    <t>152000KU</t>
  </si>
  <si>
    <t>TC CT KU GEN PROT RELAY</t>
  </si>
  <si>
    <t>152002KU</t>
  </si>
  <si>
    <t>TC CT KU EX2000 DFE CT5</t>
  </si>
  <si>
    <t>152003KU</t>
  </si>
  <si>
    <t>TC CT KU EX2000 DFE CT6</t>
  </si>
  <si>
    <t>152012KU</t>
  </si>
  <si>
    <t>TC CT KU MARK VI UPGD CT6</t>
  </si>
  <si>
    <t>152049KU</t>
  </si>
  <si>
    <t>TC2 BOILER WW REPL</t>
  </si>
  <si>
    <t>152099KU</t>
  </si>
  <si>
    <t>TC2 HP TURBINE BLADES</t>
  </si>
  <si>
    <t>152114</t>
  </si>
  <si>
    <t>GH 4N2 Conveyor Belt Repl 2016</t>
  </si>
  <si>
    <t>152117</t>
  </si>
  <si>
    <t>GH 5G Conveyor Belt Repl 2016</t>
  </si>
  <si>
    <t>152121</t>
  </si>
  <si>
    <t>GH 0-2 Gypsum Sump Pump Repl</t>
  </si>
  <si>
    <t>152141</t>
  </si>
  <si>
    <t>PBR-Lynch 69kV Brkr Rpl</t>
  </si>
  <si>
    <t>152145</t>
  </si>
  <si>
    <t>PBR-Salem 69kV Brkr Rpl</t>
  </si>
  <si>
    <t>152147</t>
  </si>
  <si>
    <t>PBR-Ohio County 69kV Brkr Rpl</t>
  </si>
  <si>
    <t>152148</t>
  </si>
  <si>
    <t>PBR-Sweet Hollow 69kV Brkr Rpl</t>
  </si>
  <si>
    <t>152151</t>
  </si>
  <si>
    <t>PBR-West Irvine 69kV Brkr Rpl</t>
  </si>
  <si>
    <t>152194</t>
  </si>
  <si>
    <t>BR CY Locker Room Refurb</t>
  </si>
  <si>
    <t>152197</t>
  </si>
  <si>
    <t>BR Floor Cleaning Machines</t>
  </si>
  <si>
    <t>152214</t>
  </si>
  <si>
    <t>EDDYVILLE EMERGENCY LIGHTING</t>
  </si>
  <si>
    <t>152215</t>
  </si>
  <si>
    <t>LONDON DRAINAGE REPLACEMENT</t>
  </si>
  <si>
    <t>152225</t>
  </si>
  <si>
    <t>Brown N 345kV 934 Brkr Rpl</t>
  </si>
  <si>
    <t>152230</t>
  </si>
  <si>
    <t>PBU-Wickliffe T01 Bush Rpl</t>
  </si>
  <si>
    <t>152231</t>
  </si>
  <si>
    <t>POR-Shelbyville 69kV PT Rpl</t>
  </si>
  <si>
    <t>152237</t>
  </si>
  <si>
    <t>PAR-W. Frankfort Arrester Rpl</t>
  </si>
  <si>
    <t>152255</t>
  </si>
  <si>
    <t>Stinking Creek 0314</t>
  </si>
  <si>
    <t>152266</t>
  </si>
  <si>
    <t>SCADA PRIVATE NTWK_KU_2016</t>
  </si>
  <si>
    <t>152268</t>
  </si>
  <si>
    <t>OFFICE - ASSET INFO GROUP</t>
  </si>
  <si>
    <t>152271KU</t>
  </si>
  <si>
    <t>TC2 ID FAN REFURBISHMENT</t>
  </si>
  <si>
    <t>152273KU</t>
  </si>
  <si>
    <t>TC2 FD FAN REBUILD</t>
  </si>
  <si>
    <t>152275</t>
  </si>
  <si>
    <t>GH3 Gen Dual Tower H2 Dryer</t>
  </si>
  <si>
    <t>152288</t>
  </si>
  <si>
    <t>Capacitor Bank Test Set</t>
  </si>
  <si>
    <t>152329</t>
  </si>
  <si>
    <t>N.A.S. Secondary Containment</t>
  </si>
  <si>
    <t>152345</t>
  </si>
  <si>
    <t>Highway 421</t>
  </si>
  <si>
    <t>152377</t>
  </si>
  <si>
    <t>BR Process Water</t>
  </si>
  <si>
    <t>152379</t>
  </si>
  <si>
    <t>GH Process Water</t>
  </si>
  <si>
    <t>152385</t>
  </si>
  <si>
    <t>TC KU Process Water</t>
  </si>
  <si>
    <t>152386</t>
  </si>
  <si>
    <t>Manchester South LTC</t>
  </si>
  <si>
    <t>152478</t>
  </si>
  <si>
    <t>Lonesome Pine Sub Property</t>
  </si>
  <si>
    <t>152540</t>
  </si>
  <si>
    <t>GUARDRAIL - MORGANFIELD KU</t>
  </si>
  <si>
    <t>152589</t>
  </si>
  <si>
    <t>Corbin US Steel Substation</t>
  </si>
  <si>
    <t>152601</t>
  </si>
  <si>
    <t>GH Security Gate Cameras</t>
  </si>
  <si>
    <t>152608</t>
  </si>
  <si>
    <t>TEP-Matanzas-Wilson Riser Rpl</t>
  </si>
  <si>
    <t>152623</t>
  </si>
  <si>
    <t>West Lexington #3 Bushing Rpl</t>
  </si>
  <si>
    <t>152646</t>
  </si>
  <si>
    <t>GH Leachate Pond Transformer</t>
  </si>
  <si>
    <t>152647</t>
  </si>
  <si>
    <t>GH 1-2 Condensate Motor</t>
  </si>
  <si>
    <t>152726</t>
  </si>
  <si>
    <t>GH 1B Conveyor Belt Repl 16</t>
  </si>
  <si>
    <t>152731 KU</t>
  </si>
  <si>
    <t>PR Telehandler 4x4 KU</t>
  </si>
  <si>
    <t>152733 KU</t>
  </si>
  <si>
    <t>CR7 Site Fencing KU</t>
  </si>
  <si>
    <t>152898</t>
  </si>
  <si>
    <t>BR CCR Rule New Construction</t>
  </si>
  <si>
    <t>152899</t>
  </si>
  <si>
    <t>GH CCR Rule New Construction</t>
  </si>
  <si>
    <t>152903</t>
  </si>
  <si>
    <t>TC CCR New Construction KU</t>
  </si>
  <si>
    <t>152913</t>
  </si>
  <si>
    <t>GR CabTractor</t>
  </si>
  <si>
    <t>152942</t>
  </si>
  <si>
    <t>BR Mercury Lab Analyzer</t>
  </si>
  <si>
    <t>152943</t>
  </si>
  <si>
    <t>BR Track Hopper Sump Pump</t>
  </si>
  <si>
    <t>152944</t>
  </si>
  <si>
    <t>BR1&amp;2 Elev Machine Room HVAC</t>
  </si>
  <si>
    <t>152946 KU</t>
  </si>
  <si>
    <t>CR7 Annual Outage (2016) KU</t>
  </si>
  <si>
    <t>152948</t>
  </si>
  <si>
    <t>GH3 Hydrogen Coolers</t>
  </si>
  <si>
    <t>152971</t>
  </si>
  <si>
    <t>Earlington N 634 Brkr Overhaul</t>
  </si>
  <si>
    <t>152983</t>
  </si>
  <si>
    <t>Bonds Mill Relay Rpl</t>
  </si>
  <si>
    <t>152KU16</t>
  </si>
  <si>
    <t>Mbl &amp; Wrkst Lic True-up-KU16</t>
  </si>
  <si>
    <t>153014KU</t>
  </si>
  <si>
    <t>TC2 KU SCR NOX VIM WARE CHANGE</t>
  </si>
  <si>
    <t>153026</t>
  </si>
  <si>
    <t>Green River SPCC</t>
  </si>
  <si>
    <t>153031</t>
  </si>
  <si>
    <t>GH3 Coal Feeder Inlet Valves</t>
  </si>
  <si>
    <t>153033</t>
  </si>
  <si>
    <t>GH2 Demin Resin Repl</t>
  </si>
  <si>
    <t>153034</t>
  </si>
  <si>
    <t>GH2 FGD Inlet Duct Exp Jt Repl</t>
  </si>
  <si>
    <t>153054</t>
  </si>
  <si>
    <t>Pineville Pole Racks-KU16</t>
  </si>
  <si>
    <t>153062</t>
  </si>
  <si>
    <t>DANVILLE POLE YARD EXPANSION</t>
  </si>
  <si>
    <t>153064</t>
  </si>
  <si>
    <t>DANVILLE SHED &amp; ROOF EXT</t>
  </si>
  <si>
    <t>153067KU</t>
  </si>
  <si>
    <t>TC2 KU ACOUSTIC MONITOR</t>
  </si>
  <si>
    <t>153068KU</t>
  </si>
  <si>
    <t>TC KU REPL A CHILLER</t>
  </si>
  <si>
    <t>153075KU</t>
  </si>
  <si>
    <t>TC2 KU TDBFP TRIP BLOCK</t>
  </si>
  <si>
    <t>153103</t>
  </si>
  <si>
    <t>GH 3-4 Pier Hoist</t>
  </si>
  <si>
    <t>153103KU</t>
  </si>
  <si>
    <t>TC CT6  KU REBUILD EXHAUST</t>
  </si>
  <si>
    <t>153104</t>
  </si>
  <si>
    <t>GH2 Condenser Exp Jt Repl</t>
  </si>
  <si>
    <t>153112</t>
  </si>
  <si>
    <t>GH 2-3 PA Fan Outlet Damper</t>
  </si>
  <si>
    <t>153113</t>
  </si>
  <si>
    <t>GH 3-2 Air Heater Expansion Jt</t>
  </si>
  <si>
    <t>153114</t>
  </si>
  <si>
    <t>BR 1&amp;2 PAC Injection Lances</t>
  </si>
  <si>
    <t>153115</t>
  </si>
  <si>
    <t>London Transmission Line Cl</t>
  </si>
  <si>
    <t>153116</t>
  </si>
  <si>
    <t>POR-Pisgah PT Rpl</t>
  </si>
  <si>
    <t>153175</t>
  </si>
  <si>
    <t>BR3 Mercury Monitor</t>
  </si>
  <si>
    <t>153182</t>
  </si>
  <si>
    <t>GH 0MH103Z Conv Belt Repl 16</t>
  </si>
  <si>
    <t>153205</t>
  </si>
  <si>
    <t>American Ave 614 Brkr CT Rpl</t>
  </si>
  <si>
    <t>153208</t>
  </si>
  <si>
    <t>BRCT8 AVR Upgrade</t>
  </si>
  <si>
    <t>153210</t>
  </si>
  <si>
    <t>BRCT9 AVR Upgrade</t>
  </si>
  <si>
    <t>153211</t>
  </si>
  <si>
    <t>BRCT10 AVR Upgrade</t>
  </si>
  <si>
    <t>153212</t>
  </si>
  <si>
    <t>PIN-Grahamville 834 Switch Rpl</t>
  </si>
  <si>
    <t>153230</t>
  </si>
  <si>
    <t>POR-Lansdowne Brkr CT Rpl</t>
  </si>
  <si>
    <t>153232</t>
  </si>
  <si>
    <t>POR-Loudon 644 Brkr CT Rpl</t>
  </si>
  <si>
    <t>153256</t>
  </si>
  <si>
    <t>PBU-Haefling 718-4 Bushing Rpl</t>
  </si>
  <si>
    <t>153266</t>
  </si>
  <si>
    <t>GH2 Air Heater Seal Repl</t>
  </si>
  <si>
    <t>153267</t>
  </si>
  <si>
    <t>GH4 Station Battery Repl</t>
  </si>
  <si>
    <t>153269</t>
  </si>
  <si>
    <t>GH CHA 4KV Feed Cable</t>
  </si>
  <si>
    <t>153279</t>
  </si>
  <si>
    <t>ROR-KU SPARE CCVT-2016</t>
  </si>
  <si>
    <t>153283</t>
  </si>
  <si>
    <t>RECEIVE ONE XFMR FROM LGE</t>
  </si>
  <si>
    <t>153284</t>
  </si>
  <si>
    <t>ROR-London Bird Deterrent</t>
  </si>
  <si>
    <t>153286</t>
  </si>
  <si>
    <t>V2A TAP CHANGER UPGRADE KIT</t>
  </si>
  <si>
    <t>153288</t>
  </si>
  <si>
    <t>Etown Trailer</t>
  </si>
  <si>
    <t>153322</t>
  </si>
  <si>
    <t>BRCT Electric Fire Pump Repl</t>
  </si>
  <si>
    <t>153327</t>
  </si>
  <si>
    <t>RECEIVE XFMR FROM LGE</t>
  </si>
  <si>
    <t>153331</t>
  </si>
  <si>
    <t>GH 1A Conveyor Belt Repl 16</t>
  </si>
  <si>
    <t>153332</t>
  </si>
  <si>
    <t>GH 1E Conveyor Belt Repl 16</t>
  </si>
  <si>
    <t>153335</t>
  </si>
  <si>
    <t>PURCHASE LAND -RICHMOND</t>
  </si>
  <si>
    <t>153336</t>
  </si>
  <si>
    <t>DCC COBRA Testing - KU</t>
  </si>
  <si>
    <t>153338</t>
  </si>
  <si>
    <t>POR-Elihu Winding Gauge Rpl</t>
  </si>
  <si>
    <t>153339</t>
  </si>
  <si>
    <t>MS 2016 KU PM 3302 CAT IV</t>
  </si>
  <si>
    <t>153347</t>
  </si>
  <si>
    <t>PR Clinton-South Paducah</t>
  </si>
  <si>
    <t>153349</t>
  </si>
  <si>
    <t>PR Leitchfield-Stephensburg</t>
  </si>
  <si>
    <t>153351</t>
  </si>
  <si>
    <t>PR Adams-Millersburg</t>
  </si>
  <si>
    <t>153354</t>
  </si>
  <si>
    <t>BR3-2 Service Water Safety Rpl</t>
  </si>
  <si>
    <t>153359</t>
  </si>
  <si>
    <t>LYNCH REPAIR/REWIND</t>
  </si>
  <si>
    <t>153360</t>
  </si>
  <si>
    <t>BRCT Ice Plant TW Pump Repl</t>
  </si>
  <si>
    <t>153361</t>
  </si>
  <si>
    <t>GH 4-1 CCW Pump Motor</t>
  </si>
  <si>
    <t>153363</t>
  </si>
  <si>
    <t>PR Indian Hill-Ohio County</t>
  </si>
  <si>
    <t>153369</t>
  </si>
  <si>
    <t>GH 4-1 Trav Wtr Screen Rebuild</t>
  </si>
  <si>
    <t>153376</t>
  </si>
  <si>
    <t>LOUDEN ICE HOUSE LIGHTS</t>
  </si>
  <si>
    <t>153378</t>
  </si>
  <si>
    <t>GHENT VEHICLES 2016</t>
  </si>
  <si>
    <t>153379</t>
  </si>
  <si>
    <t>KUGO 4TH FL CONF RM UPGR</t>
  </si>
  <si>
    <t>153381</t>
  </si>
  <si>
    <t>WATER LINE REPL - SIMPSON KU</t>
  </si>
  <si>
    <t>153382</t>
  </si>
  <si>
    <t>Stone Road Renovation</t>
  </si>
  <si>
    <t>153387</t>
  </si>
  <si>
    <t>BR Handheld GPS</t>
  </si>
  <si>
    <t>153388</t>
  </si>
  <si>
    <t>BR Remote Controlled Mower</t>
  </si>
  <si>
    <t>153389</t>
  </si>
  <si>
    <t>BR3 Shutoff Damper Actuator</t>
  </si>
  <si>
    <t>153390</t>
  </si>
  <si>
    <t>BR3-2 IDF Outlet Damper Gearbx</t>
  </si>
  <si>
    <t>153391KU</t>
  </si>
  <si>
    <t>TC CATHODIC PROTECTION 2016</t>
  </si>
  <si>
    <t>153394</t>
  </si>
  <si>
    <t>GS SL Short Cell</t>
  </si>
  <si>
    <t>153398</t>
  </si>
  <si>
    <t>GH MH110Z CCR Belt Repl 2016</t>
  </si>
  <si>
    <t>153399</t>
  </si>
  <si>
    <t>GH4 AH Seal Replacement 2016</t>
  </si>
  <si>
    <t>153402</t>
  </si>
  <si>
    <t>SIMP INDUSTRIAL SHELVES</t>
  </si>
  <si>
    <t>153404</t>
  </si>
  <si>
    <t>GH3 Pyrite Line Repl 2016</t>
  </si>
  <si>
    <t>153405</t>
  </si>
  <si>
    <t>GH4 Pyrite Line Repl 2016</t>
  </si>
  <si>
    <t>153409</t>
  </si>
  <si>
    <t>SIMP PARKING LOT LED LIGHTS</t>
  </si>
  <si>
    <t>153414</t>
  </si>
  <si>
    <t>RICHMOND ASSEMBLY RM UPGR</t>
  </si>
  <si>
    <t>153417</t>
  </si>
  <si>
    <t>VA Hospital</t>
  </si>
  <si>
    <t>153420</t>
  </si>
  <si>
    <t>RFN-Adams Fence Rpl</t>
  </si>
  <si>
    <t>153422</t>
  </si>
  <si>
    <t>Kentenia Sub Upgrade</t>
  </si>
  <si>
    <t>153423</t>
  </si>
  <si>
    <t>MS 2016 Danville Test Kit</t>
  </si>
  <si>
    <t>153431</t>
  </si>
  <si>
    <t>BR3 Boiler Wall Abatement 16</t>
  </si>
  <si>
    <t>153443</t>
  </si>
  <si>
    <t>GH 1-2 Lift Station Flow Mtrs</t>
  </si>
  <si>
    <t>153444</t>
  </si>
  <si>
    <t>GH 2-1 Transport Blower</t>
  </si>
  <si>
    <t>153445</t>
  </si>
  <si>
    <t>GH 2-5 Mill PA Air Flow</t>
  </si>
  <si>
    <t>153470</t>
  </si>
  <si>
    <t>BOC 3 EMRGNCY PWR CALL CTR KU</t>
  </si>
  <si>
    <t>153471</t>
  </si>
  <si>
    <t>GH Parking Lot Turnstiles</t>
  </si>
  <si>
    <t>153472 KU</t>
  </si>
  <si>
    <t>CR7 Chemical Storage Tank  KU</t>
  </si>
  <si>
    <t>153476</t>
  </si>
  <si>
    <t>Middlesboro Pole Rack-KU16</t>
  </si>
  <si>
    <t>153491</t>
  </si>
  <si>
    <t>Soden Hills Underground</t>
  </si>
  <si>
    <t>153492</t>
  </si>
  <si>
    <t>GH Station Lab Renovation</t>
  </si>
  <si>
    <t>153496</t>
  </si>
  <si>
    <t>CIP IP Connectivity - KU</t>
  </si>
  <si>
    <t>153501</t>
  </si>
  <si>
    <t>RECEIVE 12 XFMRS FROM LGE</t>
  </si>
  <si>
    <t>153504</t>
  </si>
  <si>
    <t>MIDWAY DRAINAGE REPL-2016</t>
  </si>
  <si>
    <t>153505</t>
  </si>
  <si>
    <t>GH3 Varnish Removal Skid</t>
  </si>
  <si>
    <t>153511KU</t>
  </si>
  <si>
    <t>TC REFURB M11 MOORING CELL</t>
  </si>
  <si>
    <t>153513KU</t>
  </si>
  <si>
    <t>TC2 WESP ROOF REPLACEMENT</t>
  </si>
  <si>
    <t>153535</t>
  </si>
  <si>
    <t>PAR-Shelbyville Arrester Rpl</t>
  </si>
  <si>
    <t>153544</t>
  </si>
  <si>
    <t>Munfordville TR1 LTC</t>
  </si>
  <si>
    <t>153545</t>
  </si>
  <si>
    <t>Earlington Pole Racks-KU16</t>
  </si>
  <si>
    <t>153548</t>
  </si>
  <si>
    <t>Single Phase Spare Transformer</t>
  </si>
  <si>
    <t>153549</t>
  </si>
  <si>
    <t>Replace LTC Detroit Harvester</t>
  </si>
  <si>
    <t>153552</t>
  </si>
  <si>
    <t>Norton Oil Spill Protection</t>
  </si>
  <si>
    <t>153559</t>
  </si>
  <si>
    <t>FBR-Ghent 926 Brkr Rpl</t>
  </si>
  <si>
    <t>153562</t>
  </si>
  <si>
    <t>DCC ENHANCEMENT KU</t>
  </si>
  <si>
    <t>153563</t>
  </si>
  <si>
    <t>PFN-Wickliffe Xfmr Fan Rpl</t>
  </si>
  <si>
    <t>153564</t>
  </si>
  <si>
    <t>GH 3/4 Mach Shop/Maint HVAC</t>
  </si>
  <si>
    <t>153565</t>
  </si>
  <si>
    <t>GH 2-1 PA Fan Var Inlet Vane</t>
  </si>
  <si>
    <t>153568</t>
  </si>
  <si>
    <t>GH Limestone Runoff Sump Pump</t>
  </si>
  <si>
    <t>153569KU</t>
  </si>
  <si>
    <t>GS GE PdM CSI 2140</t>
  </si>
  <si>
    <t>153583</t>
  </si>
  <si>
    <t>GH 3-1 CWP Major Overhaul</t>
  </si>
  <si>
    <t>153592</t>
  </si>
  <si>
    <t>GH1 GSU High Side Bushing Repl</t>
  </si>
  <si>
    <t>153593</t>
  </si>
  <si>
    <t>Spare 138/69 185MVA Xfrmr-2016</t>
  </si>
  <si>
    <t>153596</t>
  </si>
  <si>
    <t>BR Library HVAC Repl</t>
  </si>
  <si>
    <t>153612</t>
  </si>
  <si>
    <t>UPDATE LEX. CONFERENCE ROOM</t>
  </si>
  <si>
    <t>153613</t>
  </si>
  <si>
    <t>UPDATE DAN CONFERENCE ROOM</t>
  </si>
  <si>
    <t>153616</t>
  </si>
  <si>
    <t>GH LAND PWS ELG</t>
  </si>
  <si>
    <t>153622</t>
  </si>
  <si>
    <t>GH Gypsum Testing Equipment</t>
  </si>
  <si>
    <t>153625</t>
  </si>
  <si>
    <t>GH2 Mill Hot Air Gates Repl</t>
  </si>
  <si>
    <t>153626</t>
  </si>
  <si>
    <t>SIMPSONVILLE CRAC UNITS</t>
  </si>
  <si>
    <t>153628</t>
  </si>
  <si>
    <t>SIMPSONVILLE CRAC IT KU</t>
  </si>
  <si>
    <t>153638KU</t>
  </si>
  <si>
    <t>TC RESIDENT OFFICE CONSTR</t>
  </si>
  <si>
    <t>153640KU</t>
  </si>
  <si>
    <t>TC I/E SHOP OFFICE SPACE</t>
  </si>
  <si>
    <t>153644</t>
  </si>
  <si>
    <t>BR3 Exciter Rewind</t>
  </si>
  <si>
    <t>153648</t>
  </si>
  <si>
    <t>SHELBYVILLE BUS OFF PAVING</t>
  </si>
  <si>
    <t>153657</t>
  </si>
  <si>
    <t>GH Crusher House Lighting</t>
  </si>
  <si>
    <t>153658</t>
  </si>
  <si>
    <t>GH1 West Coal Conv Rm Lighting</t>
  </si>
  <si>
    <t>153659</t>
  </si>
  <si>
    <t>GH4 West/Center Rolling Dr Rpl</t>
  </si>
  <si>
    <t>153661</t>
  </si>
  <si>
    <t>GH Portable Combustion Anlyzer</t>
  </si>
  <si>
    <t>153663</t>
  </si>
  <si>
    <t>GH SMM Maintenance Shop Tools</t>
  </si>
  <si>
    <t>153664</t>
  </si>
  <si>
    <t>GH CCR Maintenance Shop Tools</t>
  </si>
  <si>
    <t>153666</t>
  </si>
  <si>
    <t>GH Electric Pallet Jack</t>
  </si>
  <si>
    <t>153668</t>
  </si>
  <si>
    <t>PBR-Bardstown Sw 69kV Brkr Rpl</t>
  </si>
  <si>
    <t>153675KU</t>
  </si>
  <si>
    <t>GS SL UPS</t>
  </si>
  <si>
    <t>153676</t>
  </si>
  <si>
    <t>GH MH110Z CCR Belt Repl 2017</t>
  </si>
  <si>
    <t>153677</t>
  </si>
  <si>
    <t>GH MH111ZA CCR ConvBelt Repl17</t>
  </si>
  <si>
    <t>153678</t>
  </si>
  <si>
    <t>GH MH111ZB CCR ConvBelt Repl17</t>
  </si>
  <si>
    <t>153679</t>
  </si>
  <si>
    <t>GH GP102B CCR ConvBelt Repl</t>
  </si>
  <si>
    <t>153680</t>
  </si>
  <si>
    <t>GH Janitorial Floor Scrubber</t>
  </si>
  <si>
    <t>153683KU</t>
  </si>
  <si>
    <t>GS CDM SUBSTATION CALLBOX KU</t>
  </si>
  <si>
    <t>153684</t>
  </si>
  <si>
    <t>EARLINGTON STOREROOM RENO</t>
  </si>
  <si>
    <t>153686KU</t>
  </si>
  <si>
    <t>GS CDM CALLBOX OTH PROD KU</t>
  </si>
  <si>
    <t>153688KU</t>
  </si>
  <si>
    <t>GS CDM CALLBOX HYDRO</t>
  </si>
  <si>
    <t>153690KU</t>
  </si>
  <si>
    <t>Gas Monitoring Cameras KU</t>
  </si>
  <si>
    <t>153696</t>
  </si>
  <si>
    <t>P&amp;C Computer-2016-KU</t>
  </si>
  <si>
    <t>153703KU</t>
  </si>
  <si>
    <t>GS GE Alloy Analyzer KU 2016</t>
  </si>
  <si>
    <t>153706</t>
  </si>
  <si>
    <t>FTR-Earlington N Xfmr Rpl</t>
  </si>
  <si>
    <t>153710</t>
  </si>
  <si>
    <t>GH 3-1 Air Compressor Motor</t>
  </si>
  <si>
    <t>153711</t>
  </si>
  <si>
    <t>Midway- Forklift (5,000)</t>
  </si>
  <si>
    <t>153712KU</t>
  </si>
  <si>
    <t>GS SL Spectrophotometer 2016</t>
  </si>
  <si>
    <t>153713</t>
  </si>
  <si>
    <t>PQ Recorder 2016</t>
  </si>
  <si>
    <t>153717</t>
  </si>
  <si>
    <t>BR Vehicle 2016</t>
  </si>
  <si>
    <t>153723</t>
  </si>
  <si>
    <t>LGE CTR FURNITURE 2015-KU</t>
  </si>
  <si>
    <t>153727</t>
  </si>
  <si>
    <t>CIP Intrusion Detect Trans KU</t>
  </si>
  <si>
    <t>153729</t>
  </si>
  <si>
    <t>CIP Intrusion Detect IT KU</t>
  </si>
  <si>
    <t>153733</t>
  </si>
  <si>
    <t>GH 1-1 CT Fan Gear Box Asmbly</t>
  </si>
  <si>
    <t>153734</t>
  </si>
  <si>
    <t>GH 4-4 CT Fan Gear Box Asmbly</t>
  </si>
  <si>
    <t>153735</t>
  </si>
  <si>
    <t>BR Ultrasound System</t>
  </si>
  <si>
    <t>153744</t>
  </si>
  <si>
    <t>KU 2016 Garage Equipment</t>
  </si>
  <si>
    <t>153774</t>
  </si>
  <si>
    <t>MUNFORDVILLE TR REPLACE</t>
  </si>
  <si>
    <t>153KU15</t>
  </si>
  <si>
    <t>IT Sec Infrast Enhance-KU15</t>
  </si>
  <si>
    <t>157KU15</t>
  </si>
  <si>
    <t>EMS CIP-KU15</t>
  </si>
  <si>
    <t>158KU15</t>
  </si>
  <si>
    <t>FIM Replacement-KU15</t>
  </si>
  <si>
    <t>159KU15</t>
  </si>
  <si>
    <t>LOAD Vendor Upgrade-KU15</t>
  </si>
  <si>
    <t>159KU16</t>
  </si>
  <si>
    <t>Cascade Impl Gen Relays-KU16</t>
  </si>
  <si>
    <t>161001KU</t>
  </si>
  <si>
    <t>TC2 KU TURBINE PREP COUPLING</t>
  </si>
  <si>
    <t>161KU15</t>
  </si>
  <si>
    <t>Reliability Report Enh-KU15</t>
  </si>
  <si>
    <t>161KU16</t>
  </si>
  <si>
    <t>HP QC Upgr to ALM-KU16</t>
  </si>
  <si>
    <t>163KU16</t>
  </si>
  <si>
    <t>Plant Mobile-Ghent-KU16</t>
  </si>
  <si>
    <t>164KU15</t>
  </si>
  <si>
    <t>TRODS-KU15</t>
  </si>
  <si>
    <t>165KU16</t>
  </si>
  <si>
    <t>Non-SCADA Load Data-KU16</t>
  </si>
  <si>
    <t>169KU15</t>
  </si>
  <si>
    <t>Expand My Account &amp; Apps-KU15</t>
  </si>
  <si>
    <t>170KU15</t>
  </si>
  <si>
    <t>Low Income Assist Portal-KU15</t>
  </si>
  <si>
    <t>178KU15</t>
  </si>
  <si>
    <t>Upgrade Quest Server-KU15</t>
  </si>
  <si>
    <t>200KU15</t>
  </si>
  <si>
    <t>Customer Bill Redesign-KU15</t>
  </si>
  <si>
    <t>200KU16</t>
  </si>
  <si>
    <t>Application Sec Enhance-KU16</t>
  </si>
  <si>
    <t>201KU14</t>
  </si>
  <si>
    <t>Auto Pymt Arrangements-KU14</t>
  </si>
  <si>
    <t>202KU15</t>
  </si>
  <si>
    <t>Trans OATT Billing Tool-KU15</t>
  </si>
  <si>
    <t>203KU15</t>
  </si>
  <si>
    <t>PowerPlant Upgrade-KU15</t>
  </si>
  <si>
    <t>203KU16</t>
  </si>
  <si>
    <t>PS 9.2 Upgrade-KU16</t>
  </si>
  <si>
    <t>204KU16</t>
  </si>
  <si>
    <t>SAP CRM/ECC Upgr-KU16</t>
  </si>
  <si>
    <t>220KU14</t>
  </si>
  <si>
    <t>IOC Enhancements-KU14</t>
  </si>
  <si>
    <t>234KU14</t>
  </si>
  <si>
    <t>Damage Assess Enhance-KU14</t>
  </si>
  <si>
    <t>241KU14</t>
  </si>
  <si>
    <t>Legal Hold-KU14</t>
  </si>
  <si>
    <t>262KU14</t>
  </si>
  <si>
    <t>Redact-It Implement-KU14</t>
  </si>
  <si>
    <t>400KU15</t>
  </si>
  <si>
    <t>OTN Core Rings Y1/2 LEX-KU15</t>
  </si>
  <si>
    <t>700KU15</t>
  </si>
  <si>
    <t>Fidelity Pension-KU15</t>
  </si>
  <si>
    <t>700KU16</t>
  </si>
  <si>
    <t>Varigance Mist-KU16</t>
  </si>
  <si>
    <t>701KU16</t>
  </si>
  <si>
    <t>ShareGate-KU16</t>
  </si>
  <si>
    <t>702KU16</t>
  </si>
  <si>
    <t>CA API-KU16</t>
  </si>
  <si>
    <t>703KU16</t>
  </si>
  <si>
    <t>Aspect Workforce Lic-KU16</t>
  </si>
  <si>
    <t>704KU15</t>
  </si>
  <si>
    <t>AIS Enhancement-KU15</t>
  </si>
  <si>
    <t>705KU15</t>
  </si>
  <si>
    <t>Trans Lines Mobile App-KU15</t>
  </si>
  <si>
    <t>706KU15</t>
  </si>
  <si>
    <t>AOC Telecom Renovation-KU15</t>
  </si>
  <si>
    <t>706KU16</t>
  </si>
  <si>
    <t>EMC TLA-KU16</t>
  </si>
  <si>
    <t>707KU15</t>
  </si>
  <si>
    <t>PACSs for Substations-KU15</t>
  </si>
  <si>
    <t>707KU16</t>
  </si>
  <si>
    <t>IVR Designer Tool Upgr-KU16</t>
  </si>
  <si>
    <t>708KU16</t>
  </si>
  <si>
    <t>Microsoft Project Server-KU16</t>
  </si>
  <si>
    <t>709KU16</t>
  </si>
  <si>
    <t>Lightning Fall License-KU16</t>
  </si>
  <si>
    <t>710KU16</t>
  </si>
  <si>
    <t>NMS Enhancement-KU16</t>
  </si>
  <si>
    <t>712KU16</t>
  </si>
  <si>
    <t>OpenText OCR Licenses-KU16</t>
  </si>
  <si>
    <t>715KU16</t>
  </si>
  <si>
    <t>ArcGIS Spatial Licenses-KU16</t>
  </si>
  <si>
    <t>716KU15</t>
  </si>
  <si>
    <t>Res Contractor Invoicing-KU15</t>
  </si>
  <si>
    <t>716KU16</t>
  </si>
  <si>
    <t>Adobe Robohelp Licenses-KU16</t>
  </si>
  <si>
    <t>717KU15</t>
  </si>
  <si>
    <t>Maximo BI-KU15</t>
  </si>
  <si>
    <t>718KU15</t>
  </si>
  <si>
    <t>PowerPlant BI-KU15</t>
  </si>
  <si>
    <t>718KU16</t>
  </si>
  <si>
    <t>Net Motion Mobility-KU16</t>
  </si>
  <si>
    <t>719KU15</t>
  </si>
  <si>
    <t>CTS Upload Automation-KU15</t>
  </si>
  <si>
    <t>719KU16</t>
  </si>
  <si>
    <t>PI Alarm Mgmt-KU16</t>
  </si>
  <si>
    <t>720KU15</t>
  </si>
  <si>
    <t>NAS Analytics Tool-KU15</t>
  </si>
  <si>
    <t>720KU16</t>
  </si>
  <si>
    <t>Mobile Dispatch Map-KU16</t>
  </si>
  <si>
    <t>722KU15</t>
  </si>
  <si>
    <t>Microsoft Prj Svr 2013-KU15</t>
  </si>
  <si>
    <t>722KU16</t>
  </si>
  <si>
    <t>Single Sign On Lic-KU16</t>
  </si>
  <si>
    <t>723KU15</t>
  </si>
  <si>
    <t>AutoDesk Revit-KU15</t>
  </si>
  <si>
    <t>723KU16</t>
  </si>
  <si>
    <t>SSO License Bellomy-KU16</t>
  </si>
  <si>
    <t>724KU15</t>
  </si>
  <si>
    <t>Data Copy Tool for SAP-KU15</t>
  </si>
  <si>
    <t>724KU16</t>
  </si>
  <si>
    <t>PI Lic for Access Perm-KU16</t>
  </si>
  <si>
    <t>725KU16</t>
  </si>
  <si>
    <t>Veg Mgmt ROW Layer Dev-KU16</t>
  </si>
  <si>
    <t>727KU16</t>
  </si>
  <si>
    <t>Articulate Storybook Lic-KU16</t>
  </si>
  <si>
    <t>728KU15</t>
  </si>
  <si>
    <t>EE Rebate Checks-KU15</t>
  </si>
  <si>
    <t>728KU16</t>
  </si>
  <si>
    <t>Trading Floor Monitors-KU16</t>
  </si>
  <si>
    <t>729KU16</t>
  </si>
  <si>
    <t>Solar Share Program-KU16</t>
  </si>
  <si>
    <t>730KU16</t>
  </si>
  <si>
    <t>ABB Post Impl Enhance-KU16</t>
  </si>
  <si>
    <t>731KU16</t>
  </si>
  <si>
    <t>Touch Screen Displays-KU16</t>
  </si>
  <si>
    <t>732KU16</t>
  </si>
  <si>
    <t>EIS Licenses-KU16</t>
  </si>
  <si>
    <t>734KU16</t>
  </si>
  <si>
    <t>Cust Serv Training Tools-KU16</t>
  </si>
  <si>
    <t>735KU16</t>
  </si>
  <si>
    <t>Pitney Bowes Licenses-KU16</t>
  </si>
  <si>
    <t>736KU16</t>
  </si>
  <si>
    <t>Brown/Dix Campus Sonet-KU16</t>
  </si>
  <si>
    <t>738KU16</t>
  </si>
  <si>
    <t>Primavera Licenses-KU16</t>
  </si>
  <si>
    <t>739KU15</t>
  </si>
  <si>
    <t>OCC Licenses-KU15</t>
  </si>
  <si>
    <t>739KU16</t>
  </si>
  <si>
    <t>Global Mapper Upgrade-KU16</t>
  </si>
  <si>
    <t>741KU16</t>
  </si>
  <si>
    <t>Bluecoat Proxy Security-KU16</t>
  </si>
  <si>
    <t>742KU16</t>
  </si>
  <si>
    <t>Insight CM Expansion-KU16</t>
  </si>
  <si>
    <t>743KU15</t>
  </si>
  <si>
    <t>Video Streaming Appl-KU15</t>
  </si>
  <si>
    <t>743KU16</t>
  </si>
  <si>
    <t>PMO Plotters-KU16</t>
  </si>
  <si>
    <t>744KU16</t>
  </si>
  <si>
    <t>Reader Boards-KU16</t>
  </si>
  <si>
    <t>745KU15</t>
  </si>
  <si>
    <t>PEPSE Upgrade-KU15</t>
  </si>
  <si>
    <t>745KU16</t>
  </si>
  <si>
    <t>Metalogix-KU16</t>
  </si>
  <si>
    <t>746KU16</t>
  </si>
  <si>
    <t>Nintex Licenses-KU16</t>
  </si>
  <si>
    <t>747KU15</t>
  </si>
  <si>
    <t>SKM PowerTools-KU15</t>
  </si>
  <si>
    <t>747KU16</t>
  </si>
  <si>
    <t>TRAC Enhancements-KU16</t>
  </si>
  <si>
    <t>748KU16</t>
  </si>
  <si>
    <t>NMS Training Simulator-KU16</t>
  </si>
  <si>
    <t>749KU16</t>
  </si>
  <si>
    <t>AMS SAP Licenses-KU16</t>
  </si>
  <si>
    <t>750KU16</t>
  </si>
  <si>
    <t>AMS SAP Hardware-KU16</t>
  </si>
  <si>
    <t>752KU16</t>
  </si>
  <si>
    <t>Portable Doc Format Lic-KU16</t>
  </si>
  <si>
    <t>CCAPR156</t>
  </si>
  <si>
    <t>Capital CAP/REG/RECL - 011560</t>
  </si>
  <si>
    <t>CCAPR216</t>
  </si>
  <si>
    <t>Capital CAP/REG/RECl - 012160</t>
  </si>
  <si>
    <t>CCAPR236</t>
  </si>
  <si>
    <t>Capital CAP/REG/RECL - 012360</t>
  </si>
  <si>
    <t>CCAPR246</t>
  </si>
  <si>
    <t>Capital CAP/REG/RECL - 012460</t>
  </si>
  <si>
    <t>CCAPR256</t>
  </si>
  <si>
    <t>Capital CAP/REG/RECL - 012560</t>
  </si>
  <si>
    <t>CCAPR315</t>
  </si>
  <si>
    <t>Capital CAP/REG/RECL - 013150</t>
  </si>
  <si>
    <t>CCAPR366</t>
  </si>
  <si>
    <t>Capital CAP/REG/RECL - 013660</t>
  </si>
  <si>
    <t>CCAPR416</t>
  </si>
  <si>
    <t>Capital CAP/REG/RECL - 014160</t>
  </si>
  <si>
    <t>CCAPR426</t>
  </si>
  <si>
    <t>Capital CAP/REG/RECL - 014260</t>
  </si>
  <si>
    <t>CCAPR766</t>
  </si>
  <si>
    <t>Capital CAP/REG/RECL - 017660</t>
  </si>
  <si>
    <t>CEMTR582</t>
  </si>
  <si>
    <t>KU Electric Meters - 015820</t>
  </si>
  <si>
    <t>CKM050716</t>
  </si>
  <si>
    <t>KU MAJOR STORM - 05/07/16</t>
  </si>
  <si>
    <t>CKM062316</t>
  </si>
  <si>
    <t>CKM070416</t>
  </si>
  <si>
    <t>Cap Major Storm 070416 - Lex</t>
  </si>
  <si>
    <t>CKM070616</t>
  </si>
  <si>
    <t>KU Major Storm Capital 070616</t>
  </si>
  <si>
    <t>CKM070816</t>
  </si>
  <si>
    <t>KU Major Storm Capital 070816</t>
  </si>
  <si>
    <t>CKM071315</t>
  </si>
  <si>
    <t>KU MAJOR STORM - 07/13/15</t>
  </si>
  <si>
    <t>CNBCD156O</t>
  </si>
  <si>
    <t>NB Comm OH - 011560</t>
  </si>
  <si>
    <t>CNBCD156U</t>
  </si>
  <si>
    <t>NB Comm UG - 011560</t>
  </si>
  <si>
    <t>CNBCD216O</t>
  </si>
  <si>
    <t>NB Comm OH - 012160</t>
  </si>
  <si>
    <t>CNBCD216U</t>
  </si>
  <si>
    <t>NB Comm UG - 012160</t>
  </si>
  <si>
    <t>CNBCD236O</t>
  </si>
  <si>
    <t>NB Comm OH - 012360</t>
  </si>
  <si>
    <t>CNBCD236U</t>
  </si>
  <si>
    <t>NB Comm UG - 012360</t>
  </si>
  <si>
    <t>CNBCD246O</t>
  </si>
  <si>
    <t>NB Comm OH - 012460</t>
  </si>
  <si>
    <t>CNBCD246U</t>
  </si>
  <si>
    <t>NB Comm UG - 012460</t>
  </si>
  <si>
    <t>CNBCD256O</t>
  </si>
  <si>
    <t>NB Comm OH - 012560</t>
  </si>
  <si>
    <t>CNBCD256U</t>
  </si>
  <si>
    <t>NB Comm UG - 012560</t>
  </si>
  <si>
    <t>CNBCD315O</t>
  </si>
  <si>
    <t>NB Comm OH - 013150</t>
  </si>
  <si>
    <t>CNBCD315U</t>
  </si>
  <si>
    <t>NB Comm UG - 013150</t>
  </si>
  <si>
    <t>CNBCD366O</t>
  </si>
  <si>
    <t>NB Comm OH - 013660</t>
  </si>
  <si>
    <t>CNBCD366U</t>
  </si>
  <si>
    <t>NB Comm UG - 013660</t>
  </si>
  <si>
    <t>CNBCD416O</t>
  </si>
  <si>
    <t>NB Comm OH - 014160</t>
  </si>
  <si>
    <t>CNBCD416U</t>
  </si>
  <si>
    <t>NB Comm UG - 014160</t>
  </si>
  <si>
    <t>CNBCD426O</t>
  </si>
  <si>
    <t>NB Comm OH - 014260</t>
  </si>
  <si>
    <t>CNBCD426U</t>
  </si>
  <si>
    <t>NB Comm UG - 014260</t>
  </si>
  <si>
    <t>CNBCD766O</t>
  </si>
  <si>
    <t>NB Comm OH - 017660</t>
  </si>
  <si>
    <t>CNBCD766U</t>
  </si>
  <si>
    <t>NB Comm UG - 017660</t>
  </si>
  <si>
    <t>CNBRD156O</t>
  </si>
  <si>
    <t>NB Resid OH - 011560</t>
  </si>
  <si>
    <t>CNBRD156U</t>
  </si>
  <si>
    <t>NB Resid UG - 011560</t>
  </si>
  <si>
    <t>CNBRD216O</t>
  </si>
  <si>
    <t>NB Resid OH - 012160</t>
  </si>
  <si>
    <t>CNBRD216U</t>
  </si>
  <si>
    <t>NB Resid UG - 012160</t>
  </si>
  <si>
    <t>CNBRD236O</t>
  </si>
  <si>
    <t>NB Resid OH - 012360</t>
  </si>
  <si>
    <t>CNBRD236U</t>
  </si>
  <si>
    <t>NB Resid UG - 012360</t>
  </si>
  <si>
    <t>CNBRD246O</t>
  </si>
  <si>
    <t>NB Resid OH - 012460</t>
  </si>
  <si>
    <t>CNBRD246U</t>
  </si>
  <si>
    <t>NB Resid UG - 012460</t>
  </si>
  <si>
    <t>CNBRD256O</t>
  </si>
  <si>
    <t>NB Resid OH - 012560</t>
  </si>
  <si>
    <t>CNBRD256U</t>
  </si>
  <si>
    <t>NB Resid UG - 012560</t>
  </si>
  <si>
    <t>CNBRD315O</t>
  </si>
  <si>
    <t>NB Resid OH - 013150</t>
  </si>
  <si>
    <t>CNBRD315U</t>
  </si>
  <si>
    <t>NB Resid UG - 013150</t>
  </si>
  <si>
    <t>CNBRD366O</t>
  </si>
  <si>
    <t>NB Resid OH - 013660</t>
  </si>
  <si>
    <t>CNBRD366U</t>
  </si>
  <si>
    <t>NB Resid UG - 013660</t>
  </si>
  <si>
    <t>CNBRD416O</t>
  </si>
  <si>
    <t>NB Resid OH - 014160</t>
  </si>
  <si>
    <t>CNBRD416U</t>
  </si>
  <si>
    <t>NB Resid UG - 014160</t>
  </si>
  <si>
    <t>CNBRD426O</t>
  </si>
  <si>
    <t>NB Resid OH - 014260</t>
  </si>
  <si>
    <t>CNBRD426U</t>
  </si>
  <si>
    <t>NB Resid UG - 014260</t>
  </si>
  <si>
    <t>CNBRD766O</t>
  </si>
  <si>
    <t>NB Resid OH - 017660</t>
  </si>
  <si>
    <t>CNBRD766U</t>
  </si>
  <si>
    <t>NB Resid UG - 017660</t>
  </si>
  <si>
    <t>CNBSV156O</t>
  </si>
  <si>
    <t>NB Elect Serv OH - 011560</t>
  </si>
  <si>
    <t>CNBSV156U</t>
  </si>
  <si>
    <t>NB Elect Serv UG - 011560</t>
  </si>
  <si>
    <t>CNBSV216O</t>
  </si>
  <si>
    <t>NB Elect Serv OH - 012160</t>
  </si>
  <si>
    <t>CNBSV216U</t>
  </si>
  <si>
    <t>NB Elect Serv UG - 012160</t>
  </si>
  <si>
    <t>CNBSV236O</t>
  </si>
  <si>
    <t>NB Elect Serv OH - 012360</t>
  </si>
  <si>
    <t>CNBSV236U</t>
  </si>
  <si>
    <t>NB Elect Serv UG - 012360</t>
  </si>
  <si>
    <t>CNBSV246O</t>
  </si>
  <si>
    <t>NB Elect Serv OH - 012460</t>
  </si>
  <si>
    <t>CNBSV246U</t>
  </si>
  <si>
    <t>NB Elect Serv UG - 012460</t>
  </si>
  <si>
    <t>CNBSV256O</t>
  </si>
  <si>
    <t>NB Elect Serv OH - 012560</t>
  </si>
  <si>
    <t>CNBSV256U</t>
  </si>
  <si>
    <t>NB Elect Serv UG - 012560</t>
  </si>
  <si>
    <t>CNBSV315O</t>
  </si>
  <si>
    <t>NB Elect Serv OH - 013150</t>
  </si>
  <si>
    <t>CNBSV315U</t>
  </si>
  <si>
    <t>NB Elect Serv UG - 013150</t>
  </si>
  <si>
    <t>CNBSV366O</t>
  </si>
  <si>
    <t>NB Elect Serv OH - 013660</t>
  </si>
  <si>
    <t>CNBSV366U</t>
  </si>
  <si>
    <t>NB Elect Serv UG - 013660</t>
  </si>
  <si>
    <t>CNBSV416O</t>
  </si>
  <si>
    <t>NB Elect Serv OH - 014160</t>
  </si>
  <si>
    <t>CNBSV416U</t>
  </si>
  <si>
    <t>NB Elect Serv UG - 014160</t>
  </si>
  <si>
    <t>CNBSV426O</t>
  </si>
  <si>
    <t>NB Elect Serv OH - 014260</t>
  </si>
  <si>
    <t>CNBSV426U</t>
  </si>
  <si>
    <t>NB Elect Serv UG - 014260</t>
  </si>
  <si>
    <t>CNBSV766O</t>
  </si>
  <si>
    <t>NB Elect Serv OH - 017660</t>
  </si>
  <si>
    <t>CNBSV766U</t>
  </si>
  <si>
    <t>NB Elect Serv UG - 017660</t>
  </si>
  <si>
    <t>CPBWK156</t>
  </si>
  <si>
    <t>El Public Works - 011560</t>
  </si>
  <si>
    <t>CPBWK216</t>
  </si>
  <si>
    <t>El Public Works - 012160</t>
  </si>
  <si>
    <t>CPBWK236</t>
  </si>
  <si>
    <t>El Public Works - 012360</t>
  </si>
  <si>
    <t>CPBWK246</t>
  </si>
  <si>
    <t>El Public Works - 012460</t>
  </si>
  <si>
    <t>CPBWK256</t>
  </si>
  <si>
    <t>El Public Works - 012560</t>
  </si>
  <si>
    <t>CPBWK315</t>
  </si>
  <si>
    <t>El Public Works - 013150</t>
  </si>
  <si>
    <t>CPBWK366</t>
  </si>
  <si>
    <t>El Public Works - 013660</t>
  </si>
  <si>
    <t>CPBWK416</t>
  </si>
  <si>
    <t>El Public Works - 014160</t>
  </si>
  <si>
    <t>CPBWK426</t>
  </si>
  <si>
    <t>El Public Works - 014260</t>
  </si>
  <si>
    <t>CPBWK766</t>
  </si>
  <si>
    <t>El Public Works - 017660</t>
  </si>
  <si>
    <t>CPOL216</t>
  </si>
  <si>
    <t>NB Outdoor Lights - 012160</t>
  </si>
  <si>
    <t>CPOL246</t>
  </si>
  <si>
    <t>NB Outdoor Lights - 012460</t>
  </si>
  <si>
    <t>CPOL256</t>
  </si>
  <si>
    <t>NB Outdoor Lights - 012560</t>
  </si>
  <si>
    <t>CPOL315</t>
  </si>
  <si>
    <t>NB Outdoor Lights - 013150</t>
  </si>
  <si>
    <t>CPOL416</t>
  </si>
  <si>
    <t>NB Outdoor Lights - 014160</t>
  </si>
  <si>
    <t>CPOL766</t>
  </si>
  <si>
    <t>NB Outdoor Lights - 017660</t>
  </si>
  <si>
    <t>CRCST156</t>
  </si>
  <si>
    <t>Cust Requested - 011560</t>
  </si>
  <si>
    <t>CRCST216</t>
  </si>
  <si>
    <t>Cust Requested - 012160</t>
  </si>
  <si>
    <t>CRCST236</t>
  </si>
  <si>
    <t>Cust Requested - 012360</t>
  </si>
  <si>
    <t>CRCST246</t>
  </si>
  <si>
    <t>Cust Requested - 012460</t>
  </si>
  <si>
    <t>CRCST256</t>
  </si>
  <si>
    <t>Cust Requested - 012560</t>
  </si>
  <si>
    <t>CRCST315</t>
  </si>
  <si>
    <t>Cust Requested - 013150</t>
  </si>
  <si>
    <t>CRCST366</t>
  </si>
  <si>
    <t>Cust Requested - 013660</t>
  </si>
  <si>
    <t>CRCST416</t>
  </si>
  <si>
    <t>Cust Requested - 014160</t>
  </si>
  <si>
    <t>CRCST426</t>
  </si>
  <si>
    <t>Cust Requested - 014260</t>
  </si>
  <si>
    <t>CRCST766</t>
  </si>
  <si>
    <t>Cust Requested - 017660</t>
  </si>
  <si>
    <t>CRDD156O</t>
  </si>
  <si>
    <t>Capital Rep Def OH - 011560</t>
  </si>
  <si>
    <t>CRDD156U</t>
  </si>
  <si>
    <t>Capital Rep Def UG - 011560</t>
  </si>
  <si>
    <t>CRDD216O</t>
  </si>
  <si>
    <t>Capital Rep Def OH - 012160</t>
  </si>
  <si>
    <t>CRDD216U</t>
  </si>
  <si>
    <t>Capital Rep Def UG - 012160</t>
  </si>
  <si>
    <t>CRDD236O</t>
  </si>
  <si>
    <t>Capital Rep Def OH - 012360</t>
  </si>
  <si>
    <t>CRDD236U</t>
  </si>
  <si>
    <t>Capital Rep Def UG - 012360</t>
  </si>
  <si>
    <t>CRDD246O</t>
  </si>
  <si>
    <t>Capital Rep Def OH - 012460</t>
  </si>
  <si>
    <t>CRDD246U</t>
  </si>
  <si>
    <t>Capital Rep Def UG - 012460</t>
  </si>
  <si>
    <t>CRDD256O</t>
  </si>
  <si>
    <t>Capital Rep Def OH - 012560</t>
  </si>
  <si>
    <t>CRDD256U</t>
  </si>
  <si>
    <t>Capital Rep Def UG - 012560</t>
  </si>
  <si>
    <t>CRDD315O</t>
  </si>
  <si>
    <t>Capital Rep Def OH - 013150</t>
  </si>
  <si>
    <t>CRDD315U</t>
  </si>
  <si>
    <t>Capital Rep Def UG - 013150</t>
  </si>
  <si>
    <t>CRDD366O</t>
  </si>
  <si>
    <t>Capital Rep Def OH - 013660</t>
  </si>
  <si>
    <t>CRDD366U</t>
  </si>
  <si>
    <t>Capital Rep Def UG - 013660</t>
  </si>
  <si>
    <t>CRDD416O</t>
  </si>
  <si>
    <t>Capital Rep Def OH - 014160</t>
  </si>
  <si>
    <t>CRDD416U</t>
  </si>
  <si>
    <t>Capital Rep Def UG - 014160</t>
  </si>
  <si>
    <t>CRDD426O</t>
  </si>
  <si>
    <t>Capital Rep Def OH - 014260</t>
  </si>
  <si>
    <t>CRDD426U</t>
  </si>
  <si>
    <t>Capital Rep Def UG - 014260</t>
  </si>
  <si>
    <t>CRDD766O</t>
  </si>
  <si>
    <t>Capital Rep Def OH - 017660</t>
  </si>
  <si>
    <t>CRDD766U</t>
  </si>
  <si>
    <t>Capital Rep Def UG - 017660</t>
  </si>
  <si>
    <t>CRELD156</t>
  </si>
  <si>
    <t>Capital Reliability - 011560</t>
  </si>
  <si>
    <t>CRELD216</t>
  </si>
  <si>
    <t>Capital Reliability - 012160</t>
  </si>
  <si>
    <t>CRELD236</t>
  </si>
  <si>
    <t>Capital Reliability - 012360</t>
  </si>
  <si>
    <t>CRELD246</t>
  </si>
  <si>
    <t>Capital Reliability - 012460</t>
  </si>
  <si>
    <t>CRELD256</t>
  </si>
  <si>
    <t>Capital Reliability - 012560</t>
  </si>
  <si>
    <t>CRELD315</t>
  </si>
  <si>
    <t>Capital Reliability - 013150</t>
  </si>
  <si>
    <t>CRELD366</t>
  </si>
  <si>
    <t>Capital Reliability - 013660</t>
  </si>
  <si>
    <t>CRELD416</t>
  </si>
  <si>
    <t>Capital Reliability - 014160</t>
  </si>
  <si>
    <t>CRELD426</t>
  </si>
  <si>
    <t>Capital Reliability - 014260</t>
  </si>
  <si>
    <t>CRELD766</t>
  </si>
  <si>
    <t>Capital Reliability - 017660</t>
  </si>
  <si>
    <t>CRPOL156</t>
  </si>
  <si>
    <t>Repair Outdoor Lights - 011560</t>
  </si>
  <si>
    <t>CRPOL216</t>
  </si>
  <si>
    <t>Repair Outdoor Lights - 012160</t>
  </si>
  <si>
    <t>CRPOL236</t>
  </si>
  <si>
    <t>Repair Outdoor Lights - 012360</t>
  </si>
  <si>
    <t>CRPOL246</t>
  </si>
  <si>
    <t>Repair Outdoor Lights - 012460</t>
  </si>
  <si>
    <t>CRPOL256</t>
  </si>
  <si>
    <t>Repair Outdoor Lights - 012560</t>
  </si>
  <si>
    <t>CRPOL315</t>
  </si>
  <si>
    <t>Repair Outdoor Lights - 013150</t>
  </si>
  <si>
    <t>CRPOL366</t>
  </si>
  <si>
    <t>Repair Outdoor Lights - 013660</t>
  </si>
  <si>
    <t>CRPOL416</t>
  </si>
  <si>
    <t>Repair Outdoor Lights - 014160</t>
  </si>
  <si>
    <t>CRPOL766</t>
  </si>
  <si>
    <t>Repair Outdoor Lights - 017660</t>
  </si>
  <si>
    <t>CRPOLE156</t>
  </si>
  <si>
    <t>Pole Repair/Replace - 011560</t>
  </si>
  <si>
    <t>CRPOLE216</t>
  </si>
  <si>
    <t>Pole Repair/Replace - 012160</t>
  </si>
  <si>
    <t>CRPOLE236</t>
  </si>
  <si>
    <t>Pole Repair/Replace - 012360</t>
  </si>
  <si>
    <t>CRPOLE246</t>
  </si>
  <si>
    <t>Pole Repair/Replace - 012460</t>
  </si>
  <si>
    <t>CRPOLE256</t>
  </si>
  <si>
    <t>Pole Repair/Replace - 012560</t>
  </si>
  <si>
    <t>CRPOLE315</t>
  </si>
  <si>
    <t>Pole Repair/Replace - 013150</t>
  </si>
  <si>
    <t>CRPOLE366</t>
  </si>
  <si>
    <t>Pole Repair/Replace - 013660</t>
  </si>
  <si>
    <t>CRPOLE416</t>
  </si>
  <si>
    <t>Pole Repair/Replace - 014160</t>
  </si>
  <si>
    <t>CRPOLE426</t>
  </si>
  <si>
    <t>Pole Repair/Replace - 014260</t>
  </si>
  <si>
    <t>CRPOLE766</t>
  </si>
  <si>
    <t>Pole Repair/Replace - 017660</t>
  </si>
  <si>
    <t>CRSTLT156</t>
  </si>
  <si>
    <t>Repair Street Lights - 011560</t>
  </si>
  <si>
    <t>CRSTLT216</t>
  </si>
  <si>
    <t>Repair Street Lights - 012160</t>
  </si>
  <si>
    <t>CRSTLT236</t>
  </si>
  <si>
    <t>Repair Street Lights - 012360</t>
  </si>
  <si>
    <t>CRSTLT246</t>
  </si>
  <si>
    <t>Repair Street Lights - 012460</t>
  </si>
  <si>
    <t>CRSTLT256</t>
  </si>
  <si>
    <t>Repair Street Lights - 012560</t>
  </si>
  <si>
    <t>CRSTLT315</t>
  </si>
  <si>
    <t>Repair Street Lights - 013150</t>
  </si>
  <si>
    <t>CRSTLT366</t>
  </si>
  <si>
    <t>Repair Street Lights - 013660</t>
  </si>
  <si>
    <t>CRSTLT416</t>
  </si>
  <si>
    <t>Repair Street Lights - 014160</t>
  </si>
  <si>
    <t>CRSTLT426</t>
  </si>
  <si>
    <t>Repair Street Lights - 014260</t>
  </si>
  <si>
    <t>CRSTLT766</t>
  </si>
  <si>
    <t>Repair Street Lights - 017660</t>
  </si>
  <si>
    <t>CSTLT156</t>
  </si>
  <si>
    <t>NB Street Lights - 011560</t>
  </si>
  <si>
    <t>CSTLT216</t>
  </si>
  <si>
    <t>NB Street Lights - 012160</t>
  </si>
  <si>
    <t>CSTLT236</t>
  </si>
  <si>
    <t>NB Street Lights - 012360</t>
  </si>
  <si>
    <t>CSTLT246</t>
  </si>
  <si>
    <t>NB Street Lights - 012460</t>
  </si>
  <si>
    <t>CSTLT256</t>
  </si>
  <si>
    <t>NB Street Lights - 012560</t>
  </si>
  <si>
    <t>CSTLT315</t>
  </si>
  <si>
    <t>NB Street Lights - 013150</t>
  </si>
  <si>
    <t>CSTLT366</t>
  </si>
  <si>
    <t>NB Street Lights - 013660</t>
  </si>
  <si>
    <t>CSTLT416</t>
  </si>
  <si>
    <t>NB Street Lights - 014160</t>
  </si>
  <si>
    <t>CSTLT426</t>
  </si>
  <si>
    <t>NB Street Lights - 014260</t>
  </si>
  <si>
    <t>CSTLT766</t>
  </si>
  <si>
    <t>NB Street Lights - 017660</t>
  </si>
  <si>
    <t>CSTRM156</t>
  </si>
  <si>
    <t>Cap Minor Storms - 011560</t>
  </si>
  <si>
    <t>CSTRM216</t>
  </si>
  <si>
    <t>Cap Minor Storms - 012160</t>
  </si>
  <si>
    <t>CSTRM236</t>
  </si>
  <si>
    <t>Cap Minor Storms - 012360</t>
  </si>
  <si>
    <t>CSTRM246</t>
  </si>
  <si>
    <t>Cap Minor Storms - 012460</t>
  </si>
  <si>
    <t>CSTRM256</t>
  </si>
  <si>
    <t>Cap Minor Storms - 012560</t>
  </si>
  <si>
    <t>CSTRM315</t>
  </si>
  <si>
    <t>Cap Minor Storms - 013150</t>
  </si>
  <si>
    <t>CSTRM366</t>
  </si>
  <si>
    <t>Cap Minor Storms - 013660</t>
  </si>
  <si>
    <t>CSTRM416</t>
  </si>
  <si>
    <t>Cap Minor Storms - 014160</t>
  </si>
  <si>
    <t>CSTRM426</t>
  </si>
  <si>
    <t>Cap Minor Storms - 014260</t>
  </si>
  <si>
    <t>CSTRM766</t>
  </si>
  <si>
    <t>Cap Minor Storms - 017660</t>
  </si>
  <si>
    <t>CSTRMKU</t>
  </si>
  <si>
    <t>Cap KU Major Storms</t>
  </si>
  <si>
    <t>CSYSEN156</t>
  </si>
  <si>
    <t>Sys Enh - 011560</t>
  </si>
  <si>
    <t>CSYSEN216</t>
  </si>
  <si>
    <t>Sys Enh - 012160</t>
  </si>
  <si>
    <t>CSYSEN236</t>
  </si>
  <si>
    <t>Sys Enh - 012360</t>
  </si>
  <si>
    <t>CSYSEN246</t>
  </si>
  <si>
    <t>Sys Enh - 012460</t>
  </si>
  <si>
    <t>CSYSEN256</t>
  </si>
  <si>
    <t>Sys Enh - 012560</t>
  </si>
  <si>
    <t>CSYSEN315</t>
  </si>
  <si>
    <t>Sys Enh - 013150</t>
  </si>
  <si>
    <t>CSYSEN366</t>
  </si>
  <si>
    <t>Sys Enh - 013660</t>
  </si>
  <si>
    <t>CSYSEN416</t>
  </si>
  <si>
    <t>Sys Enh - 014160</t>
  </si>
  <si>
    <t>CSYSEN426</t>
  </si>
  <si>
    <t>Sys Enh - 014260</t>
  </si>
  <si>
    <t>CSYSEN766</t>
  </si>
  <si>
    <t>Sys Enh - 017660</t>
  </si>
  <si>
    <t>CTBRD156O</t>
  </si>
  <si>
    <t>Cap Trouble Orders OH - 011560</t>
  </si>
  <si>
    <t>CTBRD156U</t>
  </si>
  <si>
    <t>Cap Trouble Orders UG - 011560</t>
  </si>
  <si>
    <t>CTBRD216O</t>
  </si>
  <si>
    <t>Cap Trouble Orders OH - 012160</t>
  </si>
  <si>
    <t>CTBRD216U</t>
  </si>
  <si>
    <t>Cap Trouble Orders UG - 012160</t>
  </si>
  <si>
    <t>CTBRD236O</t>
  </si>
  <si>
    <t>Cap Trouble Orders OH - 012360</t>
  </si>
  <si>
    <t>CTBRD236U</t>
  </si>
  <si>
    <t>Cap Trouble Orders UG - 012360</t>
  </si>
  <si>
    <t>CTBRD246O</t>
  </si>
  <si>
    <t>Cap Trouble Orders OH - 012460</t>
  </si>
  <si>
    <t>CTBRD246U</t>
  </si>
  <si>
    <t>Cap Trouble Orders UG - 012460</t>
  </si>
  <si>
    <t>CTBRD256O</t>
  </si>
  <si>
    <t>Cap Trouble Orders OH - 012560</t>
  </si>
  <si>
    <t>CTBRD315O</t>
  </si>
  <si>
    <t>Cap Trouble Orders OH - 013150</t>
  </si>
  <si>
    <t>CTBRD315U</t>
  </si>
  <si>
    <t>Cap Trouble Orders UG - 013150</t>
  </si>
  <si>
    <t>CTBRD366O</t>
  </si>
  <si>
    <t>Cap Trouble Orders OH - 013660</t>
  </si>
  <si>
    <t>CTBRD366U</t>
  </si>
  <si>
    <t>Cap Trouble Orders UG - 013660</t>
  </si>
  <si>
    <t>CTBRD416O</t>
  </si>
  <si>
    <t>Cap Trouble Orders OH - 014160</t>
  </si>
  <si>
    <t>CTBRD416U</t>
  </si>
  <si>
    <t>Cap Trouble Order UG - 014160</t>
  </si>
  <si>
    <t>CTBRD426O</t>
  </si>
  <si>
    <t>Cap Trouble Orders OH - 014260</t>
  </si>
  <si>
    <t>CTBRD426U</t>
  </si>
  <si>
    <t>Cap Trouble Orders UG - 014260</t>
  </si>
  <si>
    <t>CTBRD766O</t>
  </si>
  <si>
    <t>Cap Trouble Orders OH - 017660</t>
  </si>
  <si>
    <t>CTBRD766U</t>
  </si>
  <si>
    <t>Cap Trouble Orders UG - 017660</t>
  </si>
  <si>
    <t>CTPD156</t>
  </si>
  <si>
    <t>Capital Thrd Party - 011560</t>
  </si>
  <si>
    <t>CTPD216</t>
  </si>
  <si>
    <t>Capital Thrd Party - 012160</t>
  </si>
  <si>
    <t>CTPD236</t>
  </si>
  <si>
    <t>Capital Thrd Party - 012360</t>
  </si>
  <si>
    <t>CTPD246</t>
  </si>
  <si>
    <t>Capital Thrd Party - 012460</t>
  </si>
  <si>
    <t>CTPD256</t>
  </si>
  <si>
    <t>Capital Thrd Party - 012560</t>
  </si>
  <si>
    <t>CTPD315</t>
  </si>
  <si>
    <t>Capital Thrd Party - 013150</t>
  </si>
  <si>
    <t>CTPD366</t>
  </si>
  <si>
    <t>Capital Thrd Party - 013660</t>
  </si>
  <si>
    <t>CTPD416</t>
  </si>
  <si>
    <t>Capital Thrd Party - 014160</t>
  </si>
  <si>
    <t>CTPD426</t>
  </si>
  <si>
    <t>Capital Thrd Party - 014260</t>
  </si>
  <si>
    <t>CTPD766</t>
  </si>
  <si>
    <t>Capital Thrd Party - 017660</t>
  </si>
  <si>
    <t>CXFRM156</t>
  </si>
  <si>
    <t>NB Transformers - 011560</t>
  </si>
  <si>
    <t>CXFRM216</t>
  </si>
  <si>
    <t>NB Transformers - 012160</t>
  </si>
  <si>
    <t>CXFRM236</t>
  </si>
  <si>
    <t>NB Transformers - 012360</t>
  </si>
  <si>
    <t>CXFRM246</t>
  </si>
  <si>
    <t>NB Transformers - 012460</t>
  </si>
  <si>
    <t>CXFRM256</t>
  </si>
  <si>
    <t>NB Transformers - 012560</t>
  </si>
  <si>
    <t>CXFRM301</t>
  </si>
  <si>
    <t>KU Line Transformers</t>
  </si>
  <si>
    <t>CXFRM315</t>
  </si>
  <si>
    <t>NB Transformers - 013150</t>
  </si>
  <si>
    <t>CXFRM366</t>
  </si>
  <si>
    <t>NB Transformers - 013660</t>
  </si>
  <si>
    <t>CXFRM416</t>
  </si>
  <si>
    <t>NB Transformers - 014160</t>
  </si>
  <si>
    <t>CXFRM426</t>
  </si>
  <si>
    <t>NB Transformers - 014260</t>
  </si>
  <si>
    <t>CXFRM766</t>
  </si>
  <si>
    <t>NB Transformers - 017660</t>
  </si>
  <si>
    <t>IT0033K</t>
  </si>
  <si>
    <t>Enterprise Strg Sys Refr-KU17</t>
  </si>
  <si>
    <t>IT0057K</t>
  </si>
  <si>
    <t>Mob 5500 Netscale HW Ref-KU16</t>
  </si>
  <si>
    <t>IT0077K</t>
  </si>
  <si>
    <t>Oracle NMS Upgrade-KU17</t>
  </si>
  <si>
    <t>IT0078K</t>
  </si>
  <si>
    <t>OTN DWDM Repl (Encrypt)-KU17</t>
  </si>
  <si>
    <t>IT0094K</t>
  </si>
  <si>
    <t>Server Hardware Refr-KU17</t>
  </si>
  <si>
    <t>IT0103K</t>
  </si>
  <si>
    <t>Sys Lab software replace-KU16</t>
  </si>
  <si>
    <t>IT0112K</t>
  </si>
  <si>
    <t>Trans Map Land Use-KU17</t>
  </si>
  <si>
    <t>K5-2015</t>
  </si>
  <si>
    <t>Relocations Trans Lines KU</t>
  </si>
  <si>
    <t>K5-2016</t>
  </si>
  <si>
    <t>Relocations T Lines KU-</t>
  </si>
  <si>
    <t>K8-2014</t>
  </si>
  <si>
    <t>STORM DAMAGE T-LINE-KU 2014</t>
  </si>
  <si>
    <t>K8-2015</t>
  </si>
  <si>
    <t>STORM DAMAGE T-LINE KU 2015</t>
  </si>
  <si>
    <t>K8-2016</t>
  </si>
  <si>
    <t>STORM DAMAGE T-LINE KU 2016</t>
  </si>
  <si>
    <t>K9-2013</t>
  </si>
  <si>
    <t>PRIORITY REPL T-LINES KU 2013</t>
  </si>
  <si>
    <t>K9-2014</t>
  </si>
  <si>
    <t>PRIORITY REPL T-LINES-KU 2014</t>
  </si>
  <si>
    <t>K9-2015</t>
  </si>
  <si>
    <t>PRIORITY REPL T-LINES KU 2015</t>
  </si>
  <si>
    <t>K9-2016</t>
  </si>
  <si>
    <t>PRIORITY REPL T-LINES KU 2016</t>
  </si>
  <si>
    <t>KARM-2015</t>
  </si>
  <si>
    <t>PRIORITY REPL X-ARMS KU 2015</t>
  </si>
  <si>
    <t>KARM-2016</t>
  </si>
  <si>
    <t>Priority Repl X-Arms KU 2016</t>
  </si>
  <si>
    <t>KBR-12</t>
  </si>
  <si>
    <t>KU Breaker Replacements-12</t>
  </si>
  <si>
    <t>KBRFAIL15</t>
  </si>
  <si>
    <t>KU-Brkr Fail-2015</t>
  </si>
  <si>
    <t>KBRFAIL16</t>
  </si>
  <si>
    <t>KU-Brkr Fail-2016</t>
  </si>
  <si>
    <t>KINS-2015</t>
  </si>
  <si>
    <t>PRIORITY REPL INSLTRS KU 2015</t>
  </si>
  <si>
    <t>KINS-2016</t>
  </si>
  <si>
    <t>Priority Repl Insltrs KU 2016</t>
  </si>
  <si>
    <t>KOTFAIL14</t>
  </si>
  <si>
    <t>KU-OtherFail-2014</t>
  </si>
  <si>
    <t>KOTFAIL15</t>
  </si>
  <si>
    <t>KU-OtherFail-2015</t>
  </si>
  <si>
    <t>KOTFAIL16</t>
  </si>
  <si>
    <t>KU-OtherFail-2016</t>
  </si>
  <si>
    <t>KOTH-2016</t>
  </si>
  <si>
    <t>Priority Repl Other KU 2016</t>
  </si>
  <si>
    <t>K-OTHER14</t>
  </si>
  <si>
    <t>KU-Other-2014</t>
  </si>
  <si>
    <t>K-OTHER15</t>
  </si>
  <si>
    <t>KU-Other-2015</t>
  </si>
  <si>
    <t>KOTPR14</t>
  </si>
  <si>
    <t>KU Other Prot Blank 2014</t>
  </si>
  <si>
    <t>KOTPR15</t>
  </si>
  <si>
    <t>KU Other Prot Blanket 2015</t>
  </si>
  <si>
    <t>KOTPR16</t>
  </si>
  <si>
    <t>KU Other Prot Blanket 2016</t>
  </si>
  <si>
    <t>KOTPRFL16</t>
  </si>
  <si>
    <t>KU Oth Prot Failures 2016</t>
  </si>
  <si>
    <t>KRELAY-14</t>
  </si>
  <si>
    <t>Relay Replacements-KU-2014</t>
  </si>
  <si>
    <t>KRELAY-15</t>
  </si>
  <si>
    <t>Relay Replacements-KU-2015</t>
  </si>
  <si>
    <t>KREL-FL14</t>
  </si>
  <si>
    <t>KU Relay Failures-2014</t>
  </si>
  <si>
    <t>KRSUB-13</t>
  </si>
  <si>
    <t>KU Routine - Subs-13</t>
  </si>
  <si>
    <t>KRTU-14</t>
  </si>
  <si>
    <t>KU RTU Replacements-14</t>
  </si>
  <si>
    <t>KRTU-15</t>
  </si>
  <si>
    <t>KU RTU Replacements-15</t>
  </si>
  <si>
    <t>KRTU-16</t>
  </si>
  <si>
    <t>KU RTU Replacements-16</t>
  </si>
  <si>
    <t>KSTSVC12</t>
  </si>
  <si>
    <t>STATION SERV  XFMRS KU-12</t>
  </si>
  <si>
    <t>KSWT-2015</t>
  </si>
  <si>
    <t>PRIORITY REPL SWITCHES KU 2015</t>
  </si>
  <si>
    <t>RECONCILIATION OF SUMMARY OF UTILITY PLANT TO INCOME STATEMENT DEPRECIATION AND AMORTIZATION - REGULATORY ACCOUNTING</t>
  </si>
  <si>
    <t>YTD</t>
  </si>
  <si>
    <t>IS Neutrality</t>
  </si>
  <si>
    <t>Locomotives</t>
  </si>
  <si>
    <t>Railcar</t>
  </si>
  <si>
    <t>Gas Pipeline</t>
  </si>
  <si>
    <t>Transportation</t>
  </si>
  <si>
    <t>TC1 Cooling Twr</t>
  </si>
  <si>
    <t>Acct - 254</t>
  </si>
  <si>
    <t>ARO Child Depr.</t>
  </si>
  <si>
    <t>Acct - 151060</t>
  </si>
  <si>
    <t>Acct - 151061</t>
  </si>
  <si>
    <t>Acct - 184315</t>
  </si>
  <si>
    <t>Acct - 421001</t>
  </si>
  <si>
    <t>Rounding</t>
  </si>
  <si>
    <t>End Balance</t>
  </si>
  <si>
    <t>DEPRECIATION</t>
  </si>
  <si>
    <t>Intangibles</t>
  </si>
  <si>
    <t>Leaseholds</t>
  </si>
  <si>
    <t>TOTAL ACCRUAL &amp; AMORTIZATION</t>
  </si>
  <si>
    <t>KU - Elec Utility Rev &amp; Exp - YTD</t>
  </si>
  <si>
    <t>Depreciation for ARO</t>
  </si>
  <si>
    <t>Amortization</t>
  </si>
  <si>
    <t>TOTAL PLANT IN SERVICE - ELECTRIC - NBV - REGULATORY ACCOUNTING</t>
  </si>
  <si>
    <t>Total Plant in Service</t>
  </si>
  <si>
    <t>KY, VA, TN</t>
  </si>
  <si>
    <t>Reserve</t>
  </si>
  <si>
    <t>Net Book Value</t>
  </si>
  <si>
    <t>TOTAL 101 &amp; 106</t>
  </si>
  <si>
    <t>Plant in Service</t>
  </si>
  <si>
    <t>E396.00-Power Op Equip - Lg Mach</t>
  </si>
  <si>
    <t>E397.00- Microwave, Fiber, Other</t>
  </si>
  <si>
    <t>E397.10-Comm Eq Radio and Telephone</t>
  </si>
  <si>
    <t>TOTAL PLANT IN SERVICE - ELECTRIC - COST - REGULATORY ACCOUNTING</t>
  </si>
  <si>
    <t>KY, VA, TN Plant in Service</t>
  </si>
  <si>
    <t>TOTAL 101</t>
  </si>
  <si>
    <t>Total 101 Plant in Service</t>
  </si>
  <si>
    <t>106 - Construction Completed not Classified</t>
  </si>
  <si>
    <t>E397.20-Communication Equipment</t>
  </si>
  <si>
    <t>E334.00-Accessory Elec Equip</t>
  </si>
  <si>
    <t>E345.00-Accessory Electric Equip</t>
  </si>
  <si>
    <t>E346.00-Misc Power Plant Equip</t>
  </si>
  <si>
    <t>E311.01-AROP Structures and Improvements</t>
  </si>
  <si>
    <t xml:space="preserve">Total 106 Construction Completed not Classified </t>
  </si>
  <si>
    <t>KENTUCKY - TOTAL PLANT IN SERVICE - ELECTRIC - NBV - REGULATORY ACCOUNTING</t>
  </si>
  <si>
    <t>Total Plant in Service - KY</t>
  </si>
  <si>
    <t>KENTUCKY - PLANT IN SERVICE - ELECTRIC - REGULATORY ACCOUNTING</t>
  </si>
  <si>
    <t>Net retirements</t>
  </si>
  <si>
    <t>101 Plant in Service - KY</t>
  </si>
  <si>
    <t>E360.10-Land Rights - 101</t>
  </si>
  <si>
    <t>E360.20-Land - 101</t>
  </si>
  <si>
    <t>E361.00-Structures and Improvements - 101</t>
  </si>
  <si>
    <t>E362.00-Station Equipment - 101</t>
  </si>
  <si>
    <t>E364.00-Poles, Towers, and Fixtures - 101</t>
  </si>
  <si>
    <t>E365.00-OH Conductors and Devices - 101</t>
  </si>
  <si>
    <t>E366.00-Underground Conduit - 101</t>
  </si>
  <si>
    <t>E367.00-UG Conductors and Devices - 101</t>
  </si>
  <si>
    <t>E368.00-Line Transformers - 101</t>
  </si>
  <si>
    <t>E369.00-Services - 101</t>
  </si>
  <si>
    <t>E370.00-Meters - 101</t>
  </si>
  <si>
    <t>E370.01-Meters AMS - 101</t>
  </si>
  <si>
    <t>E371.00-Install on Customer Premise - 101</t>
  </si>
  <si>
    <t>E373.00-Street Lighting / Signal Sy - 101</t>
  </si>
  <si>
    <t>E374.05-ARO Cost Elec Dist (L/B) - 101</t>
  </si>
  <si>
    <t>E374.07-ARO Cost Elec Dist (Eqp) - 101</t>
  </si>
  <si>
    <t>E389.20-Land - 101</t>
  </si>
  <si>
    <t>E390.10-Structures and Improvements - 101</t>
  </si>
  <si>
    <t>E390.20-Improv to Leased Property - 101110</t>
  </si>
  <si>
    <t>E391.10-Office Equipment - 101</t>
  </si>
  <si>
    <t>E391.20-Non PC Computer Equipment - 101</t>
  </si>
  <si>
    <t>E391.30-Cash Processing Equipment - 101</t>
  </si>
  <si>
    <t>E391.31-Personal Computers - 101</t>
  </si>
  <si>
    <t>E392.00-Cars and Light Trucks - 101</t>
  </si>
  <si>
    <t>E392.10-Heavy Trucks and Other - 101</t>
  </si>
  <si>
    <t>E393.00-Stores Equipment - 101</t>
  </si>
  <si>
    <t>E394.00-Tools, Shop, and Garage Equ - 101</t>
  </si>
  <si>
    <t>E395.00-Laboratory Equipment - 101</t>
  </si>
  <si>
    <t>E396.00-Power Op Equip - Lg Mach - 101</t>
  </si>
  <si>
    <t>E397.00- Microwave, Fiber, Other - 101</t>
  </si>
  <si>
    <t>E397.10-Comm Eq Radio and Telephone - 101</t>
  </si>
  <si>
    <t>E397.20-DSM Communication Equipment - 101</t>
  </si>
  <si>
    <t>E398.00-Miscellaneous Equipment - 101</t>
  </si>
  <si>
    <t>E330.10-Land Rights - 101</t>
  </si>
  <si>
    <t>E331.00-Structures and Improvements - 101</t>
  </si>
  <si>
    <t>E332.00-Reservoirs, Dams, and Water - 101</t>
  </si>
  <si>
    <t>E333.00-Water Wheels, Turbines, Gen - 101</t>
  </si>
  <si>
    <t>E334.00-Accessory Electric Equipmen - 101</t>
  </si>
  <si>
    <t>E335.00-Misc Power Plant Equipment - 101</t>
  </si>
  <si>
    <t>E336.00-Roads, Railroads, and Bridg - 101</t>
  </si>
  <si>
    <t>E337.07-ARO Cost Hydro Prod (Eqp) - 101</t>
  </si>
  <si>
    <t>E301.00-Organization - 101</t>
  </si>
  <si>
    <t>E302.00-Franchises and Consents - 101</t>
  </si>
  <si>
    <t>E303.00-Misc Intangible Plant - 101</t>
  </si>
  <si>
    <t>E303.10-CCS Software - 101</t>
  </si>
  <si>
    <t>E340.10-Land Rights - 101</t>
  </si>
  <si>
    <t>E340.20-Land - 101</t>
  </si>
  <si>
    <t>E341.00-Structures and Improvements - 101</t>
  </si>
  <si>
    <t>E342.00-Fuel Holders, Producers, Ac - 101</t>
  </si>
  <si>
    <t>E342.01-AROP Fuel Holders, Prod, Ac - 101</t>
  </si>
  <si>
    <t>E343.00-Prime Movers - 101</t>
  </si>
  <si>
    <t>E344.00-Generators - 101</t>
  </si>
  <si>
    <t>E345.00-Accessory Electric Equipmen - 101</t>
  </si>
  <si>
    <t>E345.01-AROP Accessory Elec Equip  - 101</t>
  </si>
  <si>
    <t>E346.00-Misc Power Plant Equipment - 101</t>
  </si>
  <si>
    <t>E347.07-ARO Cost Other Prod (Eqp) - 101</t>
  </si>
  <si>
    <t>E310.20-Land - 101</t>
  </si>
  <si>
    <t>E311.00-Structures and Improvements - 101</t>
  </si>
  <si>
    <t>E311.01-AROP Structures and Improv  - 101</t>
  </si>
  <si>
    <t>E312.00-Boiler Plant Equipment - 101</t>
  </si>
  <si>
    <t>E312.01-AROP Boiler Plant Equipment - 101</t>
  </si>
  <si>
    <t>E314.00-Turbogenerator Units - 101</t>
  </si>
  <si>
    <t>E314.01-AROP Turbogenerator Units - 101</t>
  </si>
  <si>
    <t>E315.00-Accessory Electric Equipmen - 101</t>
  </si>
  <si>
    <t>E315.01-AROP Accessory Elec Equip  - 101</t>
  </si>
  <si>
    <t>E316.00-Misc Power Plant Equip - 101</t>
  </si>
  <si>
    <t>E317.07-ARO Cost Steam (Eqp) - 101</t>
  </si>
  <si>
    <t>E317.08-ARO Cost Steam (CCR) - 101</t>
  </si>
  <si>
    <t>E350.10-Land Rights - 101</t>
  </si>
  <si>
    <t>E350.20-Land - 101</t>
  </si>
  <si>
    <t>E352.10-Struct &amp; Imp-Non Sys Contro - 101</t>
  </si>
  <si>
    <t>E352.20-Struct &amp; Imp-Sys Control/Co - 101</t>
  </si>
  <si>
    <t>E353.10-Station Equipment - Non Sys - 101</t>
  </si>
  <si>
    <t>E353.11-AROP Station Equip Non Sys - 101</t>
  </si>
  <si>
    <t>E353.20-Station Equip-Sys Control - 101</t>
  </si>
  <si>
    <t>E354.00-Towers and Fixtures - 101</t>
  </si>
  <si>
    <t>E355.00-Poles and Fixtures - 101</t>
  </si>
  <si>
    <t>E356.00-OH Conductors and Devices - 101</t>
  </si>
  <si>
    <t>E357.00-Underground Conduit - 101</t>
  </si>
  <si>
    <t>E358.00-UG Conductors and Devices - 101</t>
  </si>
  <si>
    <t>E359.15-ARO Cost Transm (L/B) - 101</t>
  </si>
  <si>
    <t>E359.17-ARO Cost Transm (Eqp) - 101</t>
  </si>
  <si>
    <t>Total 101 Plant in Service - KY</t>
  </si>
  <si>
    <t>E360.20-Land - 106</t>
  </si>
  <si>
    <t>E361.00-Structures and Improvements - 106</t>
  </si>
  <si>
    <t>E362.00-Station Equipment - 106</t>
  </si>
  <si>
    <t>E364.00-Poles, Towers, and Fixtures - 106</t>
  </si>
  <si>
    <t>E365.00-OH Conductors and Devices - 106</t>
  </si>
  <si>
    <t>E366.00-Underground Conduit - 106</t>
  </si>
  <si>
    <t>E367.00-UG Conductors and Devices - 106</t>
  </si>
  <si>
    <t>E368.00-Line Transformers - 106</t>
  </si>
  <si>
    <t>E369.00-Services - 106</t>
  </si>
  <si>
    <t>E370.00-Meters - 106</t>
  </si>
  <si>
    <t>E370.01-Meters AMS - 106</t>
  </si>
  <si>
    <t>E373.00-Street Lighting / Signal Sy - 106</t>
  </si>
  <si>
    <t>E390.10-Structures and Improvements - 106</t>
  </si>
  <si>
    <t>E391.10-Office Equipment - 106</t>
  </si>
  <si>
    <t>E391.20-Non PC Computer Equipment - 106</t>
  </si>
  <si>
    <t>E391.30-Cash Processing Equipment - 106</t>
  </si>
  <si>
    <t>E391.31-Personal Computers - 106</t>
  </si>
  <si>
    <t>E393.00-Stores Equipment - 106</t>
  </si>
  <si>
    <t>E394.00-Tools, Shop, and Garage Equ - 106</t>
  </si>
  <si>
    <t>E396.00-Power Op Equip - Lg Mach - 106</t>
  </si>
  <si>
    <t>E397.00- Microwave, Fiber, Other - 106</t>
  </si>
  <si>
    <t>E397.10-Comm Eq Radio and Telephone - 106</t>
  </si>
  <si>
    <t>E397.20-DSM Communication Equipment - 106</t>
  </si>
  <si>
    <t>E331.00-Structures and Improvements - 106</t>
  </si>
  <si>
    <t>E332.00-Reservoirs, Dams, and Water - 106</t>
  </si>
  <si>
    <t>E333.00-Water Wheels, Turbines, Gen - 106</t>
  </si>
  <si>
    <t>E334.00-Accessory Electric Equipmen - 106</t>
  </si>
  <si>
    <t>E335.00-Misc Power Plant Equipment - 106</t>
  </si>
  <si>
    <t>E336.00-Roads, Railroads, and Bridg - 106</t>
  </si>
  <si>
    <t>E303.00-Misc Intangible Plant - 106</t>
  </si>
  <si>
    <t>E303.10-CCS Software - 106</t>
  </si>
  <si>
    <t>E341.00-Structures and Improvements - 106</t>
  </si>
  <si>
    <t>E342.00-Fuel Holders, Producers, Ac - 106</t>
  </si>
  <si>
    <t>E343.00-Prime Movers - 106</t>
  </si>
  <si>
    <t>E344.00-Generators - 106</t>
  </si>
  <si>
    <t>E345.00-Accessory Electric Equipmen - 106</t>
  </si>
  <si>
    <t>E346.00-Misc Power Plant Equipment - 106</t>
  </si>
  <si>
    <t>E310.20-Land - 106</t>
  </si>
  <si>
    <t>E311.00-Structures and Improvements - 106</t>
  </si>
  <si>
    <t>E311.01-AROP Structures and Improv  - 106</t>
  </si>
  <si>
    <t>E312.00-Boiler Plant Equipment - 106</t>
  </si>
  <si>
    <t>E314.00-Turbogenerator Units - 106</t>
  </si>
  <si>
    <t>E315.00-Accessory Electric Equipmen - 106</t>
  </si>
  <si>
    <t>E316.00-Misc Power Plant Equip - 106</t>
  </si>
  <si>
    <t>E350.10-Land Rights - 106</t>
  </si>
  <si>
    <t>E350.20-Land - 106</t>
  </si>
  <si>
    <t>E352.10-Struct &amp; Imp-Non Sys Contro - 106</t>
  </si>
  <si>
    <t>E353.10-Station Equipment - Non Sys - 106</t>
  </si>
  <si>
    <t>E353.20-Station Equip-Sys Control - 106</t>
  </si>
  <si>
    <t>E354.00-Towers and Fixtures - 106</t>
  </si>
  <si>
    <t>E355.00-Poles and Fixtures - 106</t>
  </si>
  <si>
    <t>E356.00-OH Conductors and Devices - 106</t>
  </si>
  <si>
    <t>E358.00-UG Conductors and Devices - 106</t>
  </si>
  <si>
    <t>Total Plant in Service - Electric - KY</t>
  </si>
  <si>
    <t>VIRGINIA - TOTAL PLANT IN SERVICE - ELECTRIC - NBV - REGULATORY ACCOUNTING</t>
  </si>
  <si>
    <t>E390.20-Structures and Improvements</t>
  </si>
  <si>
    <t>E391.20-Non PC Computer Equipmen</t>
  </si>
  <si>
    <t>E358.00-Underground Conductors a</t>
  </si>
  <si>
    <t>Total Plant in Service - Electric - VA</t>
  </si>
  <si>
    <t>VIRGINIA - PLANT IN SERVICE - ELECTRIC - REGULATORY ACCOUNTING</t>
  </si>
  <si>
    <t>101 Plant in Service</t>
  </si>
  <si>
    <t>E390.20-Structures and Improvements - 101</t>
  </si>
  <si>
    <t>Total 101 Plant in Service - Electric - VA</t>
  </si>
  <si>
    <t>Total 106 Construction Completed not Classified</t>
  </si>
  <si>
    <t>TENNESSEE - TOTAL PLANT IN SERVICE - ELECTRIC - NBV - REGULATORY ACCOUNTING</t>
  </si>
  <si>
    <t>E367.00-Underground Conductors a</t>
  </si>
  <si>
    <t>Total Plant in Service - Electric - TN</t>
  </si>
  <si>
    <t>TENNESSEE - PLANT IN SERVICE - ELECTRIC - REGULATORY ACCOUNTING</t>
  </si>
  <si>
    <t>Total 101 Plant in Service - Electric - TN</t>
  </si>
  <si>
    <t>PLANT HELD FOR FUTURE USE - REGULATORY ACCOUNTING</t>
  </si>
  <si>
    <t>105 Plant Held for Future Use</t>
  </si>
  <si>
    <t>E360.25-Land Held for Future Use</t>
  </si>
  <si>
    <t>Other Production</t>
  </si>
  <si>
    <t>Steam Production</t>
  </si>
  <si>
    <t>E315.00-Accessory Electric Equip</t>
  </si>
  <si>
    <t xml:space="preserve">Total Plant Held for Future Use </t>
  </si>
  <si>
    <t>KENTUCKY - NON UTILITY PROPERTY - REGULATORY ACCOUNTING</t>
  </si>
  <si>
    <t>121001-NONUTIL PROP IN SERV</t>
  </si>
  <si>
    <t>C121.04-Nonutility Prop - Misc Land</t>
  </si>
  <si>
    <t>C121.05-Nonutility Prop-Misc Struct</t>
  </si>
  <si>
    <t>C121.06-Nonutility-Misc Land Rights</t>
  </si>
  <si>
    <t>Total Non Utility Property - KY</t>
  </si>
  <si>
    <t>ELECTRIC PLANT - PURCHASED OR SOLD - REGULATORY ACCOUNTING</t>
  </si>
  <si>
    <t>102 Electric Plant - Purchased or Sold</t>
  </si>
  <si>
    <t>E310.20-Structures and Improvements</t>
  </si>
  <si>
    <t>Total Electric Plant - Purchased or Sold</t>
  </si>
  <si>
    <t>KENTUCKY RESERVE FOR DEPRECIATION AND AMORTIZATION OF ELECTRIC PLANT IN SERVICE - REGULATORY ACCOUNTING</t>
  </si>
  <si>
    <t>KU-136010- KY Land Rights</t>
  </si>
  <si>
    <t>KU-136010- KY Licensed Proj Land Ri</t>
  </si>
  <si>
    <t>KU-136020-KY Land</t>
  </si>
  <si>
    <t>KU-136100- KY Struct and Improv</t>
  </si>
  <si>
    <t>KU-136200- KY Station Equipment</t>
  </si>
  <si>
    <t>KU-136400-KY Ghent Transpt ECR 2009</t>
  </si>
  <si>
    <t>KU-136400-KY Licensed Project Pole</t>
  </si>
  <si>
    <t>KU-136400-KY Poles, Towers, and Fix</t>
  </si>
  <si>
    <t>KU-136500- KY Licensed Proj Ohd Con</t>
  </si>
  <si>
    <t>KU-136500- KY Overhead Conductor</t>
  </si>
  <si>
    <t>KU-136500-KY Ghent Transpt ECR 2009</t>
  </si>
  <si>
    <t>KU-136600- KY Underground Conduit</t>
  </si>
  <si>
    <t>KU-136600-KY Ghent Transpt ECR 2009</t>
  </si>
  <si>
    <t>KU-136700- KY Undergrnd Conductors</t>
  </si>
  <si>
    <t>KU-136700-KY Ghent Transpt ECR 2009</t>
  </si>
  <si>
    <t>KU-136800- KY Line Transformers</t>
  </si>
  <si>
    <t>KU-136900- KY Services</t>
  </si>
  <si>
    <t>KU-137000- KY Meters</t>
  </si>
  <si>
    <t>KU-137001- KY AMS Meters</t>
  </si>
  <si>
    <t>KU-137100- KY Install on Customers</t>
  </si>
  <si>
    <t>KU-137300- KY Str Lighting and Sign</t>
  </si>
  <si>
    <t>KU-137405-ARO Cost Elec Dist (L/B)</t>
  </si>
  <si>
    <t>KU-137407-ARO Cost Elec Dist (Eqp)</t>
  </si>
  <si>
    <t>Total Electric Distribution</t>
  </si>
  <si>
    <t>KU-138920- KY Land</t>
  </si>
  <si>
    <t>KU-139010- KY Structures &amp; Improv</t>
  </si>
  <si>
    <t>KU-139010-KY Stru Pinevll Joint Own</t>
  </si>
  <si>
    <t>KU-139010-KY Struc Morganfield Offi</t>
  </si>
  <si>
    <t>KU-139010-KY Struc One Quality Bldg</t>
  </si>
  <si>
    <t>KU-139010-Pinevlle Storerm Owned</t>
  </si>
  <si>
    <t>KU-139020-Carlisle Office</t>
  </si>
  <si>
    <t>KU-139020-Coeburn Office</t>
  </si>
  <si>
    <t>KU-139020-Columbia Office</t>
  </si>
  <si>
    <t>KU-139020-Corbin Office</t>
  </si>
  <si>
    <t>KU-139020-Earlington Pole Yard</t>
  </si>
  <si>
    <t>KU-139020-Eddyville Office</t>
  </si>
  <si>
    <t>KU-139020-Ewing Office</t>
  </si>
  <si>
    <t>KU-139020-Flemingsburg Storeroom</t>
  </si>
  <si>
    <t>KU-139020-Henderson Office</t>
  </si>
  <si>
    <t>KU-139020-Lexington Northside Offic</t>
  </si>
  <si>
    <t>KU-139020-Liberty Office</t>
  </si>
  <si>
    <t>KU-139020-Livermore Storeroom</t>
  </si>
  <si>
    <t>KU-139020-London Office</t>
  </si>
  <si>
    <t>KU-139020-Manchester Office</t>
  </si>
  <si>
    <t>KU-139020-Morehead Storeroom</t>
  </si>
  <si>
    <t>KU-139020-Richmond Office</t>
  </si>
  <si>
    <t>KU-139020-Somerset Pole Yard</t>
  </si>
  <si>
    <t>KU-139020-St Paul Office</t>
  </si>
  <si>
    <t>KU-139020-Tates Creek Office</t>
  </si>
  <si>
    <t>KU-139020-Taylorsville Office</t>
  </si>
  <si>
    <t>KU-139020-Versailles Storeroom</t>
  </si>
  <si>
    <t>KU-139020-Whitley City Office</t>
  </si>
  <si>
    <t>KU-139020-Various Offices</t>
  </si>
  <si>
    <t>KU-139110- KY Office Equipment</t>
  </si>
  <si>
    <t>KU-139120-KY Non PC Computer Equip</t>
  </si>
  <si>
    <t>KU-139130-Cash Processing Equipmen</t>
  </si>
  <si>
    <t>KU-139131-Personal Computers</t>
  </si>
  <si>
    <t>KU-139200- KY - Ghent 4 ECR 2009</t>
  </si>
  <si>
    <t>KU-139200- KY Cars and Light Trucks</t>
  </si>
  <si>
    <t>KU-139210- KY Heavy Trucks &amp; Other</t>
  </si>
  <si>
    <t>KU-139300- KY Stores Equipment</t>
  </si>
  <si>
    <t>KU-139400- KY Tools, Shop, Garage</t>
  </si>
  <si>
    <t>KU-139500-KY Laboratory Equipment</t>
  </si>
  <si>
    <t>KU-139600-KY Power Op Equip Lg Mach</t>
  </si>
  <si>
    <t>KU-139700-KY Microwave,Fiber,Other</t>
  </si>
  <si>
    <t>KU-139710- KY Radios and Telephone</t>
  </si>
  <si>
    <t>KU-139720- DSM Equipment</t>
  </si>
  <si>
    <t>KU-139800- KY Miscellaneous Equip</t>
  </si>
  <si>
    <t>Total General Plant</t>
  </si>
  <si>
    <t>KU-133010-DD Land Rights</t>
  </si>
  <si>
    <t>KU-133100-DD Structures and Improv</t>
  </si>
  <si>
    <t>KU-133200-DD Reservoirs, Dams, and</t>
  </si>
  <si>
    <t>KU-133300-DD Water Wheels, Turbine</t>
  </si>
  <si>
    <t>KU-133400-DD Accessory Electric Eq</t>
  </si>
  <si>
    <t>KU-133500-DD Misc Power Plant Equi</t>
  </si>
  <si>
    <t>KU-133600-DD Roads, Railroads, and</t>
  </si>
  <si>
    <t>KU-133707-ARO Cost Hydro Prod (Eqp)</t>
  </si>
  <si>
    <t>Total Electric Hydro Production</t>
  </si>
  <si>
    <t>KU-134010-EWB 9PL Land Rights</t>
  </si>
  <si>
    <t>KU-134020-EWB 8 Land</t>
  </si>
  <si>
    <t>KU-134020-EWB Solar Facility Land</t>
  </si>
  <si>
    <t>KU-134020-Land</t>
  </si>
  <si>
    <t>KU-134100-CR 7 Structures and Impr</t>
  </si>
  <si>
    <t>KU-134100-EWB 10 Structures and Im</t>
  </si>
  <si>
    <t>KU-134100-EWB 11 Structures and Im</t>
  </si>
  <si>
    <t>KU-134100-EWB 5 Structures and Im</t>
  </si>
  <si>
    <t>KU-134100-EWB 6 Structures and Imp</t>
  </si>
  <si>
    <t>KU-134100-EWB 7 Structures and Imp</t>
  </si>
  <si>
    <t>KU-134100-EWB 8 Structures and Imp</t>
  </si>
  <si>
    <t>KU-134100-EWB 9 Structures and Imp</t>
  </si>
  <si>
    <t>KU-134100-EWB Solar Struc and Imp</t>
  </si>
  <si>
    <t>KU-134100-HA 1,2,&amp;3 Structures and</t>
  </si>
  <si>
    <t>KU-134100-PR 13 Structures and Imp</t>
  </si>
  <si>
    <t>KU-134100-TC 10 Structures and Imp</t>
  </si>
  <si>
    <t>KU-134100-TC 5 Structures and Impr</t>
  </si>
  <si>
    <t>KU-134100-TC 6 Structures and Impr</t>
  </si>
  <si>
    <t>KU-134100-TC 7 Structures and Impr</t>
  </si>
  <si>
    <t>KU-134100-TC 8 Structures and Impr</t>
  </si>
  <si>
    <t>KU-134100-TC 9 Structures and Impr</t>
  </si>
  <si>
    <t>KU-134100-Structures and Impr</t>
  </si>
  <si>
    <t>KU-134200-Cane Run PIPELINE FUEL</t>
  </si>
  <si>
    <t>KU-134200-CR 7 Fuel Holders, Produ</t>
  </si>
  <si>
    <t>KU-134200-EWB 10 Fuel Holders, Pro</t>
  </si>
  <si>
    <t>KU-134200-EWB 11 Fuel Holders, Pro</t>
  </si>
  <si>
    <t>KU-134200-EWB 5 Fuel Holders, Prod</t>
  </si>
  <si>
    <t>KU-134200-EWB 6 Fuel Holders, Prod</t>
  </si>
  <si>
    <t>KU-134200-EWB 7 Fuel Holders, Prod</t>
  </si>
  <si>
    <t>KU-134200-EWB 8 Fuel Holders, Prod</t>
  </si>
  <si>
    <t>KU-134200-EWB 9 Fuel Holders, Prod</t>
  </si>
  <si>
    <t>KU-134200-EWB 9PL Fuel Holders, Pr</t>
  </si>
  <si>
    <t>KU-134200-HA 1,2,&amp;3 Fuel Holders,</t>
  </si>
  <si>
    <t>KU-134200-PR 13 Fuel Holders, Prod</t>
  </si>
  <si>
    <t>KU-134200-TC 10 Fuel Holders, Prod</t>
  </si>
  <si>
    <t>KU-134200-TC 5 Fuel Holders, Produ</t>
  </si>
  <si>
    <t>KU-134200-TC 6 Fuel Holders, Produ</t>
  </si>
  <si>
    <t>KU-134200-TC 7 Fuel Holders, Produ</t>
  </si>
  <si>
    <t>KU-134200-TC 8 Fuel Holders, Produ</t>
  </si>
  <si>
    <t>KU-134200-TC 9 Fuel Holders, Produ</t>
  </si>
  <si>
    <t>KU-134200-TRIMBLE CT PIPELINE FUEL</t>
  </si>
  <si>
    <t>KU-134200-Fuel Holders, Produ</t>
  </si>
  <si>
    <t>KU-134201-AROP EWB 9 Turbogenerator</t>
  </si>
  <si>
    <t>KU-134300-Cane Run 7 Prime Movers</t>
  </si>
  <si>
    <t>KU-134300-EWB 10 Prime Movers</t>
  </si>
  <si>
    <t>KU-134300-EWB 11 Prime Movers</t>
  </si>
  <si>
    <t>KU-134300-EWB 5 Prime Movers</t>
  </si>
  <si>
    <t>KU-134300-EWB 6 Prime Movers</t>
  </si>
  <si>
    <t>KU-134300-EWB 7 Prime Movers</t>
  </si>
  <si>
    <t>KU-134300-EWB 8 Prime Movers</t>
  </si>
  <si>
    <t>KU-134300-EWB 9 Prime Movers</t>
  </si>
  <si>
    <t>KU-134300-PR 13 Prime Movers</t>
  </si>
  <si>
    <t>KU-134300-TC 10 Prime Movers</t>
  </si>
  <si>
    <t>KU-134300-TC 5 Prime Movers</t>
  </si>
  <si>
    <t>KU-134300-TC 6 Prime Movers</t>
  </si>
  <si>
    <t>KU-134300-TC 7 Prime Movers</t>
  </si>
  <si>
    <t>KU-134300-TC 8 Prime Movers</t>
  </si>
  <si>
    <t>KU-134300-TC 9 Prime Movers</t>
  </si>
  <si>
    <t>KU-134300-Prime Movers</t>
  </si>
  <si>
    <t>KU-134400-CR 7 Generators</t>
  </si>
  <si>
    <t>KU-134400-EWB 10 Generators</t>
  </si>
  <si>
    <t>KU-134400-EWB 11 Generators</t>
  </si>
  <si>
    <t>KU-134400-EWB 5 Generators</t>
  </si>
  <si>
    <t>KU-134400-EWB 6 Generators</t>
  </si>
  <si>
    <t>KU-134400-EWB 7 Generators</t>
  </si>
  <si>
    <t>KU-134400-EWB 8 Generators</t>
  </si>
  <si>
    <t>KU-134400-EWB 9 Generators</t>
  </si>
  <si>
    <t>KU-134400-EWB Solar Generators</t>
  </si>
  <si>
    <t>KU-134400-HA 1,2,&amp;3 Generators</t>
  </si>
  <si>
    <t>KU-134400-PR 13 Generators</t>
  </si>
  <si>
    <t>KU-134400-TC 10 Generators</t>
  </si>
  <si>
    <t>KU-134400-TC 5 Generators</t>
  </si>
  <si>
    <t>KU-134400-TC 6 Generators</t>
  </si>
  <si>
    <t>KU-134400-TC 7 Generators</t>
  </si>
  <si>
    <t>KU-134400-TC 8 Generators</t>
  </si>
  <si>
    <t>KU-134400-TC 9 Generators</t>
  </si>
  <si>
    <t>KU-134400-Generators</t>
  </si>
  <si>
    <t>KU-134500-CR 7 Accessory Electric</t>
  </si>
  <si>
    <t>KU-134500-EWB 10 Accessory Electri</t>
  </si>
  <si>
    <t>KU-134500-EWB 11 Accessory Electri</t>
  </si>
  <si>
    <t>KU-134500-EWB 5 Accessory Electric</t>
  </si>
  <si>
    <t>KU-134500-EWB 6 Accessory Electric</t>
  </si>
  <si>
    <t>KU-134500-EWB 7 Accessory Electric</t>
  </si>
  <si>
    <t>KU-134500-EWB 8 Accessory Electric</t>
  </si>
  <si>
    <t>KU-134500-EWB 9 Accessory Electric</t>
  </si>
  <si>
    <t>KU-134500-EWB Solar Accessory Elec</t>
  </si>
  <si>
    <t>KU-134500-HA 1,2,&amp;3 Accessory Elec</t>
  </si>
  <si>
    <t>KU-134500-PR 13 Accessory Electric</t>
  </si>
  <si>
    <t>KU-134500-TC 10 Acessory Electric</t>
  </si>
  <si>
    <t>KU-134500-TC 5 Accessory Electric</t>
  </si>
  <si>
    <t>KU-134500-TC 6 Accessory Electric</t>
  </si>
  <si>
    <t>KU-134500-TC 7 Accessory Electric</t>
  </si>
  <si>
    <t>KU-134500-TC 8 Accessory Electric</t>
  </si>
  <si>
    <t>KU-134500-TC 9 Accessory Electric</t>
  </si>
  <si>
    <t xml:space="preserve">KU-134500-Accessory Electric </t>
  </si>
  <si>
    <t>KU-134501-AROP EWB 10 Acc Electri</t>
  </si>
  <si>
    <t>KU-134501-AROP EWB 11 Acc Electric</t>
  </si>
  <si>
    <t>KU-134501-AROP EWB 5 Acc Electric</t>
  </si>
  <si>
    <t>KU-134501-AROP EWB 6 Acc Electric</t>
  </si>
  <si>
    <t>KU-134501-AROP EWB 7 Acc Electric</t>
  </si>
  <si>
    <t>KU-134501-AROP EWB 8 Acc Electric</t>
  </si>
  <si>
    <t>KU-134501-AROP EWB 9 Acc Electric</t>
  </si>
  <si>
    <t>KU-134501-AROP TC 7 Acc  Electric</t>
  </si>
  <si>
    <t>KU-134501-AROP TC 8 Acc  Electric</t>
  </si>
  <si>
    <t>KU-134501-AROP Accessory Electric</t>
  </si>
  <si>
    <t>KU-134600-CR 7 Misc. Power Plant E</t>
  </si>
  <si>
    <t>KU-134600-EWB 10 Misc Power Plant</t>
  </si>
  <si>
    <t>KU-134600-EWB 11 Misc Power Plant</t>
  </si>
  <si>
    <t>KU-134600-EWB 5 Misc Power Plant E</t>
  </si>
  <si>
    <t>KU-134600-EWB 6 Misc Power Plant E</t>
  </si>
  <si>
    <t>KU-134600-EWB 7 Misc Power Plant E</t>
  </si>
  <si>
    <t>KU-134600-EWB 8 Misc Power Plant E</t>
  </si>
  <si>
    <t>KU-134600-EWB 9 Misc Power Plant E</t>
  </si>
  <si>
    <t>KU-134600-EWB Solar Misc Power Plt</t>
  </si>
  <si>
    <t>KU-134600-HA 1,2,&amp;3 Misc Power Pla</t>
  </si>
  <si>
    <t>KU-134600-PR 13 Misc Power Plant E</t>
  </si>
  <si>
    <t>KU-134600-TC 10 Misc Power Plant E</t>
  </si>
  <si>
    <t>KU-134600-TC 5 Misc. Power Plant E</t>
  </si>
  <si>
    <t>KU-134600-TC 7 Misc. Power Plant E</t>
  </si>
  <si>
    <t>KU-134600-TC 8 Misc. Power Plant E</t>
  </si>
  <si>
    <t>KU-134600-TC 9 Misc. Power Plant E</t>
  </si>
  <si>
    <t>KU-134600-Misc. Power Plant E</t>
  </si>
  <si>
    <t>KU-134707-ARO Cost Other Prod (Eqp)</t>
  </si>
  <si>
    <t>Total Electric Other Production</t>
  </si>
  <si>
    <t>KU-131020-EWB 1 Land</t>
  </si>
  <si>
    <t>KU-131020-EWB 3 Land</t>
  </si>
  <si>
    <t>KU-131020-GH 1 Land</t>
  </si>
  <si>
    <t>KU-131020-GH 4 Land ECR 2009</t>
  </si>
  <si>
    <t>KU-131020-GR 1&amp;2 Land</t>
  </si>
  <si>
    <t>KU-131020-PI 1&amp;2 Land</t>
  </si>
  <si>
    <t>KU-131020-PI 3 Land</t>
  </si>
  <si>
    <t>KU-131020-TY 3 Land</t>
  </si>
  <si>
    <t>KU-131020-Land</t>
  </si>
  <si>
    <t>KU-131100-EWB 1 Structures and Imp</t>
  </si>
  <si>
    <t>KU-131100-EWB 2 Structures and Imp</t>
  </si>
  <si>
    <t>KU-131100-EWB 3 Struc</t>
  </si>
  <si>
    <t>KU-131100-EWB 3 Struc ECR 2005</t>
  </si>
  <si>
    <t>KU-131100-EWB 3 Struc ECR 2009</t>
  </si>
  <si>
    <t>KU-131100-EWB 3 Struc ECR 2011</t>
  </si>
  <si>
    <t>KU-131100-EWB3 FGD Struc</t>
  </si>
  <si>
    <t>KU-131100-EWB3 FGD Struc ECR 2005</t>
  </si>
  <si>
    <t>KU-131100-GH 1 Struc</t>
  </si>
  <si>
    <t>KU-131100-GH 1 Struc ECR 2006</t>
  </si>
  <si>
    <t>KU-131100-GH 1SC Structures and Im</t>
  </si>
  <si>
    <t>KU-131100-GH 2 Structures and Impr</t>
  </si>
  <si>
    <t>KU-131100-GH 3 Struc</t>
  </si>
  <si>
    <t>KU-131100-GH 3 Struc ECR 2006</t>
  </si>
  <si>
    <t>KU-131100-GH 3 Struc ECR 2011</t>
  </si>
  <si>
    <t>KU-131100-GH 4 Struc</t>
  </si>
  <si>
    <t>KU-131100-GH 4 Struc ECR 2005</t>
  </si>
  <si>
    <t>KU-131100-GH 4 Struc ECR 2006</t>
  </si>
  <si>
    <t>KU-131100-GH 4 Struc ECR 2009</t>
  </si>
  <si>
    <t>KU-131100-GH2 FGD Structures and I</t>
  </si>
  <si>
    <t>KU-131100-GH3 FGD Structures and I</t>
  </si>
  <si>
    <t>KU-131100-GH4 FGD Structures and I</t>
  </si>
  <si>
    <t>KU-131100-GR 1-2 Structures and Im</t>
  </si>
  <si>
    <t>KU-131100-GR 3 Structures and Impr</t>
  </si>
  <si>
    <t>KU-131100-GR 4 Structures and Impr</t>
  </si>
  <si>
    <t>KU-131100-PI 1-2 Structures and Imp</t>
  </si>
  <si>
    <t>KU-131100-PI 3 Structures and Impr</t>
  </si>
  <si>
    <t>KU-131100-SL Structures and Improv</t>
  </si>
  <si>
    <t>KU-131100-TC 2 FGD Struc &amp; Improv</t>
  </si>
  <si>
    <t>KU-131100-TC2 Struct</t>
  </si>
  <si>
    <t>KU-131100-TC2 Struct ECR 2006</t>
  </si>
  <si>
    <t>KU-131100-TC2 Struct ECR 2009</t>
  </si>
  <si>
    <t>KU-131100-TY 1&amp;2 Structures and Im</t>
  </si>
  <si>
    <t>KU-131100-TY 3 Structures and Impr</t>
  </si>
  <si>
    <t>KU-131100- Structures and Impr</t>
  </si>
  <si>
    <t>KU-131101-AROP EWB 1 Struct &amp; Imp</t>
  </si>
  <si>
    <t>KU-131101-AROP EWB 3 ECR 2009</t>
  </si>
  <si>
    <t>KU-131101-AROP EWB 3 Struct &amp; Imp</t>
  </si>
  <si>
    <t>KU-131101-AROP GH 1 Struct &amp; Imp</t>
  </si>
  <si>
    <t>KU-131101-AROP GR 1-2 Struct &amp; Imp</t>
  </si>
  <si>
    <t>KU-131101-AROP GR 4 Struct &amp; Impr</t>
  </si>
  <si>
    <t>KU-131101-AROP TC2 Struct ECR 2009</t>
  </si>
  <si>
    <t>KU-131101-AROP TY 3 Struct &amp; Impr</t>
  </si>
  <si>
    <t>KU-131101-AROP Struct &amp; Impr</t>
  </si>
  <si>
    <t>KU-131200-EWB 1 Boil</t>
  </si>
  <si>
    <t>KU-131200-EWB 1 Boil ECR 2005</t>
  </si>
  <si>
    <t>KU-131200-EWB 2 Boil</t>
  </si>
  <si>
    <t>KU-131200-EWB 2 Boil ECR 2005</t>
  </si>
  <si>
    <t>KU-131200-EWB 2 Boil ECR 2006</t>
  </si>
  <si>
    <t>KU-131200-EWB 3 Boil</t>
  </si>
  <si>
    <t>KU-131200-EWB 3 Boil ECR 2005</t>
  </si>
  <si>
    <t>KU-131200-EWB 3 Boil ECR 2006</t>
  </si>
  <si>
    <t>KU-131200-EWB 3 Boil ECR 2009</t>
  </si>
  <si>
    <t>KU-131200-EWB 3 Boil ECR 2011</t>
  </si>
  <si>
    <t>KU-131200-EWB3 FGD Boil</t>
  </si>
  <si>
    <t>KU-131200-EWB3 FGD Boil ECR 2005</t>
  </si>
  <si>
    <t>KU-131200-GH 1 Boil</t>
  </si>
  <si>
    <t>KU-131200-GH 1 Boil ECR 2005</t>
  </si>
  <si>
    <t>KU-131200-GH 1 Boil ECR 2006</t>
  </si>
  <si>
    <t>KU-131200-GH 1 Boil ECR 2011</t>
  </si>
  <si>
    <t>KU-131200-GH 1SC Boil</t>
  </si>
  <si>
    <t>KU-131200-GH 1SC Boil ECR 2005</t>
  </si>
  <si>
    <t>KU-131200-GH 2 Boil</t>
  </si>
  <si>
    <t>KU-131200-GH 2 Boil ECR 2005</t>
  </si>
  <si>
    <t>KU-131200-GH 2 Boil ECR 2011</t>
  </si>
  <si>
    <t>KU-131200-GH 2SC Boil</t>
  </si>
  <si>
    <t>KU-131200-GH 2SC Boil ECR 2005</t>
  </si>
  <si>
    <t>KU-131200-GH 3 Boil</t>
  </si>
  <si>
    <t>KU-131200-GH 3 Boil ECR 2006</t>
  </si>
  <si>
    <t>KU-131200-GH 3 Boil ECR 2011</t>
  </si>
  <si>
    <t>KU-131200-GH 4 Boil</t>
  </si>
  <si>
    <t>KU-131200-GH 4 Boil ECR 2005</t>
  </si>
  <si>
    <t>KU-131200-GH 4 Boil ECR 2006</t>
  </si>
  <si>
    <t>KU-131200-GH 4 Boil ECR 2009</t>
  </si>
  <si>
    <t>KU-131200-GH 4 Boil ECR 2011</t>
  </si>
  <si>
    <t>KU-131200-GH 4RC Boiler Plant Equi</t>
  </si>
  <si>
    <t>KU-131200-GH3 FGD Boil</t>
  </si>
  <si>
    <t>KU-131200-GH3 FGD Boil ECR 2005</t>
  </si>
  <si>
    <t>KU-131200-GH4 FGD Boil</t>
  </si>
  <si>
    <t>KU-131200-GH4 FGD Boil ECR 2005</t>
  </si>
  <si>
    <t>KU-131200-GR 1-2 Boiler Plant Equi</t>
  </si>
  <si>
    <t>KU-131200-GR 3 Boil</t>
  </si>
  <si>
    <t>KU-131200-GR 3 Boil ECR 2006</t>
  </si>
  <si>
    <t>KU-131200-GR 4 Boil</t>
  </si>
  <si>
    <t>KU-131200-GR 4 Boil ECR 2006</t>
  </si>
  <si>
    <t>KU-131200-PI 1-2 Boiler Plant Equip</t>
  </si>
  <si>
    <t>KU-131200-PI 3 Boiler Plant Equipm</t>
  </si>
  <si>
    <t>KU-131200-TC 2 Boil</t>
  </si>
  <si>
    <t>KU-131200-TC 2 Boil ECR 2006</t>
  </si>
  <si>
    <t>KU-131200-TC 2 Boil ECR 2009</t>
  </si>
  <si>
    <t>KU-131200-TC2 FGD Boil</t>
  </si>
  <si>
    <t>KU-131200-TC2 FGD Boil ECR 2006</t>
  </si>
  <si>
    <t>KU-131200-TY 1&amp;2 Boiler Plant Equi</t>
  </si>
  <si>
    <t>KU-131200-TY 3 Boil</t>
  </si>
  <si>
    <t>KU-131200-TY 3 Boil ECR 2006</t>
  </si>
  <si>
    <t>KU-131200-Boiler Plant Equipm</t>
  </si>
  <si>
    <t>KU-131201-AROP EWB 1 Boiler Plt Eqp</t>
  </si>
  <si>
    <t>KU-131201-AROP EWB 3 Boiler Plt Eqp</t>
  </si>
  <si>
    <t>KU-131201-AROP GH 1 Boiler Plt Equp</t>
  </si>
  <si>
    <t>KU-131201-AROP GH 1SC Boiler Plt Eq</t>
  </si>
  <si>
    <t>KU-131201-AROP GH 2 Boiler Plt Equp</t>
  </si>
  <si>
    <t>KU-131201-AROP GH 4 Boiler Plt Equp</t>
  </si>
  <si>
    <t>KU-131201-AROP GR 1-2 Boiler Plt Eq</t>
  </si>
  <si>
    <t>KU-131201-AROP GR 4 Boiler Plt Equp</t>
  </si>
  <si>
    <t>KU-131201-AROP TY 1-2 Boiler Plt Eq</t>
  </si>
  <si>
    <t>KU-131201-AROP TY 3 Boiler Plt Equp</t>
  </si>
  <si>
    <t>KU-131201-AROP Boiler Plt Equp</t>
  </si>
  <si>
    <t>KU-131400-EWB 1 Turbogenerator Uni</t>
  </si>
  <si>
    <t>KU-131400-EWB 2 Turbogenerator Uni</t>
  </si>
  <si>
    <t>KU-131400-EWB 3 Turbogenerator Uni</t>
  </si>
  <si>
    <t>KU-131400-GH 1 Turbogenerator Unit</t>
  </si>
  <si>
    <t>KU-131400-GH 2 Turbogenerator Unit</t>
  </si>
  <si>
    <t>KU-131400-GH 3 Turbogenerator Unit</t>
  </si>
  <si>
    <t>KU-131400-GH 4 Turbogenerator Unit</t>
  </si>
  <si>
    <t>KU-131400-GR 1&amp;2 Turbogenerator Un</t>
  </si>
  <si>
    <t>KU-131400-GR 3 Turbogenerator Unit</t>
  </si>
  <si>
    <t>KU-131400-GR 4 Turbogenerator Unit</t>
  </si>
  <si>
    <t>KU-131400-PI 1-2 Turbogenerator Uni</t>
  </si>
  <si>
    <t>KU-131400-PI 3 Turbogenerator Unit</t>
  </si>
  <si>
    <t>KU-131400-TC 2 Turbogenerator Unit</t>
  </si>
  <si>
    <t>KU-131400-TY 1&amp;2 Turbogenerator Un</t>
  </si>
  <si>
    <t>KU-131400-TY 3 Turbogenerator Unit</t>
  </si>
  <si>
    <t>KU-131400-Turbogenerator Unit</t>
  </si>
  <si>
    <t>KU-131401-AROP TY 3 Turbogenerator</t>
  </si>
  <si>
    <t>KU-131500-EWB 1 Accessory Electric</t>
  </si>
  <si>
    <t>KU-131500-EWB 2 Acc</t>
  </si>
  <si>
    <t>KU-131500-EWB 2 Acc ECR 2005</t>
  </si>
  <si>
    <t>KU-131500-EWB 3 Acc</t>
  </si>
  <si>
    <t>KU-131500-EWB 3 Acc ECR 2005</t>
  </si>
  <si>
    <t>KU-131500-EWB 3 FGD Acc</t>
  </si>
  <si>
    <t>KU-131500-EWB3 FGD Acc ECR 2005</t>
  </si>
  <si>
    <t>KU-131500-GH 1 Access ECR 2011</t>
  </si>
  <si>
    <t>KU-131500-GH 1 Accessory Electric</t>
  </si>
  <si>
    <t>KU-131500-GH 1SC Acc</t>
  </si>
  <si>
    <t>KU-131500-GH 1SC Acc ECR 2005</t>
  </si>
  <si>
    <t>KU-131500-GH 2 Acc ECR 2011</t>
  </si>
  <si>
    <t>KU-131500-GH 2 Accessory Electric</t>
  </si>
  <si>
    <t>KU-131500-GH 2SC Acc</t>
  </si>
  <si>
    <t>KU-131500-GH 2SC Acc ECR 2005</t>
  </si>
  <si>
    <t>KU-131500-GH 3 Acc ECR 2011</t>
  </si>
  <si>
    <t>KU-131500-GH 3 Accessory Electric</t>
  </si>
  <si>
    <t>KU-131500-GH 4 Acc ECR 2009</t>
  </si>
  <si>
    <t>KU-131500-GH 4 Acc ECR 2011</t>
  </si>
  <si>
    <t>KU-131500-GH 4 Accessory Electric</t>
  </si>
  <si>
    <t>KU-131500-GH3 FGD Acc</t>
  </si>
  <si>
    <t>KU-131500-GH3 FGD Acc ECR 2005</t>
  </si>
  <si>
    <t>KU-131500-GH4 FGD Acc</t>
  </si>
  <si>
    <t>KU-131500-GH4 FGD Acc ECR 2005</t>
  </si>
  <si>
    <t>KU-131500-GR 1&amp;2 Accessory Electri</t>
  </si>
  <si>
    <t>KU-131500-GR 3 Accessory Electric</t>
  </si>
  <si>
    <t>KU-131500-GR 4 Accessory Electric</t>
  </si>
  <si>
    <t>KU-131500-PI 1-2 Accessory Electric</t>
  </si>
  <si>
    <t>KU-131500-PI 3 Accessory Electric</t>
  </si>
  <si>
    <t>KU-131500-TC 2 Acc</t>
  </si>
  <si>
    <t>KU-131500-TC 2 Acc ECR 2006</t>
  </si>
  <si>
    <t>KU-131500-TC 2 Acc ECR 2009</t>
  </si>
  <si>
    <t>KU-131500-TC 2 FGD Accessory Equip</t>
  </si>
  <si>
    <t>KU-131500-TY 1&amp;2 Accessory Electri</t>
  </si>
  <si>
    <t>KU-131500-TY 3 Accessory Electric</t>
  </si>
  <si>
    <t xml:space="preserve">KU-131500-Accessory Electric </t>
  </si>
  <si>
    <t>KU-131501-AROP EWB 1 Acc  Electric</t>
  </si>
  <si>
    <t>KU-131501-AROP EWB 2 Acc Electric</t>
  </si>
  <si>
    <t>KU-131501-AROP EWB 3 Acc Electric</t>
  </si>
  <si>
    <t>KU-131501-AROP GH 1 Acc  Electric</t>
  </si>
  <si>
    <t>KU-131501-AROP GH 2 Acc  Electric</t>
  </si>
  <si>
    <t>KU-131501-AROP GH 3 Acc Electric</t>
  </si>
  <si>
    <t>KU-131501-AROP GH 4 Acc  Electric</t>
  </si>
  <si>
    <t>KU-131501-AROP GR 4 Acc Electric</t>
  </si>
  <si>
    <t>KU-131501-AROP TY 3 Acc  Electric</t>
  </si>
  <si>
    <t>KU-131501-AROP Accessory Electric</t>
  </si>
  <si>
    <t>KU-131600-EWB 1 Misc Power Plant E</t>
  </si>
  <si>
    <t>KU-131600-EWB 2 Misc Power Plant E</t>
  </si>
  <si>
    <t>KU-131600-EWB 3 Misc Power Plant E</t>
  </si>
  <si>
    <t>KU-131600-GH 1 Misc Power Plant Eq</t>
  </si>
  <si>
    <t>KU-131600-GH 1SC Misc Power Plant</t>
  </si>
  <si>
    <t>KU-131600-GH 2 Misc Power Plant Eq</t>
  </si>
  <si>
    <t>KU-131600-GH 3 Misc Power Plant Eq</t>
  </si>
  <si>
    <t>KU-131600-GH 3 Misc PwrPlt ECR 2011</t>
  </si>
  <si>
    <t>KU-131600-GH 4 Misc Power Plant Eq</t>
  </si>
  <si>
    <t>KU-131600-GR 1&amp;2 Misc Power Plant</t>
  </si>
  <si>
    <t>KU-131600-GR 3 Misc Power Plant Eq</t>
  </si>
  <si>
    <t>KU-131600-GR 4 Misc Power Plant Eq</t>
  </si>
  <si>
    <t>KU-131600-PI 1-2 Misc Power Plant E</t>
  </si>
  <si>
    <t>KU-131600-PI 3 Misc Power Plant Eq</t>
  </si>
  <si>
    <t>KU-131600-SL Misc Power Plant Equi</t>
  </si>
  <si>
    <t>KU-131600-TC 2 Misc Power Plant Equ</t>
  </si>
  <si>
    <t>KU-131600-TY 1&amp;2 Misc Power Plant</t>
  </si>
  <si>
    <t>KU-131600-TY 3 Misc Power Plant Eq</t>
  </si>
  <si>
    <t>KU-131600-Misc Power Plant Eq</t>
  </si>
  <si>
    <t>KU-131707-ARO Cost Steam (Eqp)</t>
  </si>
  <si>
    <t>KU-131708-ARO Cost Steam (CCR)</t>
  </si>
  <si>
    <t>Total Electric Steam Production</t>
  </si>
  <si>
    <t>KU-135010- KY Land Rights</t>
  </si>
  <si>
    <t>KU-135010-Licensed Project Land Ri</t>
  </si>
  <si>
    <t>KU-135020- KY Land</t>
  </si>
  <si>
    <t>KU-135210- KY Licensed Proj Str &amp; I</t>
  </si>
  <si>
    <t>KU-135210- KY Struc &amp; Imprv-Non Sys</t>
  </si>
  <si>
    <t>KU-135210- KY Struc NonSys Dix Ctrl</t>
  </si>
  <si>
    <t>KU-135220-Struct &amp; Improve-System</t>
  </si>
  <si>
    <t>KU-135310- KY Licensed Proj Sta Eq-</t>
  </si>
  <si>
    <t>KU-135310- KY Station Equip -Non Sy</t>
  </si>
  <si>
    <t>KU-135311-AROP Station Equip Non S</t>
  </si>
  <si>
    <t>KU-135320-Station Equipment-System</t>
  </si>
  <si>
    <t>KU-135400- KY Towers Fix</t>
  </si>
  <si>
    <t>KU-135400- KY Towers Fix ECR 2005</t>
  </si>
  <si>
    <t>KU-135400-KY Towers and Fixtures</t>
  </si>
  <si>
    <t>KU-135500- KY Licensed Proj Poles a</t>
  </si>
  <si>
    <t>KU-135500- KY Poles</t>
  </si>
  <si>
    <t>KU-135500- KY Poles ECR 2005</t>
  </si>
  <si>
    <t>KU-135500-KY Poles and Fixtures</t>
  </si>
  <si>
    <t>KU-135600- KY Licensed Proj Ohd Con</t>
  </si>
  <si>
    <t>KU-135600-KY OH Cond</t>
  </si>
  <si>
    <t>KU-135600-KY OH Cond ECR 2005</t>
  </si>
  <si>
    <t xml:space="preserve">KU-135600-KY Overhead Conductors and </t>
  </si>
  <si>
    <t>KU-135700- KY Underground Conduit</t>
  </si>
  <si>
    <t>KU-135800- KY Undergrd Conductors a</t>
  </si>
  <si>
    <t>KU-135915-ARO Cost Transm (L/B)</t>
  </si>
  <si>
    <t>KU-135917-ARO Cost Transm (Eqp)</t>
  </si>
  <si>
    <t>Total Electric Transmission</t>
  </si>
  <si>
    <t>Total Electric Depreciation Reserves</t>
  </si>
  <si>
    <t>KU-130100- KY Organization</t>
  </si>
  <si>
    <t>KU-130200-Franchises and Consents</t>
  </si>
  <si>
    <t>KU-130200-Licensed Project Franchi</t>
  </si>
  <si>
    <t>KU-130300-Misc Intangible Plant</t>
  </si>
  <si>
    <t>KU-130310-CCS Software</t>
  </si>
  <si>
    <t>Total Electric Intangible Plant</t>
  </si>
  <si>
    <t>Total Electric Amortization Reserves</t>
  </si>
  <si>
    <t>VIRGINIA RESERVE FOR DEPRECIATION AND AMORTIZATION OF ELECTRIC PLANT IN SERVICE - REGULATORY ACCOUNTING</t>
  </si>
  <si>
    <t>KU-136010- VA Land Rights</t>
  </si>
  <si>
    <t>KU-136100- VA Struct and Improv</t>
  </si>
  <si>
    <t>KU-136200- VA Station Equipment</t>
  </si>
  <si>
    <t>KU-136400-VA Poles, Towers, and Fix</t>
  </si>
  <si>
    <t>KU-136500- VA Overhead Conductor</t>
  </si>
  <si>
    <t>KU-136600- VA Underground Conduit</t>
  </si>
  <si>
    <t>KU-136700- VA Undergrnd Conductors</t>
  </si>
  <si>
    <t>KU-136800- VA Line Transformers</t>
  </si>
  <si>
    <t>KU-136900- VA Services</t>
  </si>
  <si>
    <t>KU-137000- VA Meters</t>
  </si>
  <si>
    <t>KU-137100- VA Install on Customers</t>
  </si>
  <si>
    <t>KU-137300- VA Str Lighting and Sign</t>
  </si>
  <si>
    <t>KU-139010- VA Structures &amp; Improv</t>
  </si>
  <si>
    <t>KU-139020- VA Pennington Gap Office</t>
  </si>
  <si>
    <t>KU-139020- VA Wise Office</t>
  </si>
  <si>
    <t>KU-139110- VA Office Equipment</t>
  </si>
  <si>
    <t>KU-139120-VA Non PC Computer Equip</t>
  </si>
  <si>
    <t>KU-139200- VA Cars and Light Trucks</t>
  </si>
  <si>
    <t>KU-139300- VA Stores Equipment</t>
  </si>
  <si>
    <t>KU-139400- VA Tools, Shop, Garage</t>
  </si>
  <si>
    <t>KU-139500-VA Laboratory Equipment</t>
  </si>
  <si>
    <t>KU-139600-VA Power Op Equip Lg Mach</t>
  </si>
  <si>
    <t>KU-139700-VA Microwave,Fiber,Other</t>
  </si>
  <si>
    <t>KU-139710- VA Radios and Telephone</t>
  </si>
  <si>
    <t>KU-139800- VA Miscellaneous Equip</t>
  </si>
  <si>
    <t>KU-135010- VA Land Rights</t>
  </si>
  <si>
    <t>KU-135210- VA Struc &amp; Imprv-Non Sys</t>
  </si>
  <si>
    <t>KU-135310- VA Station Equip -Non Sy</t>
  </si>
  <si>
    <t>KU-135400- VA Towers and Fixtures</t>
  </si>
  <si>
    <t>KU-135500- VA Poles and Fixtures</t>
  </si>
  <si>
    <t>KU-135600- VA Overhead Conductors</t>
  </si>
  <si>
    <t>KU-135700- VA Underground Conduit</t>
  </si>
  <si>
    <t>KU-135800- VA Undergrd Conductors a</t>
  </si>
  <si>
    <t>TENNESSEE RESERVE FOR DEPRECIATION AND AMORTIZATION OF ELECTRIC PLANT IN SERVICE - REGULATORY ACCOUNTING</t>
  </si>
  <si>
    <t>KU-136010- TN Land Rights</t>
  </si>
  <si>
    <t>KU-136100- TN Struct and Improv</t>
  </si>
  <si>
    <t>KU-136200- TN Station Equipment</t>
  </si>
  <si>
    <t>KU-136400-TN Poles, Towers, and Fix</t>
  </si>
  <si>
    <t>KU-136500- TN Overhead Conductor</t>
  </si>
  <si>
    <t>KU-136600- TN Underground Conduit</t>
  </si>
  <si>
    <t>KU-136700- TN Undergrnd Conductors</t>
  </si>
  <si>
    <t>KU-136800- TN Line Transformers</t>
  </si>
  <si>
    <t>KU-136900- TN Services</t>
  </si>
  <si>
    <t>KU-137000- TN Meters</t>
  </si>
  <si>
    <t>KU-137100- TN Install on Customers</t>
  </si>
  <si>
    <t>KU-135010- TN Land Rights</t>
  </si>
  <si>
    <t>KU-135500- TN Poles and Fixtures</t>
  </si>
  <si>
    <t>KU-135600- TN Overhead Conductors</t>
  </si>
  <si>
    <t>SUMMARY OF UTILITY PLANT - REGULATORY ACCOUNTING - Including 254 Balances</t>
  </si>
  <si>
    <t xml:space="preserve"> RESERVE FOR DEPRECIATION AND AMORTIZATION OF ELECTRIC PLANT IN SERVICE - REGULATORY ACCOUNTING - Including 254 Balances</t>
  </si>
  <si>
    <t>KU-136010-KY Land Rights</t>
  </si>
  <si>
    <t>KU-136010- Licensed Project Land Ri</t>
  </si>
  <si>
    <t>KU-136020-Land</t>
  </si>
  <si>
    <t>KU-136100- Structures and Improveme</t>
  </si>
  <si>
    <t>KU-136200- Station Equipment</t>
  </si>
  <si>
    <t>KU-136400- Licensed Project Pole</t>
  </si>
  <si>
    <t>KU-136400- Poles, Towers, and Fix</t>
  </si>
  <si>
    <t>KU-136500- Licensed Project Ohd Con</t>
  </si>
  <si>
    <t xml:space="preserve">KU-136500- Overhead Conductors and </t>
  </si>
  <si>
    <t>KU-136600- Underground Conduit</t>
  </si>
  <si>
    <t>KU-136700- Underground Conductors a</t>
  </si>
  <si>
    <t>KU-136800- Line Transformers</t>
  </si>
  <si>
    <t>KU-136900- Services</t>
  </si>
  <si>
    <t>KU-137000- Meters</t>
  </si>
  <si>
    <t>KU-137001- Meters AMS</t>
  </si>
  <si>
    <t>KU-137100- Installations on Custome</t>
  </si>
  <si>
    <t>KU-137300- Street Lighting and Sign</t>
  </si>
  <si>
    <t>KU-138920-Land</t>
  </si>
  <si>
    <t>KU-139010- Structures &amp; Improvement</t>
  </si>
  <si>
    <t>KU-139010-KY Stru Pinevll Joint Use</t>
  </si>
  <si>
    <t>KU-139010-KY Struct One Quality Bldg</t>
  </si>
  <si>
    <t>KU-139020-Pennington Gap Office</t>
  </si>
  <si>
    <t>KU-139020-Wise Office</t>
  </si>
  <si>
    <t>KU-139110- Office Equipment</t>
  </si>
  <si>
    <t>KU-139120- Non PC Computer Equipmen</t>
  </si>
  <si>
    <t>KU-139200-KY - Ghent 4 ECR 2009</t>
  </si>
  <si>
    <t>KU-139200- Cars and Light Trucks</t>
  </si>
  <si>
    <t>KU-139210- Heavy trucks and Other</t>
  </si>
  <si>
    <t>KU-139300- Stores Equipment</t>
  </si>
  <si>
    <t xml:space="preserve">KU-139400- Tools, Shop, and Garage </t>
  </si>
  <si>
    <t>KU-139500- Laboratory Equipment</t>
  </si>
  <si>
    <t>KU-139600-Power Op Equip Lg Mach</t>
  </si>
  <si>
    <t>KU-139700-Microwave,Fiber,Other</t>
  </si>
  <si>
    <t>KU-139710-Radios and Telephone</t>
  </si>
  <si>
    <t>KU-139800- Miscellaneous Equipment</t>
  </si>
  <si>
    <t>KU-134100-EWB 5 Structures and Imp</t>
  </si>
  <si>
    <t xml:space="preserve">KU-134200-HA 1,2,&amp;3 Fuel Holders, </t>
  </si>
  <si>
    <t xml:space="preserve">KU-134500-TC 10 Acessory Electric </t>
  </si>
  <si>
    <t xml:space="preserve">KU-134500-TC 5 Accessory Electric </t>
  </si>
  <si>
    <t xml:space="preserve">KU-134500-TC 6 Accessory Electric </t>
  </si>
  <si>
    <t xml:space="preserve">KU-134500-TC 7 Accessory Electric </t>
  </si>
  <si>
    <t xml:space="preserve">KU-134500-TC 8 Accessory Electric </t>
  </si>
  <si>
    <t xml:space="preserve">KU-134500-TC 9 Accessory Electric </t>
  </si>
  <si>
    <t>KU-134501-AROP EWB 10 Acc Elec</t>
  </si>
  <si>
    <t>KU-134501-AROP EWB 11 Acc Elec</t>
  </si>
  <si>
    <t>KU-134501-AROP EWB 5 Acc Elec</t>
  </si>
  <si>
    <t>KU-134501-AROP EWB 6 Acc Elec</t>
  </si>
  <si>
    <t>KU-134501-AROP EWB 7 Acc Elec</t>
  </si>
  <si>
    <t>KU-134501-AROP EWB 8 Acc Elec</t>
  </si>
  <si>
    <t>KU-134501-AROP EWB 9 Acc Elec</t>
  </si>
  <si>
    <t>KU-134501-AROP TC 7 Acc Elec</t>
  </si>
  <si>
    <t>KU-134501-AROP TC 8 Acc Elec</t>
  </si>
  <si>
    <t xml:space="preserve">KU-134501-AROP Accessory Electric </t>
  </si>
  <si>
    <t xml:space="preserve">KU-134600-EWB 10 Misc Power Plant </t>
  </si>
  <si>
    <t xml:space="preserve">KU-134600-EWB 11 Misc Power Plant </t>
  </si>
  <si>
    <t xml:space="preserve">KU-131100-GH 1 Struc </t>
  </si>
  <si>
    <t xml:space="preserve">KU-131100-GH 3 Struc </t>
  </si>
  <si>
    <t>KU-131100-GH2 FGD Structures and Impr</t>
  </si>
  <si>
    <t>KU-131100-TC 2 Struc</t>
  </si>
  <si>
    <t>KU-131100-TC 2 Struc ECR 2006</t>
  </si>
  <si>
    <t>KU-131100-TC 2 Struc ECR 2009</t>
  </si>
  <si>
    <t xml:space="preserve">KU-131200-GR 3 Boil </t>
  </si>
  <si>
    <t xml:space="preserve">KU-131200-GR 4 Boil </t>
  </si>
  <si>
    <t xml:space="preserve">KU-131200-TC 2 Boil </t>
  </si>
  <si>
    <t>KU-131200-TC 2 FGD Boil</t>
  </si>
  <si>
    <t>KU-131200-TC 2 FGD Boil ECR 2006</t>
  </si>
  <si>
    <t xml:space="preserve">KU-131401-AROP TY 3 Turbogenerator </t>
  </si>
  <si>
    <t xml:space="preserve">KU-131500-EWB 2 Acc </t>
  </si>
  <si>
    <t xml:space="preserve">KU-131500-EWB 3 Acc </t>
  </si>
  <si>
    <t xml:space="preserve">KU-131500-GH 1 Accessory Electric </t>
  </si>
  <si>
    <t xml:space="preserve">KU-131500-GH 2 Accessory Electric </t>
  </si>
  <si>
    <t>KU-131500-GH 2 SC Acc</t>
  </si>
  <si>
    <t>KU-131500-GH 2 SC Acc ECR 2005</t>
  </si>
  <si>
    <t xml:space="preserve">KU-131500-GH 3 Accessory Electric </t>
  </si>
  <si>
    <t xml:space="preserve">KU-131500-GH 4 Accessory Electric </t>
  </si>
  <si>
    <t xml:space="preserve">KU-131500-GH3 FGD Acc </t>
  </si>
  <si>
    <t xml:space="preserve">KU-131500-GR 3 Accessory Electric </t>
  </si>
  <si>
    <t xml:space="preserve">KU-131500-GR 4 Accessory Electric </t>
  </si>
  <si>
    <t xml:space="preserve">KU-131500-PI 3 Accessory Electric </t>
  </si>
  <si>
    <t xml:space="preserve">KU-131500-TC 2 Acc </t>
  </si>
  <si>
    <t>KU-131500-TC 2 FGD Acessory Equip</t>
  </si>
  <si>
    <t xml:space="preserve">KU-131500-TY 3 Accessory Electric </t>
  </si>
  <si>
    <t xml:space="preserve">KU-131501-AROP EWB1 Accessory Electric </t>
  </si>
  <si>
    <t xml:space="preserve">KU-131501-AROP EWB2 Accessory Electric </t>
  </si>
  <si>
    <t xml:space="preserve">KU-131501-AROP EWB3 Accessory Electric </t>
  </si>
  <si>
    <t xml:space="preserve">KU-131501-AROP GH1 Accessory Electric </t>
  </si>
  <si>
    <t xml:space="preserve">KU-131501-AROP GH2 Accessory Electric </t>
  </si>
  <si>
    <t xml:space="preserve">KU-131501-AROP GH3 Accessory Electric </t>
  </si>
  <si>
    <t xml:space="preserve">KU-131501-AROP GH4 Accessory Electric </t>
  </si>
  <si>
    <t xml:space="preserve">KU-131501-AROP GR4 Accessory Electric </t>
  </si>
  <si>
    <t xml:space="preserve">KU-131501-AROP TY3 Accessory Electric </t>
  </si>
  <si>
    <t xml:space="preserve">KU-131501-AROP Accessory Electric </t>
  </si>
  <si>
    <t xml:space="preserve">KU-131600-GH 1SC Misc Power Plant </t>
  </si>
  <si>
    <t xml:space="preserve">KU-131600-GR 1&amp;2 Misc Power Plant </t>
  </si>
  <si>
    <t>KU-131600-TC 2 Misc Power Plant</t>
  </si>
  <si>
    <t xml:space="preserve">KU-131600-TY 1&amp;2 Misc Power Plant </t>
  </si>
  <si>
    <t>KU-135010- Land Rights</t>
  </si>
  <si>
    <t>KU-135020-Land</t>
  </si>
  <si>
    <t>KU-135210- Licensed Project Str &amp; I</t>
  </si>
  <si>
    <t>KU-135210- Struct &amp; Improve-Non Sys</t>
  </si>
  <si>
    <t>KU-135210-KY Struc NonSys Dix Ctrl</t>
  </si>
  <si>
    <t xml:space="preserve">KU-135220-Struct &amp; Improve-System </t>
  </si>
  <si>
    <t>KU-135310- Licensed Project Sta Eq-</t>
  </si>
  <si>
    <t>KU-135310- Station Equipment-Non Sy</t>
  </si>
  <si>
    <t>KU-135400- Towers Fix</t>
  </si>
  <si>
    <t>KU-135400- Towers Fix ECR 2005</t>
  </si>
  <si>
    <t>KU-135400- Towers and Fixtures</t>
  </si>
  <si>
    <t>KU-135500- Licensed Project Poles a</t>
  </si>
  <si>
    <t>KU-135500- Poles</t>
  </si>
  <si>
    <t>KU-135500- Poles ECR 2005</t>
  </si>
  <si>
    <t>KU-135500- Poles and Fixtures</t>
  </si>
  <si>
    <t>KU-135600- Licensed Project Ohd Con</t>
  </si>
  <si>
    <t>KU-135600- OH Cond</t>
  </si>
  <si>
    <t>KU-135600- OH Cond ECR 2005</t>
  </si>
  <si>
    <t xml:space="preserve">KU-135600- Overhead Conductors and </t>
  </si>
  <si>
    <t>KU-135700- Underground Conduit</t>
  </si>
  <si>
    <t>KU-135800- Underground Conductors a</t>
  </si>
  <si>
    <t>KU-130100-Organization</t>
  </si>
  <si>
    <t>DECEMBER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</si>
</sst>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</numFmts>
  <fonts count="10" x14ac:knownFonts="1">
    <font>
      <sz val="10"/>
      <name val="Arial"/>
    </font>
    <font>
      <b/>
      <sz val="11"/>
      <color theme="1"/>
      <name val="Calibri"/>
      <family val="2"/>
      <scheme val="minor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sz val="10"/>
      <color indexed="10"/>
      <name val="Arial"/>
      <family val="2"/>
    </font>
    <font>
      <b/>
      <i/>
      <sz val="10"/>
      <color rgb="FF345987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8"/>
      </left>
      <right/>
      <top/>
      <bottom/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</cellStyleXfs>
  <cellXfs count="157">
    <xf numFmtId="0" fontId="0" fillId="0" borderId="0" xfId="0"/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ill="1"/>
    <xf numFmtId="164" fontId="3" fillId="0" borderId="0" xfId="0" applyNumberFormat="1" applyFont="1" applyFill="1" applyAlignment="1">
      <alignment horizontal="center"/>
    </xf>
    <xf numFmtId="164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 horizontal="left"/>
    </xf>
    <xf numFmtId="43" fontId="0" fillId="0" borderId="0" xfId="1" applyFont="1" applyFill="1" applyAlignment="1">
      <alignment horizontal="center"/>
    </xf>
    <xf numFmtId="0" fontId="0" fillId="0" borderId="0" xfId="0" applyFill="1" applyAlignment="1">
      <alignment horizontal="left"/>
    </xf>
    <xf numFmtId="43" fontId="5" fillId="0" borderId="0" xfId="1" applyFont="1" applyFill="1" applyAlignment="1">
      <alignment horizontal="center"/>
    </xf>
    <xf numFmtId="43" fontId="3" fillId="0" borderId="1" xfId="1" applyFont="1" applyFill="1" applyBorder="1" applyAlignment="1">
      <alignment horizontal="center"/>
    </xf>
    <xf numFmtId="43" fontId="3" fillId="0" borderId="0" xfId="1" applyFont="1" applyFill="1" applyBorder="1" applyAlignment="1">
      <alignment horizontal="center"/>
    </xf>
    <xf numFmtId="0" fontId="3" fillId="0" borderId="0" xfId="0" applyFont="1" applyFill="1"/>
    <xf numFmtId="44" fontId="4" fillId="0" borderId="0" xfId="2" applyFill="1"/>
    <xf numFmtId="43" fontId="4" fillId="0" borderId="0" xfId="1" applyFill="1"/>
    <xf numFmtId="43" fontId="0" fillId="0" borderId="0" xfId="0" applyNumberFormat="1" applyFill="1"/>
    <xf numFmtId="43" fontId="4" fillId="0" borderId="1" xfId="1" applyFill="1" applyBorder="1"/>
    <xf numFmtId="43" fontId="4" fillId="0" borderId="0" xfId="1" applyFill="1" applyBorder="1"/>
    <xf numFmtId="43" fontId="4" fillId="0" borderId="2" xfId="1" applyFill="1" applyBorder="1"/>
    <xf numFmtId="43" fontId="0" fillId="0" borderId="0" xfId="1" applyFont="1" applyFill="1"/>
    <xf numFmtId="0" fontId="3" fillId="0" borderId="0" xfId="0" applyFont="1" applyFill="1" applyAlignment="1">
      <alignment horizontal="right"/>
    </xf>
    <xf numFmtId="43" fontId="4" fillId="0" borderId="3" xfId="1" applyFill="1" applyBorder="1"/>
    <xf numFmtId="0" fontId="6" fillId="0" borderId="0" xfId="0" applyFont="1" applyFill="1"/>
    <xf numFmtId="44" fontId="6" fillId="0" borderId="0" xfId="2" applyFont="1" applyFill="1"/>
    <xf numFmtId="0" fontId="6" fillId="0" borderId="0" xfId="0" applyFont="1" applyFill="1" applyAlignment="1">
      <alignment horizontal="right"/>
    </xf>
    <xf numFmtId="43" fontId="3" fillId="0" borderId="0" xfId="1" applyFont="1" applyFill="1" applyAlignment="1">
      <alignment horizontal="center"/>
    </xf>
    <xf numFmtId="43" fontId="0" fillId="0" borderId="0" xfId="1" applyFont="1" applyFill="1" applyBorder="1"/>
    <xf numFmtId="43" fontId="0" fillId="0" borderId="1" xfId="1" applyFont="1" applyFill="1" applyBorder="1"/>
    <xf numFmtId="0" fontId="3" fillId="0" borderId="0" xfId="0" applyFont="1" applyFill="1" applyBorder="1" applyAlignment="1">
      <alignment horizontal="center"/>
    </xf>
    <xf numFmtId="43" fontId="4" fillId="0" borderId="0" xfId="1" applyFont="1" applyFill="1" applyBorder="1"/>
    <xf numFmtId="40" fontId="0" fillId="0" borderId="0" xfId="0" applyNumberFormat="1" applyFill="1"/>
    <xf numFmtId="43" fontId="0" fillId="0" borderId="4" xfId="1" applyFont="1" applyFill="1" applyBorder="1"/>
    <xf numFmtId="43" fontId="0" fillId="0" borderId="2" xfId="1" applyFont="1" applyFill="1" applyBorder="1"/>
    <xf numFmtId="43" fontId="0" fillId="0" borderId="5" xfId="1" applyFont="1" applyFill="1" applyBorder="1"/>
    <xf numFmtId="44" fontId="0" fillId="0" borderId="0" xfId="0" applyNumberFormat="1" applyFill="1"/>
    <xf numFmtId="43" fontId="4" fillId="0" borderId="0" xfId="1" applyFont="1" applyFill="1"/>
    <xf numFmtId="43" fontId="5" fillId="0" borderId="0" xfId="1" applyFont="1" applyFill="1" applyBorder="1" applyAlignment="1">
      <alignment horizontal="center"/>
    </xf>
    <xf numFmtId="43" fontId="5" fillId="0" borderId="0" xfId="1" applyFont="1" applyFill="1" applyAlignment="1">
      <alignment horizontal="center" wrapText="1"/>
    </xf>
    <xf numFmtId="43" fontId="3" fillId="0" borderId="0" xfId="1" applyFont="1" applyFill="1" applyBorder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4" fillId="0" borderId="6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43" fontId="4" fillId="0" borderId="0" xfId="1" applyFont="1" applyFill="1" applyBorder="1" applyAlignment="1">
      <alignment horizontal="center"/>
    </xf>
    <xf numFmtId="0" fontId="4" fillId="0" borderId="0" xfId="0" applyFont="1" applyFill="1"/>
    <xf numFmtId="0" fontId="4" fillId="0" borderId="6" xfId="0" applyFont="1" applyFill="1" applyBorder="1"/>
    <xf numFmtId="43" fontId="0" fillId="0" borderId="6" xfId="0" applyNumberFormat="1" applyFill="1" applyBorder="1"/>
    <xf numFmtId="43" fontId="4" fillId="0" borderId="0" xfId="0" applyNumberFormat="1" applyFont="1" applyFill="1"/>
    <xf numFmtId="43" fontId="0" fillId="0" borderId="8" xfId="0" applyNumberFormat="1" applyFill="1" applyBorder="1"/>
    <xf numFmtId="43" fontId="0" fillId="0" borderId="4" xfId="0" applyNumberFormat="1" applyFill="1" applyBorder="1"/>
    <xf numFmtId="43" fontId="0" fillId="0" borderId="0" xfId="0" applyNumberFormat="1" applyFill="1" applyAlignment="1">
      <alignment horizontal="center"/>
    </xf>
    <xf numFmtId="43" fontId="3" fillId="0" borderId="0" xfId="0" applyNumberFormat="1" applyFont="1" applyFill="1"/>
    <xf numFmtId="0" fontId="0" fillId="0" borderId="9" xfId="0" applyFill="1" applyBorder="1" applyAlignment="1">
      <alignment horizontal="left"/>
    </xf>
    <xf numFmtId="0" fontId="0" fillId="0" borderId="10" xfId="0" applyFill="1" applyBorder="1"/>
    <xf numFmtId="43" fontId="5" fillId="0" borderId="10" xfId="1" applyFont="1" applyFill="1" applyBorder="1" applyAlignment="1">
      <alignment horizontal="center"/>
    </xf>
    <xf numFmtId="43" fontId="3" fillId="0" borderId="10" xfId="1" applyFont="1" applyFill="1" applyBorder="1" applyAlignment="1">
      <alignment horizontal="center"/>
    </xf>
    <xf numFmtId="43" fontId="0" fillId="0" borderId="10" xfId="0" applyNumberFormat="1" applyFill="1" applyBorder="1"/>
    <xf numFmtId="0" fontId="4" fillId="0" borderId="10" xfId="0" applyFont="1" applyFill="1" applyBorder="1"/>
    <xf numFmtId="0" fontId="0" fillId="0" borderId="11" xfId="0" applyFill="1" applyBorder="1"/>
    <xf numFmtId="0" fontId="0" fillId="0" borderId="12" xfId="0" applyFill="1" applyBorder="1" applyAlignment="1">
      <alignment horizontal="left"/>
    </xf>
    <xf numFmtId="0" fontId="0" fillId="0" borderId="0" xfId="0" applyFill="1" applyBorder="1"/>
    <xf numFmtId="43" fontId="0" fillId="0" borderId="0" xfId="0" applyNumberFormat="1" applyFill="1" applyBorder="1"/>
    <xf numFmtId="0" fontId="4" fillId="0" borderId="0" xfId="0" applyFont="1" applyFill="1" applyBorder="1"/>
    <xf numFmtId="0" fontId="0" fillId="0" borderId="13" xfId="0" applyFill="1" applyBorder="1"/>
    <xf numFmtId="43" fontId="0" fillId="0" borderId="5" xfId="0" applyNumberFormat="1" applyFill="1" applyBorder="1"/>
    <xf numFmtId="0" fontId="0" fillId="0" borderId="14" xfId="0" applyFill="1" applyBorder="1" applyAlignment="1">
      <alignment horizontal="left"/>
    </xf>
    <xf numFmtId="0" fontId="0" fillId="0" borderId="15" xfId="0" applyFill="1" applyBorder="1"/>
    <xf numFmtId="43" fontId="5" fillId="0" borderId="15" xfId="1" applyFont="1" applyFill="1" applyBorder="1" applyAlignment="1">
      <alignment horizontal="center"/>
    </xf>
    <xf numFmtId="43" fontId="3" fillId="0" borderId="15" xfId="1" applyFont="1" applyFill="1" applyBorder="1" applyAlignment="1">
      <alignment horizontal="center"/>
    </xf>
    <xf numFmtId="43" fontId="0" fillId="0" borderId="15" xfId="0" applyNumberFormat="1" applyFill="1" applyBorder="1"/>
    <xf numFmtId="0" fontId="4" fillId="0" borderId="15" xfId="0" applyFont="1" applyFill="1" applyBorder="1"/>
    <xf numFmtId="0" fontId="0" fillId="0" borderId="16" xfId="0" applyFill="1" applyBorder="1"/>
    <xf numFmtId="0" fontId="3" fillId="0" borderId="0" xfId="0" applyFont="1" applyFill="1" applyAlignment="1">
      <alignment horizontal="left"/>
    </xf>
    <xf numFmtId="43" fontId="4" fillId="0" borderId="0" xfId="1" applyFont="1" applyFill="1" applyAlignment="1">
      <alignment horizontal="center"/>
    </xf>
    <xf numFmtId="0" fontId="0" fillId="0" borderId="0" xfId="0" quotePrefix="1" applyFill="1" applyAlignment="1">
      <alignment horizontal="left"/>
    </xf>
    <xf numFmtId="43" fontId="4" fillId="0" borderId="0" xfId="1" quotePrefix="1" applyFill="1"/>
    <xf numFmtId="0" fontId="3" fillId="0" borderId="0" xfId="0" quotePrefix="1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0" fillId="0" borderId="2" xfId="0" applyFill="1" applyBorder="1"/>
    <xf numFmtId="43" fontId="4" fillId="0" borderId="5" xfId="1" applyFill="1" applyBorder="1"/>
    <xf numFmtId="164" fontId="3" fillId="0" borderId="0" xfId="0" quotePrefix="1" applyNumberFormat="1" applyFont="1" applyFill="1" applyAlignment="1">
      <alignment horizontal="center"/>
    </xf>
    <xf numFmtId="49" fontId="3" fillId="0" borderId="0" xfId="0" quotePrefix="1" applyNumberFormat="1" applyFont="1" applyFill="1" applyAlignment="1">
      <alignment horizontal="center"/>
    </xf>
    <xf numFmtId="0" fontId="3" fillId="0" borderId="0" xfId="0" quotePrefix="1" applyFont="1" applyFill="1" applyAlignment="1">
      <alignment horizontal="left" wrapText="1"/>
    </xf>
    <xf numFmtId="0" fontId="3" fillId="0" borderId="0" xfId="3" applyFont="1" applyFill="1"/>
    <xf numFmtId="17" fontId="3" fillId="0" borderId="0" xfId="0" applyNumberFormat="1" applyFont="1" applyFill="1" applyAlignment="1">
      <alignment horizontal="left"/>
    </xf>
    <xf numFmtId="43" fontId="8" fillId="0" borderId="0" xfId="1" applyFont="1" applyFill="1"/>
    <xf numFmtId="0" fontId="3" fillId="0" borderId="0" xfId="0" applyFont="1" applyFill="1" applyBorder="1" applyAlignment="1">
      <alignment horizontal="left"/>
    </xf>
    <xf numFmtId="0" fontId="8" fillId="0" borderId="0" xfId="0" applyFont="1" applyFill="1" applyProtection="1">
      <protection locked="0"/>
    </xf>
    <xf numFmtId="164" fontId="4" fillId="0" borderId="0" xfId="0" applyNumberFormat="1" applyFont="1" applyFill="1" applyAlignment="1">
      <alignment horizontal="center"/>
    </xf>
    <xf numFmtId="39" fontId="4" fillId="0" borderId="0" xfId="2" applyNumberFormat="1" applyFill="1"/>
    <xf numFmtId="39" fontId="4" fillId="0" borderId="0" xfId="2" applyNumberFormat="1" applyFill="1" applyBorder="1"/>
    <xf numFmtId="43" fontId="0" fillId="0" borderId="1" xfId="0" applyNumberFormat="1" applyFill="1" applyBorder="1"/>
    <xf numFmtId="39" fontId="4" fillId="0" borderId="2" xfId="2" applyNumberFormat="1" applyFill="1" applyBorder="1"/>
    <xf numFmtId="44" fontId="4" fillId="0" borderId="0" xfId="2" applyFill="1" applyBorder="1"/>
    <xf numFmtId="43" fontId="4" fillId="0" borderId="1" xfId="1" quotePrefix="1" applyFill="1" applyBorder="1"/>
    <xf numFmtId="4" fontId="0" fillId="0" borderId="0" xfId="0" applyNumberFormat="1" applyFill="1"/>
    <xf numFmtId="164" fontId="3" fillId="0" borderId="0" xfId="0" applyNumberFormat="1" applyFont="1" applyFill="1" applyAlignment="1"/>
    <xf numFmtId="0" fontId="4" fillId="0" borderId="0" xfId="0" quotePrefix="1" applyFont="1" applyFill="1" applyAlignment="1">
      <alignment horizontal="left"/>
    </xf>
    <xf numFmtId="0" fontId="0" fillId="0" borderId="0" xfId="0" applyFont="1" applyFill="1"/>
    <xf numFmtId="44" fontId="0" fillId="0" borderId="0" xfId="2" applyFont="1" applyFill="1"/>
    <xf numFmtId="0" fontId="0" fillId="0" borderId="21" xfId="0" applyFill="1" applyBorder="1"/>
    <xf numFmtId="43" fontId="4" fillId="0" borderId="0" xfId="1" quotePrefix="1" applyFont="1" applyFill="1"/>
    <xf numFmtId="43" fontId="4" fillId="0" borderId="0" xfId="1" quotePrefix="1" applyFill="1" applyBorder="1"/>
    <xf numFmtId="43" fontId="4" fillId="0" borderId="0" xfId="1" quotePrefix="1" applyFont="1" applyFill="1" applyBorder="1"/>
    <xf numFmtId="39" fontId="0" fillId="0" borderId="0" xfId="2" applyNumberFormat="1" applyFont="1" applyFill="1" applyBorder="1"/>
    <xf numFmtId="39" fontId="0" fillId="0" borderId="0" xfId="2" applyNumberFormat="1" applyFont="1" applyFill="1"/>
    <xf numFmtId="44" fontId="0" fillId="0" borderId="0" xfId="2" applyFont="1" applyFill="1" applyBorder="1"/>
    <xf numFmtId="43" fontId="0" fillId="0" borderId="0" xfId="1" quotePrefix="1" applyFont="1" applyFill="1"/>
    <xf numFmtId="43" fontId="0" fillId="0" borderId="0" xfId="1" applyFont="1" applyFill="1" applyAlignment="1">
      <alignment horizontal="right"/>
    </xf>
    <xf numFmtId="0" fontId="1" fillId="0" borderId="20" xfId="0" applyFont="1" applyFill="1" applyBorder="1"/>
    <xf numFmtId="0" fontId="0" fillId="0" borderId="0" xfId="0" applyNumberFormat="1" applyFill="1"/>
    <xf numFmtId="43" fontId="1" fillId="0" borderId="20" xfId="0" applyNumberFormat="1" applyFont="1" applyFill="1" applyBorder="1" applyAlignment="1">
      <alignment horizontal="left"/>
    </xf>
    <xf numFmtId="43" fontId="1" fillId="0" borderId="0" xfId="0" applyNumberFormat="1" applyFont="1" applyFill="1" applyBorder="1"/>
    <xf numFmtId="43" fontId="1" fillId="0" borderId="0" xfId="1" applyFont="1" applyFill="1" applyBorder="1"/>
    <xf numFmtId="0" fontId="8" fillId="0" borderId="0" xfId="0" applyFont="1" applyFill="1"/>
    <xf numFmtId="0" fontId="9" fillId="0" borderId="0" xfId="0" applyFont="1" applyFill="1" applyAlignment="1">
      <alignment horizontal="center"/>
    </xf>
    <xf numFmtId="43" fontId="9" fillId="0" borderId="0" xfId="1" applyFont="1" applyFill="1" applyAlignment="1">
      <alignment horizontal="center"/>
    </xf>
    <xf numFmtId="0" fontId="9" fillId="0" borderId="0" xfId="0" applyFont="1" applyFill="1"/>
    <xf numFmtId="43" fontId="8" fillId="0" borderId="0" xfId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43" fontId="8" fillId="0" borderId="1" xfId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0" xfId="0" applyNumberFormat="1" applyFont="1" applyFill="1"/>
    <xf numFmtId="17" fontId="8" fillId="0" borderId="0" xfId="0" applyNumberFormat="1" applyFont="1" applyFill="1"/>
    <xf numFmtId="43" fontId="8" fillId="0" borderId="0" xfId="0" applyNumberFormat="1" applyFont="1" applyFill="1"/>
    <xf numFmtId="43" fontId="8" fillId="0" borderId="4" xfId="1" applyFont="1" applyFill="1" applyBorder="1"/>
    <xf numFmtId="0" fontId="8" fillId="0" borderId="4" xfId="0" applyFont="1" applyFill="1" applyBorder="1"/>
    <xf numFmtId="43" fontId="8" fillId="0" borderId="5" xfId="1" applyFont="1" applyFill="1" applyBorder="1"/>
    <xf numFmtId="0" fontId="4" fillId="0" borderId="17" xfId="0" applyFont="1" applyFill="1" applyBorder="1" applyAlignment="1">
      <alignment horizontal="left"/>
    </xf>
    <xf numFmtId="0" fontId="4" fillId="0" borderId="18" xfId="0" applyFont="1" applyFill="1" applyBorder="1" applyAlignment="1">
      <alignment horizontal="left"/>
    </xf>
    <xf numFmtId="164" fontId="4" fillId="0" borderId="19" xfId="0" quotePrefix="1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center"/>
    </xf>
    <xf numFmtId="44" fontId="0" fillId="0" borderId="0" xfId="0" applyNumberFormat="1" applyFill="1" applyBorder="1"/>
    <xf numFmtId="17" fontId="3" fillId="0" borderId="0" xfId="0" applyNumberFormat="1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right" wrapText="1"/>
    </xf>
    <xf numFmtId="0" fontId="7" fillId="0" borderId="0" xfId="0" applyFont="1" applyFill="1"/>
    <xf numFmtId="0" fontId="4" fillId="0" borderId="0" xfId="0" applyFont="1" applyFill="1" applyAlignment="1">
      <alignment wrapText="1"/>
    </xf>
    <xf numFmtId="0" fontId="3" fillId="0" borderId="0" xfId="0" quotePrefix="1" applyFont="1" applyFill="1"/>
    <xf numFmtId="0" fontId="3" fillId="0" borderId="0" xfId="0" applyFont="1" applyFill="1" applyAlignment="1">
      <alignment wrapText="1"/>
    </xf>
    <xf numFmtId="43" fontId="3" fillId="0" borderId="1" xfId="1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43" fontId="4" fillId="0" borderId="4" xfId="1" applyFill="1" applyBorder="1"/>
    <xf numFmtId="0" fontId="2" fillId="0" borderId="0" xfId="0" applyFont="1" applyFill="1" applyAlignment="1">
      <alignment horizontal="center"/>
    </xf>
    <xf numFmtId="164" fontId="3" fillId="0" borderId="0" xfId="0" quotePrefix="1" applyNumberFormat="1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6" xfId="0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0" xfId="0" quotePrefix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0" xfId="0" quotePrefix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 applyProtection="1">
      <alignment horizontal="center"/>
    </xf>
    <xf numFmtId="43" fontId="2" fillId="0" borderId="0" xfId="1" applyFont="1" applyFill="1" applyAlignment="1" applyProtection="1">
      <alignment horizontal="center"/>
    </xf>
    <xf numFmtId="43" fontId="3" fillId="0" borderId="0" xfId="1" applyFont="1" applyFill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6"/>
  <sheetViews>
    <sheetView tabSelected="1" workbookViewId="0">
      <selection sqref="A1:R1"/>
    </sheetView>
  </sheetViews>
  <sheetFormatPr defaultRowHeight="12.75" x14ac:dyDescent="0.2"/>
  <cols>
    <col min="1" max="1" width="5" style="8" customWidth="1"/>
    <col min="2" max="2" width="4.28515625" style="3" customWidth="1"/>
    <col min="3" max="3" width="32.28515625" style="3" customWidth="1"/>
    <col min="4" max="4" width="17.7109375" style="3" customWidth="1"/>
    <col min="5" max="5" width="1.7109375" style="3" customWidth="1"/>
    <col min="6" max="6" width="17.7109375" style="3" customWidth="1"/>
    <col min="7" max="7" width="1.7109375" style="3" customWidth="1"/>
    <col min="8" max="8" width="17.7109375" style="3" customWidth="1"/>
    <col min="9" max="9" width="1.7109375" style="3" customWidth="1"/>
    <col min="10" max="10" width="17.7109375" style="3" customWidth="1"/>
    <col min="11" max="11" width="1.7109375" style="3" customWidth="1"/>
    <col min="12" max="12" width="17.7109375" style="3" customWidth="1"/>
    <col min="13" max="13" width="1.7109375" style="3" customWidth="1"/>
    <col min="14" max="14" width="17.7109375" style="3" customWidth="1"/>
    <col min="15" max="15" width="2.7109375" style="3" customWidth="1"/>
    <col min="16" max="16" width="12.140625" style="2" customWidth="1"/>
    <col min="17" max="17" width="10" style="3" bestFit="1" customWidth="1"/>
    <col min="18" max="18" width="11.28515625" style="3" bestFit="1" customWidth="1"/>
    <col min="19" max="16384" width="9.140625" style="3"/>
  </cols>
  <sheetData>
    <row r="1" spans="1:17" x14ac:dyDescent="0.2">
      <c r="A1" s="142" t="s">
        <v>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"/>
      <c r="P1" s="3"/>
    </row>
    <row r="2" spans="1:17" x14ac:dyDescent="0.2">
      <c r="A2" s="142" t="s">
        <v>1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"/>
      <c r="P2" s="3"/>
    </row>
    <row r="3" spans="1:17" x14ac:dyDescent="0.2">
      <c r="A3" s="143" t="s">
        <v>4034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4"/>
      <c r="P3" s="3"/>
    </row>
    <row r="4" spans="1:17" x14ac:dyDescent="0.2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3"/>
    </row>
    <row r="5" spans="1:17" x14ac:dyDescent="0.2">
      <c r="A5" s="6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3"/>
    </row>
    <row r="6" spans="1:17" x14ac:dyDescent="0.2">
      <c r="A6" s="6"/>
      <c r="B6" s="5"/>
      <c r="C6" s="5"/>
      <c r="D6" s="25" t="s">
        <v>2</v>
      </c>
      <c r="E6" s="7"/>
      <c r="F6" s="7"/>
      <c r="G6" s="7"/>
      <c r="H6" s="7"/>
      <c r="I6" s="7"/>
      <c r="J6" s="25" t="s">
        <v>3</v>
      </c>
      <c r="K6" s="7"/>
      <c r="L6" s="7"/>
      <c r="M6" s="7"/>
      <c r="N6" s="25" t="s">
        <v>4</v>
      </c>
      <c r="O6" s="25"/>
      <c r="P6" s="3"/>
    </row>
    <row r="7" spans="1:17" x14ac:dyDescent="0.2">
      <c r="D7" s="10" t="s">
        <v>5</v>
      </c>
      <c r="E7" s="9"/>
      <c r="F7" s="10" t="s">
        <v>6</v>
      </c>
      <c r="G7" s="9"/>
      <c r="H7" s="10" t="s">
        <v>7</v>
      </c>
      <c r="I7" s="9"/>
      <c r="J7" s="10" t="s">
        <v>8</v>
      </c>
      <c r="K7" s="9"/>
      <c r="L7" s="10" t="s">
        <v>9</v>
      </c>
      <c r="M7" s="9"/>
      <c r="N7" s="10" t="s">
        <v>5</v>
      </c>
      <c r="O7" s="11"/>
      <c r="P7" s="3"/>
    </row>
    <row r="8" spans="1:17" x14ac:dyDescent="0.2">
      <c r="D8" s="11"/>
      <c r="E8" s="9"/>
      <c r="F8" s="11"/>
      <c r="G8" s="9"/>
      <c r="H8" s="11"/>
      <c r="I8" s="9"/>
      <c r="J8" s="11"/>
      <c r="K8" s="9"/>
      <c r="L8" s="11"/>
      <c r="M8" s="9"/>
      <c r="N8" s="11"/>
      <c r="O8" s="11"/>
      <c r="P8" s="3"/>
    </row>
    <row r="9" spans="1:17" x14ac:dyDescent="0.2">
      <c r="A9" s="8">
        <v>101</v>
      </c>
      <c r="B9" s="12" t="s">
        <v>10</v>
      </c>
      <c r="P9" s="3"/>
    </row>
    <row r="10" spans="1:17" x14ac:dyDescent="0.2">
      <c r="B10" s="12" t="s">
        <v>11</v>
      </c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3"/>
    </row>
    <row r="11" spans="1:17" x14ac:dyDescent="0.2">
      <c r="C11" s="3" t="s">
        <v>12</v>
      </c>
      <c r="D11" s="14">
        <v>1631643754.1099997</v>
      </c>
      <c r="E11" s="14"/>
      <c r="F11" s="14">
        <v>73635573.340000004</v>
      </c>
      <c r="G11" s="14"/>
      <c r="H11" s="14">
        <v>-20421266.370000001</v>
      </c>
      <c r="I11" s="14"/>
      <c r="J11" s="14">
        <v>-340117.45000000007</v>
      </c>
      <c r="K11" s="14"/>
      <c r="L11" s="14">
        <f>F11+H11+J11</f>
        <v>52874189.519999996</v>
      </c>
      <c r="M11" s="14"/>
      <c r="N11" s="14">
        <f>D11+L11</f>
        <v>1684517943.6299996</v>
      </c>
      <c r="O11" s="14"/>
      <c r="P11" s="3"/>
    </row>
    <row r="12" spans="1:17" x14ac:dyDescent="0.2">
      <c r="C12" s="3" t="s">
        <v>13</v>
      </c>
      <c r="D12" s="14">
        <v>164086135.28</v>
      </c>
      <c r="E12" s="14"/>
      <c r="F12" s="14">
        <v>19621030.739999998</v>
      </c>
      <c r="G12" s="14"/>
      <c r="H12" s="14">
        <v>-11527163.23</v>
      </c>
      <c r="I12" s="14"/>
      <c r="J12" s="14">
        <v>0</v>
      </c>
      <c r="K12" s="14"/>
      <c r="L12" s="14">
        <f t="shared" ref="L12:L17" si="0">F12+H12+J12</f>
        <v>8093867.5099999979</v>
      </c>
      <c r="M12" s="14"/>
      <c r="N12" s="14">
        <f t="shared" ref="N12:N17" si="1">D12+L12</f>
        <v>172180002.78999999</v>
      </c>
      <c r="O12" s="14"/>
      <c r="P12" s="3"/>
      <c r="Q12" s="15"/>
    </row>
    <row r="13" spans="1:17" x14ac:dyDescent="0.2">
      <c r="C13" s="3" t="s">
        <v>14</v>
      </c>
      <c r="D13" s="14">
        <v>39428753.649999999</v>
      </c>
      <c r="E13" s="14"/>
      <c r="F13" s="14">
        <v>2585883.31</v>
      </c>
      <c r="G13" s="14"/>
      <c r="H13" s="14">
        <v>-101678.14</v>
      </c>
      <c r="I13" s="14"/>
      <c r="J13" s="14">
        <v>457959.79</v>
      </c>
      <c r="K13" s="14"/>
      <c r="L13" s="14">
        <f t="shared" si="0"/>
        <v>2942164.96</v>
      </c>
      <c r="M13" s="14"/>
      <c r="N13" s="14">
        <f t="shared" si="1"/>
        <v>42370918.609999999</v>
      </c>
      <c r="O13" s="14"/>
      <c r="P13" s="3"/>
    </row>
    <row r="14" spans="1:17" x14ac:dyDescent="0.2">
      <c r="C14" s="3" t="s">
        <v>15</v>
      </c>
      <c r="D14" s="14">
        <v>81667345.599999994</v>
      </c>
      <c r="E14" s="14"/>
      <c r="F14" s="14">
        <v>14107204.210000001</v>
      </c>
      <c r="G14" s="14"/>
      <c r="H14" s="14">
        <v>-5795318.9000000004</v>
      </c>
      <c r="I14" s="14"/>
      <c r="J14" s="14">
        <v>0</v>
      </c>
      <c r="K14" s="14"/>
      <c r="L14" s="14">
        <f t="shared" si="0"/>
        <v>8311885.3100000005</v>
      </c>
      <c r="M14" s="14"/>
      <c r="N14" s="14">
        <f t="shared" si="1"/>
        <v>89979230.909999996</v>
      </c>
      <c r="O14" s="14"/>
      <c r="P14" s="3"/>
    </row>
    <row r="15" spans="1:17" x14ac:dyDescent="0.2">
      <c r="C15" s="3" t="s">
        <v>16</v>
      </c>
      <c r="D15" s="14">
        <v>549016839.75</v>
      </c>
      <c r="E15" s="14"/>
      <c r="F15" s="14">
        <v>421666841.66000003</v>
      </c>
      <c r="G15" s="14"/>
      <c r="H15" s="14">
        <v>-844434.41</v>
      </c>
      <c r="I15" s="14"/>
      <c r="J15" s="14">
        <v>162070.19</v>
      </c>
      <c r="K15" s="14"/>
      <c r="L15" s="14">
        <f t="shared" si="0"/>
        <v>420984477.44</v>
      </c>
      <c r="M15" s="14"/>
      <c r="N15" s="14">
        <f t="shared" si="1"/>
        <v>970001317.19000006</v>
      </c>
      <c r="O15" s="14"/>
      <c r="P15" s="3"/>
    </row>
    <row r="16" spans="1:17" x14ac:dyDescent="0.2">
      <c r="C16" s="3" t="s">
        <v>17</v>
      </c>
      <c r="D16" s="14">
        <v>3993148614.1700001</v>
      </c>
      <c r="E16" s="14"/>
      <c r="F16" s="14">
        <v>65440296.609999985</v>
      </c>
      <c r="G16" s="14"/>
      <c r="H16" s="14">
        <v>-14899041.709999999</v>
      </c>
      <c r="I16" s="14"/>
      <c r="J16" s="14">
        <v>-79169657.889999986</v>
      </c>
      <c r="K16" s="14"/>
      <c r="L16" s="14">
        <f t="shared" si="0"/>
        <v>-28628402.990000002</v>
      </c>
      <c r="M16" s="14"/>
      <c r="N16" s="14">
        <f t="shared" si="1"/>
        <v>3964520211.1800003</v>
      </c>
      <c r="O16" s="14"/>
      <c r="P16" s="3"/>
    </row>
    <row r="17" spans="1:16" x14ac:dyDescent="0.2">
      <c r="C17" s="3" t="s">
        <v>18</v>
      </c>
      <c r="D17" s="16">
        <v>773600301.37999976</v>
      </c>
      <c r="E17" s="14"/>
      <c r="F17" s="14">
        <v>49543706.390000001</v>
      </c>
      <c r="G17" s="14"/>
      <c r="H17" s="14">
        <v>-7302428.29</v>
      </c>
      <c r="I17" s="14"/>
      <c r="J17" s="14">
        <v>169972.61000000002</v>
      </c>
      <c r="K17" s="14"/>
      <c r="L17" s="16">
        <f t="shared" si="0"/>
        <v>42411250.710000001</v>
      </c>
      <c r="M17" s="14"/>
      <c r="N17" s="16">
        <f t="shared" si="1"/>
        <v>816011552.08999979</v>
      </c>
      <c r="O17" s="17"/>
      <c r="P17" s="3"/>
    </row>
    <row r="18" spans="1:16" x14ac:dyDescent="0.2">
      <c r="D18" s="14"/>
      <c r="E18" s="14"/>
      <c r="F18" s="18"/>
      <c r="G18" s="14"/>
      <c r="H18" s="18"/>
      <c r="I18" s="14"/>
      <c r="J18" s="18"/>
      <c r="K18" s="14"/>
      <c r="L18" s="18"/>
      <c r="M18" s="14"/>
      <c r="N18" s="14"/>
      <c r="O18" s="14"/>
      <c r="P18" s="3"/>
    </row>
    <row r="19" spans="1:16" x14ac:dyDescent="0.2">
      <c r="C19" s="12" t="s">
        <v>19</v>
      </c>
      <c r="D19" s="16">
        <f>SUM(D11:D17)</f>
        <v>7232591743.9399996</v>
      </c>
      <c r="E19" s="14"/>
      <c r="F19" s="16">
        <f>SUM(F11:F17)</f>
        <v>646600536.25999999</v>
      </c>
      <c r="G19" s="14"/>
      <c r="H19" s="16">
        <f>SUM(H11:H17)</f>
        <v>-60891331.049999997</v>
      </c>
      <c r="I19" s="14"/>
      <c r="J19" s="16">
        <f>SUM(J11:J17)</f>
        <v>-78719772.749999985</v>
      </c>
      <c r="K19" s="14"/>
      <c r="L19" s="16">
        <f>SUM(L11:L17)</f>
        <v>506989432.45999998</v>
      </c>
      <c r="M19" s="14"/>
      <c r="N19" s="16">
        <f>SUM(N11:N17)</f>
        <v>7739581176.3999996</v>
      </c>
      <c r="O19" s="17"/>
      <c r="P19" s="3"/>
    </row>
    <row r="20" spans="1:16" x14ac:dyDescent="0.2">
      <c r="C20" s="12"/>
      <c r="D20" s="17"/>
      <c r="E20" s="14"/>
      <c r="F20" s="17"/>
      <c r="G20" s="14"/>
      <c r="H20" s="17"/>
      <c r="I20" s="14"/>
      <c r="J20" s="17"/>
      <c r="K20" s="14"/>
      <c r="L20" s="17"/>
      <c r="M20" s="14"/>
      <c r="N20" s="17"/>
      <c r="O20" s="17"/>
      <c r="P20" s="3"/>
    </row>
    <row r="21" spans="1:16" x14ac:dyDescent="0.2">
      <c r="C21" s="12"/>
      <c r="D21" s="17"/>
      <c r="E21" s="14"/>
      <c r="F21" s="17"/>
      <c r="G21" s="14"/>
      <c r="H21" s="17"/>
      <c r="I21" s="14"/>
      <c r="J21" s="17"/>
      <c r="K21" s="14"/>
      <c r="L21" s="17"/>
      <c r="M21" s="14"/>
      <c r="N21" s="17"/>
      <c r="O21" s="17"/>
      <c r="P21" s="3"/>
    </row>
    <row r="22" spans="1:16" x14ac:dyDescent="0.2">
      <c r="A22" s="8">
        <v>102</v>
      </c>
      <c r="B22" s="12" t="s">
        <v>20</v>
      </c>
      <c r="C22" s="12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3"/>
    </row>
    <row r="23" spans="1:16" x14ac:dyDescent="0.2">
      <c r="B23" s="12" t="s">
        <v>11</v>
      </c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3"/>
    </row>
    <row r="24" spans="1:16" x14ac:dyDescent="0.2">
      <c r="B24" s="12"/>
      <c r="C24" s="3" t="s">
        <v>13</v>
      </c>
      <c r="D24" s="14">
        <v>0</v>
      </c>
      <c r="E24" s="14"/>
      <c r="F24" s="14">
        <v>0</v>
      </c>
      <c r="G24" s="14"/>
      <c r="H24" s="14">
        <v>0</v>
      </c>
      <c r="I24" s="14"/>
      <c r="J24" s="14">
        <v>0</v>
      </c>
      <c r="K24" s="14"/>
      <c r="L24" s="17">
        <f>F24+H24+J24</f>
        <v>0</v>
      </c>
      <c r="M24" s="14"/>
      <c r="N24" s="17">
        <f>D24+L24</f>
        <v>0</v>
      </c>
      <c r="O24" s="14"/>
      <c r="P24" s="3"/>
    </row>
    <row r="25" spans="1:16" x14ac:dyDescent="0.2">
      <c r="C25" s="3" t="s">
        <v>21</v>
      </c>
      <c r="D25" s="16">
        <v>0</v>
      </c>
      <c r="E25" s="14"/>
      <c r="F25" s="16">
        <f>0</f>
        <v>0</v>
      </c>
      <c r="G25" s="14"/>
      <c r="H25" s="16">
        <v>0</v>
      </c>
      <c r="I25" s="14"/>
      <c r="J25" s="16">
        <v>0</v>
      </c>
      <c r="K25" s="14"/>
      <c r="L25" s="16">
        <f>F25+H25+J25</f>
        <v>0</v>
      </c>
      <c r="M25" s="14"/>
      <c r="N25" s="16">
        <f>D25+L25</f>
        <v>0</v>
      </c>
      <c r="O25" s="17"/>
      <c r="P25" s="3"/>
    </row>
    <row r="26" spans="1:16" x14ac:dyDescent="0.2"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3"/>
    </row>
    <row r="27" spans="1:16" x14ac:dyDescent="0.2">
      <c r="C27" s="12" t="s">
        <v>22</v>
      </c>
      <c r="D27" s="16">
        <f>SUM(D24:D25)</f>
        <v>0</v>
      </c>
      <c r="E27" s="14"/>
      <c r="F27" s="16">
        <f>SUM(F24:F25)</f>
        <v>0</v>
      </c>
      <c r="G27" s="14"/>
      <c r="H27" s="16">
        <f>SUM(H24:H25)</f>
        <v>0</v>
      </c>
      <c r="I27" s="14"/>
      <c r="J27" s="16">
        <f>SUM(J24:J25)</f>
        <v>0</v>
      </c>
      <c r="K27" s="14"/>
      <c r="L27" s="16">
        <f>SUM(L24:L25)</f>
        <v>0</v>
      </c>
      <c r="M27" s="14"/>
      <c r="N27" s="16">
        <f>SUM(N24:N25)</f>
        <v>0</v>
      </c>
      <c r="O27" s="17"/>
      <c r="P27" s="3"/>
    </row>
    <row r="28" spans="1:16" x14ac:dyDescent="0.2">
      <c r="C28" s="12"/>
      <c r="D28" s="17"/>
      <c r="E28" s="14"/>
      <c r="F28" s="17"/>
      <c r="G28" s="14"/>
      <c r="H28" s="17"/>
      <c r="I28" s="14"/>
      <c r="J28" s="17"/>
      <c r="K28" s="14"/>
      <c r="L28" s="17"/>
      <c r="M28" s="14"/>
      <c r="N28" s="17"/>
      <c r="O28" s="17"/>
      <c r="P28" s="3"/>
    </row>
    <row r="29" spans="1:16" x14ac:dyDescent="0.2"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3"/>
    </row>
    <row r="30" spans="1:16" x14ac:dyDescent="0.2">
      <c r="A30" s="8">
        <v>105</v>
      </c>
      <c r="B30" s="12" t="s">
        <v>23</v>
      </c>
      <c r="C30" s="1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3"/>
    </row>
    <row r="31" spans="1:16" x14ac:dyDescent="0.2">
      <c r="B31" s="12" t="s">
        <v>11</v>
      </c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3"/>
    </row>
    <row r="32" spans="1:16" x14ac:dyDescent="0.2">
      <c r="B32" s="12"/>
      <c r="C32" s="3" t="s">
        <v>12</v>
      </c>
      <c r="D32" s="14">
        <v>324087.84000000003</v>
      </c>
      <c r="E32" s="14"/>
      <c r="F32" s="14">
        <v>0</v>
      </c>
      <c r="G32" s="14"/>
      <c r="H32" s="14">
        <v>0</v>
      </c>
      <c r="I32" s="14"/>
      <c r="J32" s="14">
        <v>113882.25</v>
      </c>
      <c r="K32" s="14"/>
      <c r="L32" s="14">
        <f>F32+H32+J32</f>
        <v>113882.25</v>
      </c>
      <c r="M32" s="14"/>
      <c r="N32" s="14">
        <f>D32+L32</f>
        <v>437970.09</v>
      </c>
      <c r="O32" s="14"/>
      <c r="P32" s="3"/>
    </row>
    <row r="33" spans="1:16" x14ac:dyDescent="0.2">
      <c r="B33" s="12"/>
      <c r="C33" s="3" t="s">
        <v>16</v>
      </c>
      <c r="D33" s="14">
        <v>309540.84999999998</v>
      </c>
      <c r="E33" s="14"/>
      <c r="F33" s="14">
        <v>0</v>
      </c>
      <c r="G33" s="14"/>
      <c r="H33" s="14">
        <v>0</v>
      </c>
      <c r="I33" s="14"/>
      <c r="J33" s="14">
        <v>0</v>
      </c>
      <c r="K33" s="14"/>
      <c r="L33" s="14">
        <f>F33+H33+J33</f>
        <v>0</v>
      </c>
      <c r="M33" s="14"/>
      <c r="N33" s="14">
        <f>D33+L33</f>
        <v>309540.84999999998</v>
      </c>
      <c r="O33" s="14"/>
      <c r="P33" s="3"/>
    </row>
    <row r="34" spans="1:16" x14ac:dyDescent="0.2">
      <c r="C34" s="3" t="s">
        <v>17</v>
      </c>
      <c r="D34" s="16">
        <v>0</v>
      </c>
      <c r="E34" s="14"/>
      <c r="F34" s="14">
        <v>0</v>
      </c>
      <c r="G34" s="14"/>
      <c r="H34" s="14">
        <v>0</v>
      </c>
      <c r="I34" s="14"/>
      <c r="J34" s="14">
        <v>0</v>
      </c>
      <c r="K34" s="14"/>
      <c r="L34" s="17">
        <f>F34+H34+J34</f>
        <v>0</v>
      </c>
      <c r="M34" s="14"/>
      <c r="N34" s="16">
        <f>D34+L34</f>
        <v>0</v>
      </c>
      <c r="O34" s="17"/>
      <c r="P34" s="3"/>
    </row>
    <row r="35" spans="1:16" x14ac:dyDescent="0.2">
      <c r="D35" s="14"/>
      <c r="E35" s="14"/>
      <c r="F35" s="18"/>
      <c r="G35" s="14"/>
      <c r="H35" s="18"/>
      <c r="I35" s="14"/>
      <c r="J35" s="18"/>
      <c r="K35" s="14"/>
      <c r="L35" s="18"/>
      <c r="M35" s="14"/>
      <c r="N35" s="14"/>
      <c r="O35" s="14"/>
      <c r="P35" s="3"/>
    </row>
    <row r="36" spans="1:16" x14ac:dyDescent="0.2">
      <c r="C36" s="12" t="s">
        <v>24</v>
      </c>
      <c r="D36" s="16">
        <f>SUM(D32:D35)</f>
        <v>633628.68999999994</v>
      </c>
      <c r="E36" s="14"/>
      <c r="F36" s="16">
        <f>SUM(F32:F35)</f>
        <v>0</v>
      </c>
      <c r="G36" s="14"/>
      <c r="H36" s="16">
        <f>SUM(H32:H35)</f>
        <v>0</v>
      </c>
      <c r="I36" s="14"/>
      <c r="J36" s="16">
        <f>SUM(J32:J35)</f>
        <v>113882.25</v>
      </c>
      <c r="K36" s="14"/>
      <c r="L36" s="16">
        <f>SUM(L32:L35)</f>
        <v>113882.25</v>
      </c>
      <c r="M36" s="14"/>
      <c r="N36" s="16">
        <f>SUM(N32:N35)</f>
        <v>747510.94</v>
      </c>
      <c r="O36" s="17"/>
      <c r="P36" s="3"/>
    </row>
    <row r="37" spans="1:16" x14ac:dyDescent="0.2">
      <c r="C37" s="12"/>
      <c r="D37" s="17"/>
      <c r="E37" s="14"/>
      <c r="F37" s="17"/>
      <c r="G37" s="14"/>
      <c r="H37" s="17"/>
      <c r="I37" s="14"/>
      <c r="J37" s="17"/>
      <c r="K37" s="14"/>
      <c r="L37" s="17"/>
      <c r="M37" s="14"/>
      <c r="N37" s="17"/>
      <c r="O37" s="17"/>
      <c r="P37" s="3"/>
    </row>
    <row r="38" spans="1:16" x14ac:dyDescent="0.2"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3"/>
    </row>
    <row r="39" spans="1:16" x14ac:dyDescent="0.2">
      <c r="A39" s="8">
        <v>106</v>
      </c>
      <c r="B39" s="12" t="s">
        <v>25</v>
      </c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3"/>
    </row>
    <row r="40" spans="1:16" x14ac:dyDescent="0.2">
      <c r="B40" s="12" t="s">
        <v>11</v>
      </c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3"/>
    </row>
    <row r="41" spans="1:16" x14ac:dyDescent="0.2">
      <c r="C41" s="3" t="s">
        <v>12</v>
      </c>
      <c r="D41" s="14">
        <v>30543077.310000032</v>
      </c>
      <c r="E41" s="14"/>
      <c r="F41" s="14">
        <v>31479745.140000001</v>
      </c>
      <c r="G41" s="14"/>
      <c r="H41" s="14">
        <v>0</v>
      </c>
      <c r="I41" s="14"/>
      <c r="J41" s="14">
        <v>0</v>
      </c>
      <c r="K41" s="14"/>
      <c r="L41" s="14">
        <f t="shared" ref="L41:L47" si="2">F41+H41+J41</f>
        <v>31479745.140000001</v>
      </c>
      <c r="M41" s="14"/>
      <c r="N41" s="14">
        <f t="shared" ref="N41:N47" si="3">D41+L41</f>
        <v>62022822.450000033</v>
      </c>
      <c r="O41" s="14"/>
      <c r="P41" s="3"/>
    </row>
    <row r="42" spans="1:16" x14ac:dyDescent="0.2">
      <c r="C42" s="3" t="s">
        <v>13</v>
      </c>
      <c r="D42" s="14">
        <v>13632687.509999998</v>
      </c>
      <c r="E42" s="14"/>
      <c r="F42" s="14">
        <v>-2935697.24</v>
      </c>
      <c r="G42" s="14"/>
      <c r="H42" s="14">
        <v>0</v>
      </c>
      <c r="I42" s="14"/>
      <c r="J42" s="14">
        <v>0</v>
      </c>
      <c r="K42" s="14"/>
      <c r="L42" s="14">
        <f t="shared" si="2"/>
        <v>-2935697.24</v>
      </c>
      <c r="M42" s="14"/>
      <c r="N42" s="14">
        <f t="shared" si="3"/>
        <v>10696990.269999998</v>
      </c>
      <c r="O42" s="14"/>
      <c r="P42" s="3"/>
    </row>
    <row r="43" spans="1:16" x14ac:dyDescent="0.2">
      <c r="C43" s="3" t="s">
        <v>14</v>
      </c>
      <c r="D43" s="14">
        <v>370158.33000000101</v>
      </c>
      <c r="E43" s="14"/>
      <c r="F43" s="14">
        <v>-370158.33</v>
      </c>
      <c r="G43" s="14"/>
      <c r="H43" s="14">
        <v>0</v>
      </c>
      <c r="I43" s="14"/>
      <c r="J43" s="14">
        <v>0</v>
      </c>
      <c r="K43" s="14"/>
      <c r="L43" s="14">
        <f t="shared" si="2"/>
        <v>-370158.33</v>
      </c>
      <c r="M43" s="14"/>
      <c r="N43" s="14">
        <f t="shared" si="3"/>
        <v>9.8953023552894592E-10</v>
      </c>
      <c r="O43" s="14"/>
      <c r="P43" s="3"/>
    </row>
    <row r="44" spans="1:16" x14ac:dyDescent="0.2">
      <c r="C44" s="3" t="s">
        <v>15</v>
      </c>
      <c r="D44" s="14">
        <v>10687955.300000001</v>
      </c>
      <c r="E44" s="14"/>
      <c r="F44" s="14">
        <v>-2400761.4500000002</v>
      </c>
      <c r="G44" s="14"/>
      <c r="H44" s="14">
        <v>0</v>
      </c>
      <c r="I44" s="14"/>
      <c r="J44" s="14">
        <v>0</v>
      </c>
      <c r="K44" s="14"/>
      <c r="L44" s="14">
        <f t="shared" si="2"/>
        <v>-2400761.4500000002</v>
      </c>
      <c r="M44" s="14"/>
      <c r="N44" s="14">
        <f t="shared" si="3"/>
        <v>8287193.8500000006</v>
      </c>
      <c r="O44" s="14"/>
      <c r="P44" s="3"/>
    </row>
    <row r="45" spans="1:16" x14ac:dyDescent="0.2">
      <c r="C45" s="3" t="s">
        <v>16</v>
      </c>
      <c r="D45" s="14">
        <v>420341785.69300002</v>
      </c>
      <c r="E45" s="14"/>
      <c r="F45" s="14">
        <v>-393268415.72000003</v>
      </c>
      <c r="G45" s="14"/>
      <c r="H45" s="14">
        <v>0</v>
      </c>
      <c r="I45" s="14"/>
      <c r="J45" s="14">
        <v>0</v>
      </c>
      <c r="K45" s="14"/>
      <c r="L45" s="14">
        <f t="shared" si="2"/>
        <v>-393268415.72000003</v>
      </c>
      <c r="M45" s="14"/>
      <c r="N45" s="14">
        <f t="shared" si="3"/>
        <v>27073369.97299999</v>
      </c>
      <c r="O45" s="14"/>
      <c r="P45" s="3"/>
    </row>
    <row r="46" spans="1:16" x14ac:dyDescent="0.2">
      <c r="C46" s="3" t="s">
        <v>17</v>
      </c>
      <c r="D46" s="14">
        <v>1072399172.74</v>
      </c>
      <c r="E46" s="14"/>
      <c r="F46" s="14">
        <v>106040039.31</v>
      </c>
      <c r="G46" s="14"/>
      <c r="H46" s="14">
        <v>0</v>
      </c>
      <c r="I46" s="14"/>
      <c r="J46" s="14">
        <v>0</v>
      </c>
      <c r="K46" s="14"/>
      <c r="L46" s="14">
        <f t="shared" si="2"/>
        <v>106040039.31</v>
      </c>
      <c r="M46" s="14"/>
      <c r="N46" s="14">
        <f t="shared" si="3"/>
        <v>1178439212.05</v>
      </c>
      <c r="O46" s="14"/>
      <c r="P46" s="3"/>
    </row>
    <row r="47" spans="1:16" x14ac:dyDescent="0.2">
      <c r="C47" s="3" t="s">
        <v>18</v>
      </c>
      <c r="D47" s="16">
        <v>33781724.170000009</v>
      </c>
      <c r="E47" s="14"/>
      <c r="F47" s="14">
        <v>25124805.559999999</v>
      </c>
      <c r="G47" s="14"/>
      <c r="H47" s="14">
        <v>0</v>
      </c>
      <c r="I47" s="14"/>
      <c r="J47" s="14">
        <v>0</v>
      </c>
      <c r="K47" s="14"/>
      <c r="L47" s="16">
        <f t="shared" si="2"/>
        <v>25124805.559999999</v>
      </c>
      <c r="M47" s="14"/>
      <c r="N47" s="16">
        <f t="shared" si="3"/>
        <v>58906529.730000004</v>
      </c>
      <c r="O47" s="17"/>
      <c r="P47" s="3"/>
    </row>
    <row r="48" spans="1:16" x14ac:dyDescent="0.2">
      <c r="D48" s="14"/>
      <c r="E48" s="14"/>
      <c r="F48" s="18"/>
      <c r="G48" s="14"/>
      <c r="H48" s="18"/>
      <c r="I48" s="14"/>
      <c r="J48" s="18"/>
      <c r="K48" s="14"/>
      <c r="L48" s="14"/>
      <c r="M48" s="14"/>
      <c r="N48" s="14"/>
      <c r="O48" s="14"/>
      <c r="P48" s="3"/>
    </row>
    <row r="49" spans="1:16" x14ac:dyDescent="0.2">
      <c r="C49" s="12" t="s">
        <v>26</v>
      </c>
      <c r="D49" s="16">
        <f>SUM(D41:D47)</f>
        <v>1581756561.0530002</v>
      </c>
      <c r="E49" s="14"/>
      <c r="F49" s="16">
        <f>SUM(F41:F47)</f>
        <v>-236330442.73000002</v>
      </c>
      <c r="G49" s="14"/>
      <c r="H49" s="16">
        <f>SUM(H41:H47)</f>
        <v>0</v>
      </c>
      <c r="I49" s="14"/>
      <c r="J49" s="16">
        <f>SUM(J41:J47)</f>
        <v>0</v>
      </c>
      <c r="K49" s="14"/>
      <c r="L49" s="16">
        <f>SUM(L41:L47)</f>
        <v>-236330442.73000002</v>
      </c>
      <c r="M49" s="14"/>
      <c r="N49" s="16">
        <f>SUM(N41:N47)</f>
        <v>1345426118.323</v>
      </c>
      <c r="O49" s="17"/>
      <c r="P49" s="3"/>
    </row>
    <row r="50" spans="1:16" x14ac:dyDescent="0.2">
      <c r="C50" s="12"/>
      <c r="D50" s="17"/>
      <c r="E50" s="14"/>
      <c r="F50" s="17"/>
      <c r="G50" s="14"/>
      <c r="H50" s="17"/>
      <c r="I50" s="14"/>
      <c r="J50" s="17"/>
      <c r="K50" s="14"/>
      <c r="L50" s="17"/>
      <c r="M50" s="14"/>
      <c r="N50" s="17"/>
      <c r="O50" s="17"/>
      <c r="P50" s="3"/>
    </row>
    <row r="51" spans="1:16" x14ac:dyDescent="0.2"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3"/>
    </row>
    <row r="52" spans="1:16" x14ac:dyDescent="0.2">
      <c r="A52" s="8">
        <v>121</v>
      </c>
      <c r="B52" s="12" t="s">
        <v>27</v>
      </c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3"/>
    </row>
    <row r="53" spans="1:16" x14ac:dyDescent="0.2">
      <c r="B53" s="12" t="s">
        <v>28</v>
      </c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3"/>
    </row>
    <row r="54" spans="1:16" x14ac:dyDescent="0.2">
      <c r="C54" s="3" t="s">
        <v>29</v>
      </c>
      <c r="D54" s="16">
        <v>971313.09999999986</v>
      </c>
      <c r="E54" s="14"/>
      <c r="F54" s="93">
        <v>0</v>
      </c>
      <c r="G54" s="14"/>
      <c r="H54" s="93">
        <v>0</v>
      </c>
      <c r="I54" s="14"/>
      <c r="J54" s="93">
        <v>0</v>
      </c>
      <c r="K54" s="14"/>
      <c r="L54" s="16">
        <f>F54+H54+J54</f>
        <v>0</v>
      </c>
      <c r="M54" s="14"/>
      <c r="N54" s="16">
        <f>D54+L54</f>
        <v>971313.09999999986</v>
      </c>
      <c r="O54" s="17"/>
      <c r="P54" s="3"/>
    </row>
    <row r="55" spans="1:16" x14ac:dyDescent="0.2"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7"/>
      <c r="O55" s="17"/>
      <c r="P55" s="3"/>
    </row>
    <row r="56" spans="1:16" x14ac:dyDescent="0.2">
      <c r="C56" s="12" t="s">
        <v>30</v>
      </c>
      <c r="D56" s="16">
        <f>SUM(D54)</f>
        <v>971313.09999999986</v>
      </c>
      <c r="E56" s="14"/>
      <c r="F56" s="16">
        <f>SUM(F54)</f>
        <v>0</v>
      </c>
      <c r="G56" s="14"/>
      <c r="H56" s="16">
        <f>SUM(H54)</f>
        <v>0</v>
      </c>
      <c r="I56" s="14"/>
      <c r="J56" s="16">
        <f>SUM(J54)</f>
        <v>0</v>
      </c>
      <c r="K56" s="14"/>
      <c r="L56" s="16">
        <f>SUM(L54)</f>
        <v>0</v>
      </c>
      <c r="M56" s="14"/>
      <c r="N56" s="16">
        <f>SUM(N54)</f>
        <v>971313.09999999986</v>
      </c>
      <c r="O56" s="17"/>
      <c r="P56" s="3"/>
    </row>
    <row r="57" spans="1:16" x14ac:dyDescent="0.2">
      <c r="C57" s="12"/>
      <c r="D57" s="17"/>
      <c r="E57" s="14"/>
      <c r="F57" s="17"/>
      <c r="G57" s="14"/>
      <c r="H57" s="17"/>
      <c r="I57" s="14"/>
      <c r="J57" s="17"/>
      <c r="K57" s="14"/>
      <c r="L57" s="17"/>
      <c r="M57" s="14"/>
      <c r="N57" s="17"/>
      <c r="O57" s="17"/>
      <c r="P57" s="3"/>
    </row>
    <row r="58" spans="1:16" x14ac:dyDescent="0.2"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3"/>
    </row>
    <row r="59" spans="1:16" x14ac:dyDescent="0.2">
      <c r="A59" s="8">
        <v>107</v>
      </c>
      <c r="B59" s="12" t="s">
        <v>31</v>
      </c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3"/>
    </row>
    <row r="60" spans="1:16" x14ac:dyDescent="0.2">
      <c r="B60" s="12" t="s">
        <v>11</v>
      </c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3"/>
    </row>
    <row r="61" spans="1:16" x14ac:dyDescent="0.2">
      <c r="C61" s="3" t="s">
        <v>11</v>
      </c>
      <c r="D61" s="16">
        <v>267026967.55000007</v>
      </c>
      <c r="E61" s="14"/>
      <c r="F61" s="16">
        <v>-86233847.280000001</v>
      </c>
      <c r="G61" s="14"/>
      <c r="H61" s="16">
        <v>0</v>
      </c>
      <c r="I61" s="14"/>
      <c r="J61" s="16">
        <v>0</v>
      </c>
      <c r="K61" s="14"/>
      <c r="L61" s="16">
        <f>F61+H61+J61</f>
        <v>-86233847.280000001</v>
      </c>
      <c r="M61" s="14"/>
      <c r="N61" s="16">
        <f>D61+L61</f>
        <v>180793120.27000007</v>
      </c>
      <c r="O61" s="17"/>
      <c r="P61" s="3"/>
    </row>
    <row r="62" spans="1:16" x14ac:dyDescent="0.2">
      <c r="C62" s="20"/>
      <c r="D62" s="17"/>
      <c r="E62" s="14"/>
      <c r="F62" s="17"/>
      <c r="G62" s="14"/>
      <c r="H62" s="17"/>
      <c r="I62" s="14"/>
      <c r="J62" s="17"/>
      <c r="K62" s="14"/>
      <c r="L62" s="17"/>
      <c r="M62" s="14"/>
      <c r="N62" s="17"/>
      <c r="O62" s="17"/>
      <c r="P62" s="3"/>
    </row>
    <row r="63" spans="1:16" x14ac:dyDescent="0.2">
      <c r="C63" s="12" t="s">
        <v>32</v>
      </c>
      <c r="D63" s="16">
        <f>SUM(D61)</f>
        <v>267026967.55000007</v>
      </c>
      <c r="E63" s="14"/>
      <c r="F63" s="16">
        <f>SUM(F61)</f>
        <v>-86233847.280000001</v>
      </c>
      <c r="G63" s="14"/>
      <c r="H63" s="16">
        <f>SUM(H61)</f>
        <v>0</v>
      </c>
      <c r="I63" s="14"/>
      <c r="J63" s="16">
        <f>SUM(J61)</f>
        <v>0</v>
      </c>
      <c r="K63" s="14"/>
      <c r="L63" s="16">
        <f>SUM(L61)</f>
        <v>-86233847.280000001</v>
      </c>
      <c r="M63" s="14"/>
      <c r="N63" s="16">
        <f>SUM(N61)</f>
        <v>180793120.27000007</v>
      </c>
      <c r="O63" s="17"/>
      <c r="P63" s="3"/>
    </row>
    <row r="64" spans="1:16" x14ac:dyDescent="0.2">
      <c r="C64" s="12"/>
      <c r="D64" s="17"/>
      <c r="E64" s="14"/>
      <c r="F64" s="17"/>
      <c r="G64" s="14"/>
      <c r="H64" s="17"/>
      <c r="I64" s="14"/>
      <c r="J64" s="17"/>
      <c r="K64" s="14"/>
      <c r="L64" s="17"/>
      <c r="M64" s="14"/>
      <c r="N64" s="17"/>
      <c r="O64" s="17"/>
      <c r="P64" s="3"/>
    </row>
    <row r="65" spans="2:16" x14ac:dyDescent="0.2">
      <c r="C65" s="12"/>
      <c r="D65" s="17"/>
      <c r="E65" s="14"/>
      <c r="F65" s="17"/>
      <c r="G65" s="14"/>
      <c r="H65" s="17"/>
      <c r="I65" s="14"/>
      <c r="J65" s="17"/>
      <c r="K65" s="14"/>
      <c r="L65" s="17"/>
      <c r="M65" s="14"/>
      <c r="N65" s="17"/>
      <c r="O65" s="17"/>
      <c r="P65" s="3"/>
    </row>
    <row r="66" spans="2:16" x14ac:dyDescent="0.2">
      <c r="D66" s="14"/>
      <c r="E66" s="14"/>
      <c r="F66" s="14"/>
      <c r="G66" s="14"/>
      <c r="H66" s="14"/>
      <c r="I66" s="14"/>
      <c r="J66" s="17"/>
      <c r="K66" s="14"/>
      <c r="L66" s="14"/>
      <c r="M66" s="14"/>
      <c r="N66" s="14"/>
      <c r="O66" s="14"/>
      <c r="P66" s="3"/>
    </row>
    <row r="67" spans="2:16" ht="13.5" thickBot="1" x14ac:dyDescent="0.25">
      <c r="B67" s="12" t="s">
        <v>33</v>
      </c>
      <c r="D67" s="21">
        <f>D56+D36+D19+D49+D27</f>
        <v>8815953246.782999</v>
      </c>
      <c r="E67" s="14"/>
      <c r="F67" s="21">
        <f>F56+F36+F19+F49+F27</f>
        <v>410270093.52999997</v>
      </c>
      <c r="G67" s="14"/>
      <c r="H67" s="21">
        <f>H56+H36+H19+H49+H27</f>
        <v>-60891331.049999997</v>
      </c>
      <c r="I67" s="14"/>
      <c r="J67" s="21">
        <f>J56+J36+J19+J49+J27</f>
        <v>-78605890.499999985</v>
      </c>
      <c r="K67" s="14"/>
      <c r="L67" s="21">
        <f>L56+L36+L19+L49+L27</f>
        <v>270772871.97999996</v>
      </c>
      <c r="M67" s="14"/>
      <c r="N67" s="21">
        <f>N56+N36+N19+N49+N27</f>
        <v>9086726118.7630005</v>
      </c>
      <c r="O67" s="17"/>
      <c r="P67" s="3"/>
    </row>
    <row r="68" spans="2:16" ht="13.5" thickTop="1" x14ac:dyDescent="0.2">
      <c r="B68" s="12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3"/>
    </row>
    <row r="69" spans="2:16" x14ac:dyDescent="0.2">
      <c r="B69" s="12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3"/>
    </row>
    <row r="70" spans="2:16" ht="13.5" thickBot="1" x14ac:dyDescent="0.25">
      <c r="B70" s="12" t="s">
        <v>34</v>
      </c>
      <c r="D70" s="21">
        <f>D63+D67</f>
        <v>9082980214.3329983</v>
      </c>
      <c r="E70" s="14"/>
      <c r="F70" s="21">
        <f>F63+F67</f>
        <v>324036246.25</v>
      </c>
      <c r="G70" s="14"/>
      <c r="H70" s="21">
        <f>H63+H67</f>
        <v>-60891331.049999997</v>
      </c>
      <c r="I70" s="14"/>
      <c r="J70" s="21">
        <f>J63+J67</f>
        <v>-78605890.499999985</v>
      </c>
      <c r="K70" s="14"/>
      <c r="L70" s="21">
        <f>L63+L67</f>
        <v>184539024.69999996</v>
      </c>
      <c r="M70" s="14"/>
      <c r="N70" s="21">
        <f>N63+N67</f>
        <v>9267519239.0330009</v>
      </c>
      <c r="O70" s="17"/>
      <c r="P70" s="3"/>
    </row>
    <row r="71" spans="2:16" ht="13.5" thickTop="1" x14ac:dyDescent="0.2">
      <c r="B71" s="12"/>
      <c r="D71" s="17"/>
      <c r="E71" s="14"/>
      <c r="F71" s="17"/>
      <c r="G71" s="14"/>
      <c r="H71" s="17"/>
      <c r="I71" s="14"/>
      <c r="J71" s="17"/>
      <c r="K71" s="14"/>
      <c r="L71" s="17"/>
      <c r="M71" s="14"/>
      <c r="N71" s="17"/>
      <c r="O71" s="17"/>
      <c r="P71" s="3"/>
    </row>
    <row r="72" spans="2:16" x14ac:dyDescent="0.2">
      <c r="B72" s="12"/>
      <c r="D72" s="17"/>
      <c r="E72" s="14"/>
      <c r="F72" s="17"/>
      <c r="G72" s="14"/>
      <c r="H72" s="17"/>
      <c r="I72" s="14"/>
      <c r="J72" s="17"/>
      <c r="K72" s="14"/>
      <c r="L72" s="17"/>
      <c r="M72" s="14"/>
      <c r="N72" s="17"/>
      <c r="O72" s="17"/>
      <c r="P72" s="3"/>
    </row>
    <row r="73" spans="2:16" ht="13.5" thickBot="1" x14ac:dyDescent="0.25">
      <c r="B73" s="12" t="s">
        <v>35</v>
      </c>
      <c r="D73" s="21">
        <f>D70-D56</f>
        <v>9082008901.2329979</v>
      </c>
      <c r="E73" s="14"/>
      <c r="F73" s="21">
        <f>F70-F56</f>
        <v>324036246.25</v>
      </c>
      <c r="G73" s="14"/>
      <c r="H73" s="21">
        <f>H70-H56</f>
        <v>-60891331.049999997</v>
      </c>
      <c r="I73" s="14"/>
      <c r="J73" s="21">
        <f>J70-J56</f>
        <v>-78605890.499999985</v>
      </c>
      <c r="K73" s="14"/>
      <c r="L73" s="21">
        <f>L70-L56</f>
        <v>184539024.69999996</v>
      </c>
      <c r="M73" s="14"/>
      <c r="N73" s="21">
        <f>N70-N56</f>
        <v>9266547925.9330006</v>
      </c>
      <c r="O73" s="17"/>
      <c r="P73" s="3"/>
    </row>
    <row r="74" spans="2:16" ht="13.5" thickTop="1" x14ac:dyDescent="0.2"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3"/>
    </row>
    <row r="75" spans="2:16" x14ac:dyDescent="0.2"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3"/>
    </row>
    <row r="76" spans="2:16" x14ac:dyDescent="0.2"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3"/>
    </row>
    <row r="77" spans="2:16" x14ac:dyDescent="0.2">
      <c r="C77" s="22"/>
      <c r="D77" s="23"/>
      <c r="E77" s="13"/>
      <c r="F77" s="13"/>
      <c r="G77" s="13"/>
      <c r="H77" s="13"/>
      <c r="I77" s="13"/>
      <c r="J77" s="13"/>
      <c r="K77" s="13"/>
      <c r="L77" s="13"/>
      <c r="M77" s="13"/>
      <c r="N77" s="94" t="s">
        <v>36</v>
      </c>
      <c r="O77" s="94"/>
      <c r="P77" s="3"/>
    </row>
    <row r="78" spans="2:16" x14ac:dyDescent="0.2">
      <c r="C78" s="24"/>
      <c r="D78" s="2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3"/>
    </row>
    <row r="79" spans="2:16" x14ac:dyDescent="0.2">
      <c r="C79" s="22"/>
      <c r="D79" s="2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3"/>
    </row>
    <row r="80" spans="2:16" x14ac:dyDescent="0.2">
      <c r="C80" s="24"/>
      <c r="D80" s="2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3"/>
    </row>
    <row r="81" spans="4:16" x14ac:dyDescent="0.2"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3"/>
    </row>
    <row r="82" spans="4:16" x14ac:dyDescent="0.2"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3"/>
    </row>
    <row r="83" spans="4:16" x14ac:dyDescent="0.2"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3"/>
    </row>
    <row r="84" spans="4:16" x14ac:dyDescent="0.2"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3"/>
    </row>
    <row r="85" spans="4:16" x14ac:dyDescent="0.2"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3"/>
    </row>
    <row r="86" spans="4:16" x14ac:dyDescent="0.2"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3"/>
    </row>
  </sheetData>
  <mergeCells count="3">
    <mergeCell ref="A1:N1"/>
    <mergeCell ref="A2:N2"/>
    <mergeCell ref="A3:N3"/>
  </mergeCells>
  <printOptions horizontalCentered="1"/>
  <pageMargins left="0.75" right="0.75" top="1" bottom="1" header="0.5" footer="0.5"/>
  <pageSetup scale="67" fitToHeight="2" orientation="landscape" r:id="rId1"/>
  <headerFooter alignWithMargins="0">
    <oddFooter>&amp;R&amp;"Times New Roman,Bold"&amp;12Case No. 2018-00295
Attachment 6 to Response to US DOD-2 Question No. 7   
Page &amp;P of &amp;N
Garrett</oddFooter>
  </headerFooter>
  <rowBreaks count="1" manualBreakCount="1">
    <brk id="51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61"/>
  <sheetViews>
    <sheetView zoomScale="80" zoomScaleNormal="80" workbookViewId="0">
      <selection sqref="A1:R1"/>
    </sheetView>
  </sheetViews>
  <sheetFormatPr defaultRowHeight="12.75" x14ac:dyDescent="0.2"/>
  <cols>
    <col min="1" max="1" width="9.140625" style="3"/>
    <col min="2" max="2" width="32.42578125" style="3" customWidth="1"/>
    <col min="3" max="3" width="17.7109375" style="19" customWidth="1"/>
    <col min="4" max="4" width="1.7109375" style="3" customWidth="1"/>
    <col min="5" max="5" width="17.7109375" style="19" customWidth="1"/>
    <col min="6" max="6" width="1.7109375" style="3" customWidth="1"/>
    <col min="7" max="7" width="17.7109375" style="19" customWidth="1"/>
    <col min="8" max="8" width="1.7109375" style="3" customWidth="1"/>
    <col min="9" max="9" width="17.7109375" style="19" customWidth="1"/>
    <col min="10" max="10" width="1.7109375" style="3" customWidth="1"/>
    <col min="11" max="11" width="17.7109375" style="19" customWidth="1"/>
    <col min="12" max="12" width="1.7109375" style="3" customWidth="1"/>
    <col min="13" max="13" width="17.7109375" style="19" customWidth="1"/>
    <col min="14" max="14" width="1.7109375" style="3" customWidth="1"/>
    <col min="15" max="15" width="17.7109375" style="19" customWidth="1"/>
    <col min="16" max="16" width="1.7109375" style="3" customWidth="1"/>
    <col min="17" max="17" width="18.140625" style="19" customWidth="1"/>
    <col min="18" max="18" width="1.7109375" style="3" customWidth="1"/>
    <col min="19" max="19" width="17.7109375" style="19" customWidth="1"/>
    <col min="20" max="20" width="2.85546875" style="3" customWidth="1"/>
    <col min="21" max="21" width="16.7109375" style="3" customWidth="1"/>
    <col min="22" max="22" width="3" style="3" customWidth="1"/>
    <col min="23" max="23" width="16.7109375" style="3" bestFit="1" customWidth="1"/>
    <col min="24" max="24" width="14.5703125" style="3" bestFit="1" customWidth="1"/>
    <col min="25" max="16384" width="9.140625" style="3"/>
  </cols>
  <sheetData>
    <row r="1" spans="1:24" x14ac:dyDescent="0.2">
      <c r="A1" s="142" t="s">
        <v>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</row>
    <row r="2" spans="1:24" x14ac:dyDescent="0.2">
      <c r="A2" s="142" t="s">
        <v>3208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</row>
    <row r="3" spans="1:24" x14ac:dyDescent="0.2">
      <c r="A3" s="144" t="str">
        <f>'KU_Summary - Cost - P1 (REG)'!A3:N3</f>
        <v>DECEMBER 2016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</row>
    <row r="4" spans="1:24" x14ac:dyDescent="0.2">
      <c r="A4" s="4"/>
      <c r="B4" s="4"/>
      <c r="C4" s="25"/>
      <c r="D4" s="4"/>
      <c r="E4" s="25"/>
      <c r="F4" s="4"/>
      <c r="G4" s="25"/>
      <c r="H4" s="4"/>
      <c r="I4" s="25"/>
      <c r="J4" s="4"/>
      <c r="K4" s="25"/>
      <c r="L4" s="4"/>
      <c r="M4" s="25"/>
      <c r="N4" s="4"/>
      <c r="O4" s="25"/>
      <c r="P4" s="4"/>
      <c r="Q4" s="25"/>
      <c r="R4" s="4"/>
      <c r="S4" s="25"/>
    </row>
    <row r="5" spans="1:24" x14ac:dyDescent="0.2">
      <c r="A5" s="4"/>
      <c r="B5" s="4"/>
      <c r="C5" s="25"/>
      <c r="D5" s="4"/>
      <c r="E5" s="25"/>
      <c r="F5" s="4"/>
      <c r="G5" s="25"/>
      <c r="H5" s="4"/>
      <c r="I5" s="25"/>
      <c r="J5" s="4"/>
      <c r="K5" s="25"/>
      <c r="L5" s="4"/>
      <c r="M5" s="25"/>
      <c r="N5" s="4"/>
      <c r="O5" s="25"/>
      <c r="P5" s="4"/>
      <c r="Q5" s="25"/>
      <c r="R5" s="4"/>
      <c r="S5" s="25"/>
    </row>
    <row r="6" spans="1:24" x14ac:dyDescent="0.2">
      <c r="A6" s="4"/>
      <c r="B6" s="4"/>
      <c r="C6" s="25"/>
      <c r="D6" s="4"/>
      <c r="E6" s="25"/>
      <c r="F6" s="4"/>
      <c r="G6" s="25" t="s">
        <v>3209</v>
      </c>
      <c r="H6" s="4"/>
      <c r="I6" s="25" t="s">
        <v>3209</v>
      </c>
      <c r="J6" s="4"/>
      <c r="K6" s="25" t="s">
        <v>3209</v>
      </c>
      <c r="L6" s="4"/>
      <c r="M6" s="25" t="s">
        <v>3209</v>
      </c>
      <c r="N6" s="4"/>
      <c r="O6" s="25" t="s">
        <v>3209</v>
      </c>
      <c r="P6" s="4"/>
      <c r="Q6" s="25" t="s">
        <v>3209</v>
      </c>
      <c r="R6" s="4"/>
      <c r="S6" s="25"/>
      <c r="T6" s="4"/>
      <c r="U6" s="25"/>
    </row>
    <row r="7" spans="1:24" x14ac:dyDescent="0.2">
      <c r="C7" s="25" t="s">
        <v>3209</v>
      </c>
      <c r="D7" s="2"/>
      <c r="E7" s="25" t="s">
        <v>3209</v>
      </c>
      <c r="F7" s="2"/>
      <c r="G7" s="11" t="s">
        <v>3210</v>
      </c>
      <c r="H7" s="2"/>
      <c r="I7" s="25" t="s">
        <v>3211</v>
      </c>
      <c r="J7" s="2"/>
      <c r="K7" s="25" t="s">
        <v>3212</v>
      </c>
      <c r="L7" s="2"/>
      <c r="M7" s="25" t="s">
        <v>3213</v>
      </c>
      <c r="N7" s="2"/>
      <c r="O7" s="25" t="s">
        <v>3214</v>
      </c>
      <c r="P7" s="2"/>
      <c r="Q7" s="25" t="s">
        <v>3215</v>
      </c>
      <c r="R7" s="2"/>
      <c r="S7" s="25"/>
      <c r="T7" s="2"/>
      <c r="U7" s="25"/>
    </row>
    <row r="8" spans="1:24" x14ac:dyDescent="0.2">
      <c r="A8" s="12"/>
      <c r="C8" s="10" t="s">
        <v>39</v>
      </c>
      <c r="D8" s="2"/>
      <c r="E8" s="10" t="s">
        <v>3216</v>
      </c>
      <c r="F8" s="2"/>
      <c r="G8" s="10" t="s">
        <v>3217</v>
      </c>
      <c r="H8" s="2"/>
      <c r="I8" s="10" t="s">
        <v>3218</v>
      </c>
      <c r="J8" s="2"/>
      <c r="K8" s="10" t="s">
        <v>3218</v>
      </c>
      <c r="L8" s="2"/>
      <c r="M8" s="10" t="s">
        <v>3219</v>
      </c>
      <c r="N8" s="2"/>
      <c r="O8" s="10" t="s">
        <v>3220</v>
      </c>
      <c r="P8" s="2"/>
      <c r="Q8" s="10" t="s">
        <v>3221</v>
      </c>
      <c r="R8" s="2"/>
      <c r="S8" s="10" t="s">
        <v>3222</v>
      </c>
      <c r="T8" s="2"/>
      <c r="U8" s="10" t="s">
        <v>3223</v>
      </c>
    </row>
    <row r="9" spans="1:24" x14ac:dyDescent="0.2">
      <c r="A9" s="12"/>
      <c r="C9" s="25"/>
      <c r="D9" s="2"/>
      <c r="E9" s="25"/>
      <c r="F9" s="2"/>
      <c r="G9" s="2"/>
      <c r="H9" s="2"/>
      <c r="I9" s="25"/>
      <c r="J9" s="2"/>
      <c r="K9" s="25"/>
      <c r="L9" s="2"/>
      <c r="M9" s="25"/>
      <c r="N9" s="2"/>
      <c r="O9" s="25"/>
      <c r="P9" s="2"/>
      <c r="Q9" s="25"/>
      <c r="R9" s="2"/>
      <c r="S9" s="25"/>
      <c r="T9" s="2"/>
      <c r="U9" s="25"/>
    </row>
    <row r="10" spans="1:24" x14ac:dyDescent="0.2">
      <c r="A10" s="12" t="s">
        <v>3224</v>
      </c>
      <c r="C10" s="25"/>
      <c r="D10" s="2"/>
      <c r="E10" s="25"/>
      <c r="F10" s="2"/>
      <c r="G10" s="2"/>
      <c r="H10" s="2"/>
      <c r="I10" s="25"/>
      <c r="J10" s="2"/>
      <c r="K10" s="25"/>
      <c r="L10" s="2"/>
      <c r="M10" s="25"/>
      <c r="N10" s="2"/>
      <c r="O10" s="25"/>
      <c r="P10" s="2"/>
      <c r="Q10" s="25"/>
      <c r="R10" s="2"/>
      <c r="S10" s="25"/>
      <c r="T10" s="2"/>
      <c r="U10" s="25"/>
    </row>
    <row r="11" spans="1:24" x14ac:dyDescent="0.2">
      <c r="B11" s="3" t="s">
        <v>12</v>
      </c>
      <c r="C11" s="19">
        <f>'KU_Summary - Reserve - P2 (REG)'!E10+'KU_Summary - Reserve - P2 (REG)'!E25+'KU_Summary - Reserve - P2 (REG)'!E35</f>
        <v>-44352678.669999994</v>
      </c>
      <c r="D11" s="19"/>
      <c r="E11" s="19">
        <v>0</v>
      </c>
      <c r="F11" s="19"/>
      <c r="G11" s="19">
        <v>0</v>
      </c>
      <c r="H11" s="19"/>
      <c r="I11" s="19">
        <v>0</v>
      </c>
      <c r="J11" s="19"/>
      <c r="K11" s="19">
        <v>0</v>
      </c>
      <c r="L11" s="19"/>
      <c r="M11" s="19">
        <v>0</v>
      </c>
      <c r="N11" s="19"/>
      <c r="O11" s="19">
        <v>0</v>
      </c>
      <c r="P11" s="19"/>
      <c r="Q11" s="19">
        <v>0</v>
      </c>
      <c r="R11" s="19"/>
      <c r="S11" s="19">
        <v>0</v>
      </c>
      <c r="T11" s="19"/>
      <c r="U11" s="19">
        <f>C11-E11+I11+K11+M11+O11+Q11+S11+G11</f>
        <v>-44352678.669999994</v>
      </c>
      <c r="V11" s="19"/>
      <c r="W11" s="15">
        <f>U11</f>
        <v>-44352678.669999994</v>
      </c>
    </row>
    <row r="12" spans="1:24" x14ac:dyDescent="0.2">
      <c r="B12" s="3" t="s">
        <v>46</v>
      </c>
      <c r="C12" s="19">
        <f>'KU_Summary - Reserve - P2 (REG)'!E11</f>
        <v>-23764.83</v>
      </c>
      <c r="D12" s="19"/>
      <c r="E12" s="19">
        <v>0</v>
      </c>
      <c r="F12" s="19"/>
      <c r="G12" s="19">
        <f>-C12</f>
        <v>23764.83</v>
      </c>
      <c r="H12" s="19"/>
      <c r="I12" s="19">
        <v>0</v>
      </c>
      <c r="J12" s="19"/>
      <c r="K12" s="19">
        <v>0</v>
      </c>
      <c r="L12" s="19"/>
      <c r="M12" s="19">
        <v>0</v>
      </c>
      <c r="N12" s="19"/>
      <c r="O12" s="19">
        <v>0</v>
      </c>
      <c r="P12" s="19"/>
      <c r="Q12" s="19">
        <v>0</v>
      </c>
      <c r="R12" s="19"/>
      <c r="S12" s="19">
        <v>0</v>
      </c>
      <c r="T12" s="19"/>
      <c r="U12" s="19">
        <f t="shared" ref="U12:U21" si="0">C12-E12+I12+K12+M12+O12+Q12+S12+G12</f>
        <v>0</v>
      </c>
      <c r="V12" s="19"/>
      <c r="X12" s="15">
        <f>U12</f>
        <v>0</v>
      </c>
    </row>
    <row r="13" spans="1:24" x14ac:dyDescent="0.2">
      <c r="B13" s="3" t="s">
        <v>13</v>
      </c>
      <c r="C13" s="19">
        <f>'KU_Summary - Reserve - P2 (REG)'!E12+'KU_Summary - Reserve - P2 (REG)'!E26+'KU_Summary - Reserve - P2 (REG)'!E36</f>
        <v>-11807754.719999999</v>
      </c>
      <c r="D13" s="19"/>
      <c r="E13" s="19">
        <v>0</v>
      </c>
      <c r="F13" s="19"/>
      <c r="G13" s="19">
        <v>0</v>
      </c>
      <c r="H13" s="19"/>
      <c r="I13" s="19">
        <v>0</v>
      </c>
      <c r="J13" s="19"/>
      <c r="K13" s="19">
        <v>0</v>
      </c>
      <c r="L13" s="19"/>
      <c r="M13" s="19">
        <v>0</v>
      </c>
      <c r="N13" s="19"/>
      <c r="O13" s="35">
        <f>46473.69+46473.66+46473.68+46473.69+46269.02+70717.03+74888.51+75646.63+75685.04+75759.5+75795.61+75813.94</f>
        <v>756470</v>
      </c>
      <c r="P13" s="19"/>
      <c r="Q13" s="19">
        <v>0</v>
      </c>
      <c r="R13" s="19"/>
      <c r="S13" s="19">
        <v>0</v>
      </c>
      <c r="T13" s="19"/>
      <c r="U13" s="19">
        <f t="shared" si="0"/>
        <v>-11051284.719999999</v>
      </c>
      <c r="V13" s="19"/>
      <c r="W13" s="15">
        <f>U13</f>
        <v>-11051284.719999999</v>
      </c>
    </row>
    <row r="14" spans="1:24" x14ac:dyDescent="0.2">
      <c r="B14" s="3" t="s">
        <v>14</v>
      </c>
      <c r="C14" s="19">
        <f>'KU_Summary - Reserve - P2 (REG)'!E13+'KU_Summary - Reserve - P2 (REG)'!E27+'KU_Summary - Reserve - P2 (REG)'!E37</f>
        <v>-1171043.1000000001</v>
      </c>
      <c r="D14" s="19"/>
      <c r="E14" s="19">
        <v>0</v>
      </c>
      <c r="F14" s="19"/>
      <c r="G14" s="19">
        <v>0</v>
      </c>
      <c r="H14" s="19"/>
      <c r="I14" s="19">
        <v>0</v>
      </c>
      <c r="J14" s="19"/>
      <c r="K14" s="19">
        <v>0</v>
      </c>
      <c r="L14" s="19"/>
      <c r="M14" s="19">
        <v>0</v>
      </c>
      <c r="N14" s="19"/>
      <c r="O14" s="19">
        <v>0</v>
      </c>
      <c r="P14" s="19"/>
      <c r="Q14" s="19">
        <v>0</v>
      </c>
      <c r="R14" s="19"/>
      <c r="S14" s="19">
        <v>0</v>
      </c>
      <c r="T14" s="19"/>
      <c r="U14" s="19">
        <f t="shared" si="0"/>
        <v>-1171043.1000000001</v>
      </c>
      <c r="V14" s="19"/>
      <c r="W14" s="15">
        <f>U14</f>
        <v>-1171043.1000000001</v>
      </c>
    </row>
    <row r="15" spans="1:24" x14ac:dyDescent="0.2">
      <c r="B15" s="3" t="s">
        <v>47</v>
      </c>
      <c r="C15" s="19">
        <f>'KU_Summary - Reserve - P2 (REG)'!E14</f>
        <v>-78729.67</v>
      </c>
      <c r="D15" s="19"/>
      <c r="E15" s="19">
        <v>0</v>
      </c>
      <c r="F15" s="19"/>
      <c r="G15" s="19">
        <f>-C15</f>
        <v>78729.67</v>
      </c>
      <c r="H15" s="19"/>
      <c r="I15" s="19">
        <v>0</v>
      </c>
      <c r="J15" s="19"/>
      <c r="K15" s="19">
        <v>0</v>
      </c>
      <c r="L15" s="19"/>
      <c r="M15" s="19">
        <v>0</v>
      </c>
      <c r="N15" s="19"/>
      <c r="O15" s="19">
        <v>0</v>
      </c>
      <c r="P15" s="19"/>
      <c r="Q15" s="19">
        <v>0</v>
      </c>
      <c r="R15" s="19"/>
      <c r="S15" s="19">
        <v>0</v>
      </c>
      <c r="T15" s="19"/>
      <c r="U15" s="19">
        <f t="shared" si="0"/>
        <v>0</v>
      </c>
      <c r="V15" s="19"/>
      <c r="X15" s="15">
        <f>U15</f>
        <v>0</v>
      </c>
    </row>
    <row r="16" spans="1:24" x14ac:dyDescent="0.2">
      <c r="B16" s="3" t="s">
        <v>16</v>
      </c>
      <c r="C16" s="19">
        <f>'KU_Summary - Reserve - P2 (REG)'!E15+'KU_Summary - Reserve - P2 (REG)'!E28+'KU_Summary - Reserve - P2 (REG)'!E38</f>
        <v>-34411796.620000005</v>
      </c>
      <c r="D16" s="19"/>
      <c r="E16" s="19">
        <v>0</v>
      </c>
      <c r="F16" s="19"/>
      <c r="G16" s="19">
        <v>0</v>
      </c>
      <c r="H16" s="19"/>
      <c r="I16" s="19">
        <v>0</v>
      </c>
      <c r="J16" s="19"/>
      <c r="K16" s="19">
        <v>0</v>
      </c>
      <c r="L16" s="19"/>
      <c r="M16" s="35">
        <f>85569.21+85556.56+85556.63+85556.71+85556.71+85556.71+85556.71+85556.71+85556.71+85556.71+85556.71+85735.04</f>
        <v>1026871.12</v>
      </c>
      <c r="N16" s="19"/>
      <c r="O16" s="19">
        <v>0</v>
      </c>
      <c r="P16" s="19"/>
      <c r="Q16" s="19">
        <v>0</v>
      </c>
      <c r="R16" s="19"/>
      <c r="S16" s="19">
        <v>0</v>
      </c>
      <c r="T16" s="19"/>
      <c r="U16" s="19">
        <f t="shared" si="0"/>
        <v>-33384925.500000004</v>
      </c>
      <c r="V16" s="19"/>
      <c r="W16" s="15">
        <f>U16</f>
        <v>-33384925.500000004</v>
      </c>
    </row>
    <row r="17" spans="1:24" x14ac:dyDescent="0.2">
      <c r="B17" s="3" t="s">
        <v>48</v>
      </c>
      <c r="C17" s="19">
        <f>'KU_Summary - Reserve - P2 (REG)'!E16</f>
        <v>-20825.04</v>
      </c>
      <c r="D17" s="19"/>
      <c r="E17" s="19">
        <v>0</v>
      </c>
      <c r="F17" s="19"/>
      <c r="G17" s="19">
        <f>-C17</f>
        <v>20825.04</v>
      </c>
      <c r="H17" s="19"/>
      <c r="I17" s="19">
        <v>0</v>
      </c>
      <c r="J17" s="19"/>
      <c r="K17" s="19">
        <v>0</v>
      </c>
      <c r="L17" s="19"/>
      <c r="M17" s="19">
        <v>0</v>
      </c>
      <c r="N17" s="19"/>
      <c r="O17" s="19">
        <v>0</v>
      </c>
      <c r="P17" s="19"/>
      <c r="Q17" s="19">
        <v>0</v>
      </c>
      <c r="R17" s="19"/>
      <c r="S17" s="19">
        <v>0</v>
      </c>
      <c r="T17" s="19"/>
      <c r="U17" s="19">
        <f t="shared" si="0"/>
        <v>0</v>
      </c>
      <c r="V17" s="19"/>
      <c r="X17" s="15">
        <f>U17</f>
        <v>0</v>
      </c>
    </row>
    <row r="18" spans="1:24" x14ac:dyDescent="0.2">
      <c r="B18" s="3" t="s">
        <v>17</v>
      </c>
      <c r="C18" s="19">
        <f>'KU_Summary - Reserve - P2 (REG)'!E17+'KU_Summary - Reserve - P2 (REG)'!E29+'KU_Summary - Reserve - P2 (REG)'!E39</f>
        <v>-116789035.11999999</v>
      </c>
      <c r="D18" s="19"/>
      <c r="E18" s="19">
        <v>0</v>
      </c>
      <c r="F18" s="19"/>
      <c r="G18" s="19">
        <v>0</v>
      </c>
      <c r="H18" s="19"/>
      <c r="I18" s="19">
        <v>0</v>
      </c>
      <c r="J18" s="19"/>
      <c r="K18" s="19">
        <v>0</v>
      </c>
      <c r="L18" s="19"/>
      <c r="M18" s="19">
        <v>0</v>
      </c>
      <c r="N18" s="19"/>
      <c r="O18" s="19">
        <v>0</v>
      </c>
      <c r="P18" s="19"/>
      <c r="Q18" s="19">
        <v>0</v>
      </c>
      <c r="R18" s="19"/>
      <c r="S18" s="19">
        <v>0</v>
      </c>
      <c r="T18" s="19"/>
      <c r="U18" s="19">
        <f t="shared" si="0"/>
        <v>-116789035.11999999</v>
      </c>
      <c r="V18" s="19"/>
      <c r="W18" s="15">
        <f>U18</f>
        <v>-116789035.11999999</v>
      </c>
    </row>
    <row r="19" spans="1:24" x14ac:dyDescent="0.2">
      <c r="B19" s="3" t="s">
        <v>49</v>
      </c>
      <c r="C19" s="19">
        <f>'KU_Summary - Reserve - P2 (REG)'!E18</f>
        <v>-40945454.460000001</v>
      </c>
      <c r="D19" s="19"/>
      <c r="E19" s="19">
        <v>0</v>
      </c>
      <c r="F19" s="19"/>
      <c r="G19" s="19">
        <f>-C19</f>
        <v>40945454.460000001</v>
      </c>
      <c r="H19" s="19"/>
      <c r="I19" s="19">
        <v>0</v>
      </c>
      <c r="J19" s="19"/>
      <c r="K19" s="19">
        <v>0</v>
      </c>
      <c r="L19" s="19"/>
      <c r="M19" s="19">
        <v>0</v>
      </c>
      <c r="N19" s="19"/>
      <c r="O19" s="19">
        <v>0</v>
      </c>
      <c r="P19" s="19"/>
      <c r="Q19" s="19">
        <v>0</v>
      </c>
      <c r="R19" s="19"/>
      <c r="S19" s="19">
        <v>0</v>
      </c>
      <c r="T19" s="19"/>
      <c r="U19" s="19">
        <f t="shared" si="0"/>
        <v>0</v>
      </c>
      <c r="V19" s="19"/>
      <c r="X19" s="15">
        <f>U19</f>
        <v>0</v>
      </c>
    </row>
    <row r="20" spans="1:24" x14ac:dyDescent="0.2">
      <c r="B20" s="3" t="s">
        <v>18</v>
      </c>
      <c r="C20" s="19">
        <f>'KU_Summary - Reserve - P2 (REG)'!E19+'KU_Summary - Reserve - P2 (REG)'!E30+'KU_Summary - Reserve - P2 (REG)'!E40</f>
        <v>-15391307.15</v>
      </c>
      <c r="D20" s="19"/>
      <c r="E20" s="19">
        <v>0</v>
      </c>
      <c r="F20" s="19"/>
      <c r="G20" s="19">
        <v>0</v>
      </c>
      <c r="H20" s="19"/>
      <c r="I20" s="19">
        <v>0</v>
      </c>
      <c r="J20" s="19"/>
      <c r="K20" s="19">
        <v>0</v>
      </c>
      <c r="L20" s="19"/>
      <c r="M20" s="19">
        <v>0</v>
      </c>
      <c r="N20" s="19"/>
      <c r="O20" s="19">
        <v>0</v>
      </c>
      <c r="P20" s="19"/>
      <c r="Q20" s="19">
        <v>0</v>
      </c>
      <c r="R20" s="19"/>
      <c r="S20" s="19">
        <v>0</v>
      </c>
      <c r="T20" s="19"/>
      <c r="U20" s="19">
        <f t="shared" si="0"/>
        <v>-15391307.15</v>
      </c>
      <c r="V20" s="19"/>
      <c r="W20" s="15">
        <f>U20</f>
        <v>-15391307.15</v>
      </c>
    </row>
    <row r="21" spans="1:24" x14ac:dyDescent="0.2">
      <c r="B21" s="3" t="s">
        <v>50</v>
      </c>
      <c r="C21" s="27">
        <f>'KU_Summary - Reserve - P2 (REG)'!E20</f>
        <v>-10003</v>
      </c>
      <c r="D21" s="19"/>
      <c r="E21" s="27">
        <f>-1054478.91+1054478.91</f>
        <v>0</v>
      </c>
      <c r="F21" s="19"/>
      <c r="G21" s="19">
        <f>-C21</f>
        <v>10003</v>
      </c>
      <c r="H21" s="19"/>
      <c r="I21" s="27">
        <v>0</v>
      </c>
      <c r="J21" s="19"/>
      <c r="K21" s="27">
        <v>0</v>
      </c>
      <c r="L21" s="19"/>
      <c r="M21" s="27">
        <v>0</v>
      </c>
      <c r="N21" s="19"/>
      <c r="O21" s="27">
        <v>0</v>
      </c>
      <c r="P21" s="19"/>
      <c r="Q21" s="27">
        <v>0</v>
      </c>
      <c r="R21" s="19"/>
      <c r="S21" s="27">
        <v>0</v>
      </c>
      <c r="T21" s="19"/>
      <c r="U21" s="19">
        <f t="shared" si="0"/>
        <v>0</v>
      </c>
      <c r="V21" s="19"/>
      <c r="X21" s="15">
        <f>U21</f>
        <v>0</v>
      </c>
    </row>
    <row r="22" spans="1:24" x14ac:dyDescent="0.2">
      <c r="B22" s="20"/>
      <c r="C22" s="26">
        <f>SUM(C11:C21)</f>
        <v>-265002392.38</v>
      </c>
      <c r="D22" s="26"/>
      <c r="E22" s="26">
        <f>SUM(E11:E21)</f>
        <v>0</v>
      </c>
      <c r="F22" s="26"/>
      <c r="G22" s="32">
        <f>SUM(G11:G21)</f>
        <v>41078777</v>
      </c>
      <c r="H22" s="26"/>
      <c r="I22" s="26">
        <f>SUM(I11:I21)</f>
        <v>0</v>
      </c>
      <c r="J22" s="26"/>
      <c r="K22" s="26">
        <f>SUM(K11:K21)</f>
        <v>0</v>
      </c>
      <c r="L22" s="26"/>
      <c r="M22" s="26">
        <f>SUM(M11:M21)</f>
        <v>1026871.12</v>
      </c>
      <c r="N22" s="26"/>
      <c r="O22" s="26">
        <f>SUM(O11:O21)</f>
        <v>756470</v>
      </c>
      <c r="P22" s="26"/>
      <c r="Q22" s="26">
        <f>SUM(Q11:Q21)</f>
        <v>0</v>
      </c>
      <c r="R22" s="26"/>
      <c r="S22" s="26">
        <f>SUM(S11:S21)</f>
        <v>0</v>
      </c>
      <c r="T22" s="26"/>
      <c r="U22" s="32">
        <f>SUM(U11:U21)</f>
        <v>-222140274.25999999</v>
      </c>
      <c r="V22" s="26"/>
      <c r="W22" s="26">
        <f>SUM(W11:W21)</f>
        <v>-222140274.25999999</v>
      </c>
      <c r="X22" s="26">
        <f>SUM(X11:X21)</f>
        <v>0</v>
      </c>
    </row>
    <row r="23" spans="1:24" x14ac:dyDescent="0.2"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59"/>
      <c r="W23" s="59"/>
    </row>
    <row r="24" spans="1:24" x14ac:dyDescent="0.2"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59"/>
    </row>
    <row r="25" spans="1:24" x14ac:dyDescent="0.2">
      <c r="A25" s="12" t="s">
        <v>56</v>
      </c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59"/>
    </row>
    <row r="26" spans="1:24" x14ac:dyDescent="0.2">
      <c r="B26" s="3" t="s">
        <v>3225</v>
      </c>
      <c r="C26" s="26">
        <f>'KU_Summary - Reserve - P2 (REG)'!E66</f>
        <v>-11964819.42</v>
      </c>
      <c r="D26" s="26"/>
      <c r="E26" s="26">
        <v>0</v>
      </c>
      <c r="F26" s="26"/>
      <c r="G26" s="26">
        <v>0</v>
      </c>
      <c r="H26" s="26"/>
      <c r="I26" s="26">
        <v>0</v>
      </c>
      <c r="J26" s="26"/>
      <c r="K26" s="26">
        <v>0</v>
      </c>
      <c r="L26" s="26"/>
      <c r="M26" s="26">
        <v>0</v>
      </c>
      <c r="N26" s="26"/>
      <c r="O26" s="26">
        <v>0</v>
      </c>
      <c r="P26" s="26"/>
      <c r="Q26" s="26">
        <v>0</v>
      </c>
      <c r="R26" s="26"/>
      <c r="S26" s="26">
        <v>0</v>
      </c>
      <c r="T26" s="26"/>
      <c r="U26" s="19">
        <f>C26-E26+I26+K26+M26+O26+Q26+S26</f>
        <v>-11964819.42</v>
      </c>
      <c r="V26" s="26"/>
      <c r="W26" s="59"/>
    </row>
    <row r="27" spans="1:24" x14ac:dyDescent="0.2">
      <c r="B27" s="3" t="s">
        <v>3226</v>
      </c>
      <c r="C27" s="27">
        <v>0</v>
      </c>
      <c r="D27" s="26"/>
      <c r="E27" s="27">
        <v>0</v>
      </c>
      <c r="F27" s="26"/>
      <c r="G27" s="26">
        <v>0</v>
      </c>
      <c r="H27" s="26"/>
      <c r="I27" s="27">
        <v>0</v>
      </c>
      <c r="J27" s="26"/>
      <c r="K27" s="27">
        <v>0</v>
      </c>
      <c r="L27" s="26"/>
      <c r="M27" s="27">
        <v>0</v>
      </c>
      <c r="N27" s="26"/>
      <c r="O27" s="27">
        <v>0</v>
      </c>
      <c r="P27" s="26"/>
      <c r="Q27" s="27">
        <v>0</v>
      </c>
      <c r="R27" s="26"/>
      <c r="S27" s="27">
        <v>0</v>
      </c>
      <c r="T27" s="26"/>
      <c r="U27" s="27">
        <f>C27-E27+I27+K27+M27+O27+Q27+S27</f>
        <v>0</v>
      </c>
      <c r="V27" s="26"/>
      <c r="W27" s="59"/>
    </row>
    <row r="28" spans="1:24" x14ac:dyDescent="0.2">
      <c r="B28" s="20"/>
      <c r="C28" s="26">
        <f>SUM(C26:C27)</f>
        <v>-11964819.42</v>
      </c>
      <c r="D28" s="26"/>
      <c r="E28" s="26">
        <f>SUM(E26:E27)</f>
        <v>0</v>
      </c>
      <c r="F28" s="26"/>
      <c r="G28" s="32">
        <f>SUM(G26:G27)</f>
        <v>0</v>
      </c>
      <c r="H28" s="26"/>
      <c r="I28" s="26">
        <f>SUM(I26:I27)</f>
        <v>0</v>
      </c>
      <c r="J28" s="26"/>
      <c r="K28" s="26">
        <f>SUM(K26:K27)</f>
        <v>0</v>
      </c>
      <c r="L28" s="26"/>
      <c r="M28" s="26">
        <f>SUM(M26:M27)</f>
        <v>0</v>
      </c>
      <c r="N28" s="26"/>
      <c r="O28" s="26">
        <f>SUM(O26:O27)</f>
        <v>0</v>
      </c>
      <c r="P28" s="26"/>
      <c r="Q28" s="26">
        <f>SUM(Q26:Q27)</f>
        <v>0</v>
      </c>
      <c r="R28" s="26"/>
      <c r="S28" s="26">
        <f>SUM(S26:S27)</f>
        <v>0</v>
      </c>
      <c r="T28" s="26"/>
      <c r="U28" s="26">
        <f>SUM(U26:U27)</f>
        <v>-11964819.42</v>
      </c>
      <c r="V28" s="26"/>
      <c r="W28" s="59"/>
    </row>
    <row r="29" spans="1:24" x14ac:dyDescent="0.2">
      <c r="B29" s="20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59"/>
    </row>
    <row r="30" spans="1:24" x14ac:dyDescent="0.2">
      <c r="D30" s="19"/>
      <c r="F30" s="19"/>
      <c r="H30" s="19"/>
      <c r="J30" s="19"/>
      <c r="L30" s="19"/>
      <c r="N30" s="19"/>
      <c r="P30" s="19"/>
      <c r="R30" s="19"/>
      <c r="T30" s="19"/>
      <c r="U30" s="19"/>
      <c r="V30" s="19"/>
    </row>
    <row r="31" spans="1:24" ht="13.5" thickBot="1" x14ac:dyDescent="0.25">
      <c r="B31" s="12" t="s">
        <v>3227</v>
      </c>
      <c r="C31" s="33">
        <f>C28+C22</f>
        <v>-276967211.80000001</v>
      </c>
      <c r="D31" s="19"/>
      <c r="F31" s="19"/>
      <c r="H31" s="19"/>
      <c r="J31" s="19"/>
      <c r="L31" s="19"/>
      <c r="N31" s="19"/>
      <c r="P31" s="19"/>
      <c r="R31" s="19"/>
      <c r="T31" s="19"/>
      <c r="U31" s="33">
        <f>U28+U22</f>
        <v>-234105093.67999998</v>
      </c>
      <c r="V31" s="19"/>
    </row>
    <row r="32" spans="1:24" ht="13.5" thickTop="1" x14ac:dyDescent="0.2">
      <c r="D32" s="19"/>
      <c r="F32" s="19"/>
      <c r="H32" s="19"/>
      <c r="J32" s="19"/>
      <c r="L32" s="19"/>
      <c r="N32" s="19"/>
      <c r="P32" s="19"/>
      <c r="R32" s="19"/>
      <c r="T32" s="19"/>
    </row>
    <row r="33" spans="4:21" x14ac:dyDescent="0.2">
      <c r="D33" s="19"/>
      <c r="F33" s="19"/>
      <c r="H33" s="19"/>
      <c r="J33" s="19"/>
      <c r="L33" s="19"/>
      <c r="N33" s="19"/>
      <c r="P33" s="19"/>
      <c r="R33" s="19"/>
      <c r="T33" s="19"/>
    </row>
    <row r="34" spans="4:21" x14ac:dyDescent="0.2">
      <c r="D34" s="19"/>
      <c r="F34" s="19"/>
      <c r="H34" s="19"/>
      <c r="J34" s="19"/>
      <c r="L34" s="19"/>
      <c r="N34" s="19"/>
      <c r="P34" s="19"/>
      <c r="R34" s="19"/>
      <c r="T34" s="19"/>
    </row>
    <row r="35" spans="4:21" x14ac:dyDescent="0.2">
      <c r="D35" s="19"/>
      <c r="F35" s="19"/>
      <c r="H35" s="19"/>
      <c r="J35" s="19"/>
      <c r="L35" s="19"/>
      <c r="N35" s="19"/>
      <c r="P35" s="19"/>
      <c r="R35" s="19"/>
      <c r="T35" s="19"/>
    </row>
    <row r="36" spans="4:21" x14ac:dyDescent="0.2">
      <c r="D36" s="19"/>
      <c r="F36" s="19"/>
      <c r="H36" s="19"/>
      <c r="J36" s="19"/>
      <c r="L36" s="19"/>
      <c r="N36" s="19"/>
      <c r="O36" s="19" t="s">
        <v>3228</v>
      </c>
      <c r="P36" s="19"/>
      <c r="R36" s="19"/>
      <c r="T36" s="19"/>
    </row>
    <row r="37" spans="4:21" x14ac:dyDescent="0.2">
      <c r="D37" s="19"/>
      <c r="F37" s="19"/>
      <c r="H37" s="19"/>
      <c r="J37" s="19"/>
      <c r="L37" s="19"/>
      <c r="N37" s="19"/>
      <c r="P37" s="19"/>
      <c r="Q37" s="107" t="s">
        <v>279</v>
      </c>
      <c r="R37" s="19"/>
      <c r="S37" s="35">
        <v>-222140274.25999999</v>
      </c>
      <c r="T37" s="19"/>
    </row>
    <row r="38" spans="4:21" x14ac:dyDescent="0.2">
      <c r="D38" s="19"/>
      <c r="F38" s="19"/>
      <c r="H38" s="19"/>
      <c r="J38" s="19"/>
      <c r="L38" s="19"/>
      <c r="N38" s="19"/>
      <c r="P38" s="19"/>
      <c r="Q38" s="107" t="s">
        <v>3229</v>
      </c>
      <c r="R38" s="19"/>
      <c r="S38" s="35">
        <v>0</v>
      </c>
      <c r="T38" s="19"/>
    </row>
    <row r="39" spans="4:21" x14ac:dyDescent="0.2">
      <c r="D39" s="19"/>
      <c r="F39" s="19"/>
      <c r="H39" s="19"/>
      <c r="J39" s="19"/>
      <c r="L39" s="19"/>
      <c r="N39" s="19"/>
      <c r="P39" s="19"/>
      <c r="Q39" s="107" t="s">
        <v>3230</v>
      </c>
      <c r="R39" s="19"/>
      <c r="S39" s="35">
        <v>-11964819.42</v>
      </c>
      <c r="T39" s="19"/>
    </row>
    <row r="40" spans="4:21" ht="13.5" thickBot="1" x14ac:dyDescent="0.25">
      <c r="D40" s="34"/>
      <c r="F40" s="34"/>
      <c r="H40" s="34"/>
      <c r="J40" s="34"/>
      <c r="L40" s="34"/>
      <c r="N40" s="34"/>
      <c r="P40" s="34"/>
      <c r="R40" s="34"/>
      <c r="S40" s="33">
        <f>SUM(S37:S39)</f>
        <v>-234105093.67999998</v>
      </c>
      <c r="T40" s="34"/>
    </row>
    <row r="41" spans="4:21" ht="13.5" thickTop="1" x14ac:dyDescent="0.2">
      <c r="D41" s="34"/>
      <c r="F41" s="34"/>
      <c r="H41" s="34"/>
      <c r="J41" s="34"/>
      <c r="L41" s="34"/>
      <c r="N41" s="34"/>
      <c r="P41" s="34"/>
      <c r="R41" s="34"/>
      <c r="T41" s="34"/>
    </row>
    <row r="42" spans="4:21" x14ac:dyDescent="0.2">
      <c r="D42" s="34"/>
      <c r="F42" s="34"/>
      <c r="H42" s="34"/>
      <c r="J42" s="34"/>
      <c r="L42" s="34"/>
      <c r="N42" s="34"/>
      <c r="P42" s="34"/>
      <c r="R42" s="34"/>
      <c r="S42" s="19">
        <f>U31-S40</f>
        <v>0</v>
      </c>
      <c r="T42" s="34"/>
    </row>
    <row r="43" spans="4:21" x14ac:dyDescent="0.2">
      <c r="D43" s="34"/>
      <c r="F43" s="34"/>
      <c r="H43" s="34"/>
      <c r="J43" s="34"/>
      <c r="L43" s="34"/>
      <c r="N43" s="34"/>
      <c r="P43" s="34"/>
      <c r="R43" s="34"/>
      <c r="T43" s="34"/>
    </row>
    <row r="44" spans="4:21" x14ac:dyDescent="0.2">
      <c r="D44" s="34"/>
      <c r="F44" s="34"/>
      <c r="H44" s="34"/>
      <c r="J44" s="34"/>
      <c r="L44" s="34"/>
      <c r="N44" s="34"/>
      <c r="P44" s="34"/>
      <c r="R44" s="34"/>
      <c r="T44" s="34"/>
      <c r="U44" s="15"/>
    </row>
    <row r="45" spans="4:21" x14ac:dyDescent="0.2">
      <c r="D45" s="34"/>
      <c r="F45" s="34"/>
      <c r="H45" s="34"/>
      <c r="J45" s="34"/>
      <c r="L45" s="34"/>
      <c r="N45" s="34"/>
      <c r="P45" s="34"/>
      <c r="R45" s="34"/>
      <c r="T45" s="34"/>
    </row>
    <row r="46" spans="4:21" x14ac:dyDescent="0.2">
      <c r="D46" s="34"/>
      <c r="F46" s="34"/>
      <c r="H46" s="34"/>
      <c r="J46" s="34"/>
      <c r="L46" s="34"/>
      <c r="N46" s="34"/>
      <c r="P46" s="34"/>
      <c r="R46" s="34"/>
      <c r="T46" s="34"/>
    </row>
    <row r="47" spans="4:21" x14ac:dyDescent="0.2">
      <c r="D47" s="34"/>
      <c r="F47" s="34"/>
      <c r="H47" s="34"/>
      <c r="J47" s="34"/>
      <c r="L47" s="34"/>
      <c r="N47" s="34"/>
      <c r="P47" s="34"/>
      <c r="R47" s="34"/>
      <c r="T47" s="34"/>
    </row>
    <row r="48" spans="4:21" x14ac:dyDescent="0.2">
      <c r="D48" s="34"/>
      <c r="F48" s="34"/>
      <c r="H48" s="34"/>
      <c r="J48" s="34"/>
      <c r="L48" s="34"/>
      <c r="N48" s="34"/>
      <c r="P48" s="34"/>
      <c r="R48" s="34"/>
      <c r="T48" s="34"/>
    </row>
    <row r="49" spans="4:20" x14ac:dyDescent="0.2">
      <c r="D49" s="34"/>
      <c r="F49" s="34"/>
      <c r="H49" s="34"/>
      <c r="J49" s="34"/>
      <c r="L49" s="34"/>
      <c r="N49" s="34"/>
      <c r="P49" s="34"/>
      <c r="R49" s="34"/>
      <c r="T49" s="34"/>
    </row>
    <row r="50" spans="4:20" x14ac:dyDescent="0.2">
      <c r="D50" s="34"/>
      <c r="F50" s="34"/>
      <c r="H50" s="34"/>
      <c r="J50" s="34"/>
      <c r="L50" s="34"/>
      <c r="N50" s="34"/>
      <c r="P50" s="34"/>
      <c r="R50" s="34"/>
      <c r="T50" s="34"/>
    </row>
    <row r="51" spans="4:20" x14ac:dyDescent="0.2">
      <c r="D51" s="34"/>
      <c r="F51" s="34"/>
      <c r="H51" s="34"/>
      <c r="J51" s="34"/>
      <c r="L51" s="34"/>
      <c r="N51" s="34"/>
      <c r="P51" s="34"/>
      <c r="R51" s="34"/>
      <c r="T51" s="34"/>
    </row>
    <row r="52" spans="4:20" x14ac:dyDescent="0.2">
      <c r="D52" s="34"/>
      <c r="F52" s="34"/>
      <c r="H52" s="34"/>
      <c r="J52" s="34"/>
      <c r="L52" s="34"/>
      <c r="N52" s="34"/>
      <c r="P52" s="34"/>
      <c r="R52" s="34"/>
      <c r="T52" s="34"/>
    </row>
    <row r="53" spans="4:20" x14ac:dyDescent="0.2">
      <c r="D53" s="34"/>
      <c r="F53" s="34"/>
      <c r="H53" s="34"/>
      <c r="J53" s="34"/>
      <c r="L53" s="34"/>
      <c r="N53" s="34"/>
      <c r="P53" s="34"/>
      <c r="R53" s="34"/>
      <c r="T53" s="34"/>
    </row>
    <row r="54" spans="4:20" x14ac:dyDescent="0.2">
      <c r="D54" s="34"/>
      <c r="F54" s="34"/>
      <c r="H54" s="34"/>
      <c r="J54" s="34"/>
      <c r="L54" s="34"/>
      <c r="N54" s="34"/>
      <c r="P54" s="34"/>
      <c r="R54" s="34"/>
      <c r="T54" s="34"/>
    </row>
    <row r="55" spans="4:20" x14ac:dyDescent="0.2">
      <c r="D55" s="34"/>
      <c r="F55" s="34"/>
      <c r="H55" s="34"/>
      <c r="J55" s="34"/>
      <c r="L55" s="34"/>
      <c r="N55" s="34"/>
      <c r="P55" s="34"/>
      <c r="R55" s="34"/>
      <c r="T55" s="34"/>
    </row>
    <row r="56" spans="4:20" x14ac:dyDescent="0.2">
      <c r="D56" s="34"/>
      <c r="F56" s="34"/>
      <c r="H56" s="34"/>
      <c r="J56" s="34"/>
      <c r="L56" s="34"/>
      <c r="N56" s="34"/>
      <c r="P56" s="34"/>
      <c r="R56" s="34"/>
      <c r="T56" s="34"/>
    </row>
    <row r="57" spans="4:20" x14ac:dyDescent="0.2">
      <c r="D57" s="34"/>
      <c r="F57" s="34"/>
      <c r="H57" s="34"/>
      <c r="J57" s="34"/>
      <c r="L57" s="34"/>
      <c r="N57" s="34"/>
      <c r="P57" s="34"/>
      <c r="R57" s="34"/>
      <c r="T57" s="34"/>
    </row>
    <row r="58" spans="4:20" x14ac:dyDescent="0.2">
      <c r="D58" s="34"/>
      <c r="F58" s="34"/>
      <c r="H58" s="34"/>
      <c r="J58" s="34"/>
      <c r="L58" s="34"/>
      <c r="N58" s="34"/>
      <c r="P58" s="34"/>
      <c r="R58" s="34"/>
      <c r="T58" s="34"/>
    </row>
    <row r="59" spans="4:20" x14ac:dyDescent="0.2">
      <c r="D59" s="34"/>
      <c r="F59" s="34"/>
      <c r="H59" s="34"/>
      <c r="J59" s="34"/>
      <c r="L59" s="34"/>
      <c r="N59" s="34"/>
      <c r="P59" s="34"/>
      <c r="R59" s="34"/>
      <c r="T59" s="34"/>
    </row>
    <row r="60" spans="4:20" x14ac:dyDescent="0.2">
      <c r="D60" s="34"/>
      <c r="F60" s="34"/>
      <c r="H60" s="34"/>
      <c r="J60" s="34"/>
      <c r="L60" s="34"/>
      <c r="N60" s="34"/>
      <c r="P60" s="34"/>
      <c r="R60" s="34"/>
      <c r="T60" s="34"/>
    </row>
    <row r="61" spans="4:20" x14ac:dyDescent="0.2">
      <c r="D61" s="34"/>
      <c r="F61" s="34"/>
      <c r="H61" s="34"/>
      <c r="J61" s="34"/>
      <c r="L61" s="34"/>
      <c r="N61" s="34"/>
      <c r="P61" s="34"/>
      <c r="R61" s="34"/>
      <c r="T61" s="34"/>
    </row>
    <row r="62" spans="4:20" x14ac:dyDescent="0.2">
      <c r="D62" s="34"/>
      <c r="F62" s="34"/>
      <c r="H62" s="34"/>
      <c r="J62" s="34"/>
      <c r="L62" s="34"/>
      <c r="N62" s="34"/>
      <c r="P62" s="34"/>
      <c r="R62" s="34"/>
      <c r="T62" s="34"/>
    </row>
    <row r="63" spans="4:20" x14ac:dyDescent="0.2">
      <c r="D63" s="34"/>
      <c r="F63" s="34"/>
      <c r="H63" s="34"/>
      <c r="J63" s="34"/>
      <c r="L63" s="34"/>
      <c r="N63" s="34"/>
      <c r="P63" s="34"/>
      <c r="R63" s="34"/>
      <c r="T63" s="34"/>
    </row>
    <row r="64" spans="4:20" x14ac:dyDescent="0.2">
      <c r="D64" s="34"/>
      <c r="F64" s="34"/>
      <c r="H64" s="34"/>
      <c r="J64" s="34"/>
      <c r="L64" s="34"/>
      <c r="N64" s="34"/>
      <c r="P64" s="34"/>
      <c r="R64" s="34"/>
      <c r="T64" s="34"/>
    </row>
    <row r="65" spans="4:20" x14ac:dyDescent="0.2">
      <c r="D65" s="34"/>
      <c r="F65" s="34"/>
      <c r="H65" s="34"/>
      <c r="J65" s="34"/>
      <c r="L65" s="34"/>
      <c r="N65" s="34"/>
      <c r="P65" s="34"/>
      <c r="R65" s="34"/>
      <c r="T65" s="34"/>
    </row>
    <row r="66" spans="4:20" x14ac:dyDescent="0.2">
      <c r="D66" s="34"/>
      <c r="F66" s="34"/>
      <c r="H66" s="34"/>
      <c r="J66" s="34"/>
      <c r="L66" s="34"/>
      <c r="N66" s="34"/>
      <c r="P66" s="34"/>
      <c r="R66" s="34"/>
      <c r="T66" s="34"/>
    </row>
    <row r="67" spans="4:20" x14ac:dyDescent="0.2">
      <c r="D67" s="34"/>
      <c r="F67" s="34"/>
      <c r="H67" s="34"/>
      <c r="J67" s="34"/>
      <c r="L67" s="34"/>
      <c r="N67" s="34"/>
      <c r="P67" s="34"/>
      <c r="R67" s="34"/>
      <c r="T67" s="34"/>
    </row>
    <row r="68" spans="4:20" x14ac:dyDescent="0.2">
      <c r="D68" s="34"/>
      <c r="F68" s="34"/>
      <c r="H68" s="34"/>
      <c r="J68" s="34"/>
      <c r="L68" s="34"/>
      <c r="N68" s="34"/>
      <c r="P68" s="34"/>
      <c r="R68" s="34"/>
      <c r="T68" s="34"/>
    </row>
    <row r="69" spans="4:20" x14ac:dyDescent="0.2">
      <c r="D69" s="34"/>
      <c r="F69" s="34"/>
      <c r="H69" s="34"/>
      <c r="J69" s="34"/>
      <c r="L69" s="34"/>
      <c r="N69" s="34"/>
      <c r="P69" s="34"/>
      <c r="R69" s="34"/>
      <c r="T69" s="34"/>
    </row>
    <row r="70" spans="4:20" x14ac:dyDescent="0.2">
      <c r="D70" s="34"/>
      <c r="F70" s="34"/>
      <c r="H70" s="34"/>
      <c r="J70" s="34"/>
      <c r="L70" s="34"/>
      <c r="N70" s="34"/>
      <c r="P70" s="34"/>
      <c r="R70" s="34"/>
      <c r="T70" s="34"/>
    </row>
    <row r="71" spans="4:20" x14ac:dyDescent="0.2">
      <c r="D71" s="34"/>
      <c r="F71" s="34"/>
      <c r="H71" s="34"/>
      <c r="J71" s="34"/>
      <c r="L71" s="34"/>
      <c r="N71" s="34"/>
      <c r="P71" s="34"/>
      <c r="R71" s="34"/>
      <c r="T71" s="34"/>
    </row>
    <row r="72" spans="4:20" x14ac:dyDescent="0.2">
      <c r="D72" s="34"/>
      <c r="F72" s="34"/>
      <c r="H72" s="34"/>
      <c r="J72" s="34"/>
      <c r="L72" s="34"/>
      <c r="N72" s="34"/>
      <c r="P72" s="34"/>
      <c r="R72" s="34"/>
      <c r="T72" s="34"/>
    </row>
    <row r="73" spans="4:20" x14ac:dyDescent="0.2">
      <c r="D73" s="34"/>
      <c r="F73" s="34"/>
      <c r="H73" s="34"/>
      <c r="J73" s="34"/>
      <c r="L73" s="34"/>
      <c r="N73" s="34"/>
      <c r="P73" s="34"/>
      <c r="R73" s="34"/>
      <c r="T73" s="34"/>
    </row>
    <row r="74" spans="4:20" x14ac:dyDescent="0.2">
      <c r="D74" s="34"/>
      <c r="F74" s="34"/>
      <c r="H74" s="34"/>
      <c r="J74" s="34"/>
      <c r="L74" s="34"/>
      <c r="N74" s="34"/>
      <c r="P74" s="34"/>
      <c r="R74" s="34"/>
      <c r="T74" s="34"/>
    </row>
    <row r="75" spans="4:20" x14ac:dyDescent="0.2">
      <c r="D75" s="34"/>
      <c r="F75" s="34"/>
      <c r="H75" s="34"/>
      <c r="J75" s="34"/>
      <c r="L75" s="34"/>
      <c r="N75" s="34"/>
      <c r="P75" s="34"/>
      <c r="R75" s="34"/>
      <c r="T75" s="34"/>
    </row>
    <row r="76" spans="4:20" x14ac:dyDescent="0.2">
      <c r="D76" s="34"/>
      <c r="F76" s="34"/>
      <c r="H76" s="34"/>
      <c r="J76" s="34"/>
      <c r="L76" s="34"/>
      <c r="N76" s="34"/>
      <c r="P76" s="34"/>
      <c r="R76" s="34"/>
      <c r="T76" s="34"/>
    </row>
    <row r="77" spans="4:20" x14ac:dyDescent="0.2">
      <c r="D77" s="34"/>
      <c r="F77" s="34"/>
      <c r="H77" s="34"/>
      <c r="J77" s="34"/>
      <c r="L77" s="34"/>
      <c r="N77" s="34"/>
      <c r="P77" s="34"/>
      <c r="R77" s="34"/>
      <c r="T77" s="34"/>
    </row>
    <row r="78" spans="4:20" x14ac:dyDescent="0.2">
      <c r="D78" s="34"/>
      <c r="F78" s="34"/>
      <c r="H78" s="34"/>
      <c r="J78" s="34"/>
      <c r="L78" s="34"/>
      <c r="N78" s="34"/>
      <c r="P78" s="34"/>
      <c r="R78" s="34"/>
      <c r="T78" s="34"/>
    </row>
    <row r="79" spans="4:20" x14ac:dyDescent="0.2">
      <c r="D79" s="34"/>
      <c r="F79" s="34"/>
      <c r="H79" s="34"/>
      <c r="J79" s="34"/>
      <c r="L79" s="34"/>
      <c r="N79" s="34"/>
      <c r="P79" s="34"/>
      <c r="R79" s="34"/>
      <c r="T79" s="34"/>
    </row>
    <row r="80" spans="4:20" x14ac:dyDescent="0.2">
      <c r="D80" s="34"/>
      <c r="F80" s="34"/>
      <c r="H80" s="34"/>
      <c r="J80" s="34"/>
      <c r="L80" s="34"/>
      <c r="N80" s="34"/>
      <c r="P80" s="34"/>
      <c r="R80" s="34"/>
      <c r="T80" s="34"/>
    </row>
    <row r="81" spans="4:20" x14ac:dyDescent="0.2">
      <c r="D81" s="34"/>
      <c r="F81" s="34"/>
      <c r="H81" s="34"/>
      <c r="J81" s="34"/>
      <c r="L81" s="34"/>
      <c r="N81" s="34"/>
      <c r="P81" s="34"/>
      <c r="R81" s="34"/>
      <c r="T81" s="34"/>
    </row>
    <row r="82" spans="4:20" x14ac:dyDescent="0.2">
      <c r="D82" s="34"/>
      <c r="F82" s="34"/>
      <c r="H82" s="34"/>
      <c r="J82" s="34"/>
      <c r="L82" s="34"/>
      <c r="N82" s="34"/>
      <c r="P82" s="34"/>
      <c r="R82" s="34"/>
      <c r="T82" s="34"/>
    </row>
    <row r="83" spans="4:20" x14ac:dyDescent="0.2">
      <c r="D83" s="34"/>
      <c r="F83" s="34"/>
      <c r="H83" s="34"/>
      <c r="J83" s="34"/>
      <c r="L83" s="34"/>
      <c r="N83" s="34"/>
      <c r="P83" s="34"/>
      <c r="R83" s="34"/>
      <c r="T83" s="34"/>
    </row>
    <row r="84" spans="4:20" x14ac:dyDescent="0.2">
      <c r="D84" s="34"/>
      <c r="F84" s="34"/>
      <c r="H84" s="34"/>
      <c r="J84" s="34"/>
      <c r="L84" s="34"/>
      <c r="N84" s="34"/>
      <c r="P84" s="34"/>
      <c r="R84" s="34"/>
      <c r="T84" s="34"/>
    </row>
    <row r="85" spans="4:20" x14ac:dyDescent="0.2">
      <c r="D85" s="34"/>
      <c r="F85" s="34"/>
      <c r="H85" s="34"/>
      <c r="J85" s="34"/>
      <c r="L85" s="34"/>
      <c r="N85" s="34"/>
      <c r="P85" s="34"/>
      <c r="R85" s="34"/>
      <c r="T85" s="34"/>
    </row>
    <row r="86" spans="4:20" x14ac:dyDescent="0.2">
      <c r="D86" s="34"/>
      <c r="F86" s="34"/>
      <c r="H86" s="34"/>
      <c r="J86" s="34"/>
      <c r="L86" s="34"/>
      <c r="N86" s="34"/>
      <c r="P86" s="34"/>
      <c r="R86" s="34"/>
      <c r="T86" s="34"/>
    </row>
    <row r="87" spans="4:20" x14ac:dyDescent="0.2">
      <c r="D87" s="34"/>
      <c r="F87" s="34"/>
      <c r="H87" s="34"/>
      <c r="J87" s="34"/>
      <c r="L87" s="34"/>
      <c r="N87" s="34"/>
      <c r="P87" s="34"/>
      <c r="R87" s="34"/>
      <c r="T87" s="34"/>
    </row>
    <row r="88" spans="4:20" x14ac:dyDescent="0.2">
      <c r="D88" s="34"/>
      <c r="F88" s="34"/>
      <c r="H88" s="34"/>
      <c r="J88" s="34"/>
      <c r="L88" s="34"/>
      <c r="N88" s="34"/>
      <c r="P88" s="34"/>
      <c r="R88" s="34"/>
      <c r="T88" s="34"/>
    </row>
    <row r="89" spans="4:20" x14ac:dyDescent="0.2">
      <c r="D89" s="34"/>
      <c r="F89" s="34"/>
      <c r="H89" s="34"/>
      <c r="J89" s="34"/>
      <c r="L89" s="34"/>
      <c r="N89" s="34"/>
      <c r="P89" s="34"/>
      <c r="R89" s="34"/>
      <c r="T89" s="34"/>
    </row>
    <row r="90" spans="4:20" x14ac:dyDescent="0.2">
      <c r="D90" s="34"/>
      <c r="F90" s="34"/>
      <c r="H90" s="34"/>
      <c r="J90" s="34"/>
      <c r="L90" s="34"/>
      <c r="N90" s="34"/>
      <c r="P90" s="34"/>
      <c r="R90" s="34"/>
      <c r="T90" s="34"/>
    </row>
    <row r="91" spans="4:20" x14ac:dyDescent="0.2">
      <c r="D91" s="34"/>
      <c r="F91" s="34"/>
      <c r="H91" s="34"/>
      <c r="J91" s="34"/>
      <c r="L91" s="34"/>
      <c r="N91" s="34"/>
      <c r="P91" s="34"/>
      <c r="R91" s="34"/>
      <c r="T91" s="34"/>
    </row>
    <row r="92" spans="4:20" x14ac:dyDescent="0.2">
      <c r="D92" s="34"/>
      <c r="F92" s="34"/>
      <c r="H92" s="34"/>
      <c r="J92" s="34"/>
      <c r="L92" s="34"/>
      <c r="N92" s="34"/>
      <c r="P92" s="34"/>
      <c r="R92" s="34"/>
      <c r="T92" s="34"/>
    </row>
    <row r="93" spans="4:20" x14ac:dyDescent="0.2">
      <c r="D93" s="34"/>
      <c r="F93" s="34"/>
      <c r="H93" s="34"/>
      <c r="J93" s="34"/>
      <c r="L93" s="34"/>
      <c r="N93" s="34"/>
      <c r="P93" s="34"/>
      <c r="R93" s="34"/>
      <c r="T93" s="34"/>
    </row>
    <row r="94" spans="4:20" x14ac:dyDescent="0.2">
      <c r="D94" s="34"/>
      <c r="F94" s="34"/>
      <c r="H94" s="34"/>
      <c r="J94" s="34"/>
      <c r="L94" s="34"/>
      <c r="N94" s="34"/>
      <c r="P94" s="34"/>
      <c r="R94" s="34"/>
      <c r="T94" s="34"/>
    </row>
    <row r="95" spans="4:20" x14ac:dyDescent="0.2">
      <c r="D95" s="34"/>
      <c r="F95" s="34"/>
      <c r="H95" s="34"/>
      <c r="J95" s="34"/>
      <c r="L95" s="34"/>
      <c r="N95" s="34"/>
      <c r="P95" s="34"/>
      <c r="R95" s="34"/>
      <c r="T95" s="34"/>
    </row>
    <row r="96" spans="4:20" x14ac:dyDescent="0.2">
      <c r="D96" s="34"/>
      <c r="F96" s="34"/>
      <c r="H96" s="34"/>
      <c r="J96" s="34"/>
      <c r="L96" s="34"/>
      <c r="N96" s="34"/>
      <c r="P96" s="34"/>
      <c r="R96" s="34"/>
      <c r="T96" s="34"/>
    </row>
    <row r="97" spans="4:20" x14ac:dyDescent="0.2">
      <c r="D97" s="34"/>
      <c r="F97" s="34"/>
      <c r="H97" s="34"/>
      <c r="J97" s="34"/>
      <c r="L97" s="34"/>
      <c r="N97" s="34"/>
      <c r="P97" s="34"/>
      <c r="R97" s="34"/>
      <c r="T97" s="34"/>
    </row>
    <row r="98" spans="4:20" x14ac:dyDescent="0.2">
      <c r="D98" s="34"/>
      <c r="F98" s="34"/>
      <c r="H98" s="34"/>
      <c r="J98" s="34"/>
      <c r="L98" s="34"/>
      <c r="N98" s="34"/>
      <c r="P98" s="34"/>
      <c r="R98" s="34"/>
      <c r="T98" s="34"/>
    </row>
    <row r="99" spans="4:20" x14ac:dyDescent="0.2">
      <c r="D99" s="34"/>
      <c r="F99" s="34"/>
      <c r="H99" s="34"/>
      <c r="J99" s="34"/>
      <c r="L99" s="34"/>
      <c r="N99" s="34"/>
      <c r="P99" s="34"/>
      <c r="R99" s="34"/>
      <c r="T99" s="34"/>
    </row>
    <row r="100" spans="4:20" x14ac:dyDescent="0.2">
      <c r="D100" s="34"/>
      <c r="F100" s="34"/>
      <c r="H100" s="34"/>
      <c r="J100" s="34"/>
      <c r="L100" s="34"/>
      <c r="N100" s="34"/>
      <c r="P100" s="34"/>
      <c r="R100" s="34"/>
      <c r="T100" s="34"/>
    </row>
    <row r="101" spans="4:20" x14ac:dyDescent="0.2">
      <c r="D101" s="34"/>
      <c r="F101" s="34"/>
      <c r="H101" s="34"/>
      <c r="J101" s="34"/>
      <c r="L101" s="34"/>
      <c r="N101" s="34"/>
      <c r="P101" s="34"/>
      <c r="R101" s="34"/>
      <c r="T101" s="34"/>
    </row>
    <row r="102" spans="4:20" x14ac:dyDescent="0.2">
      <c r="D102" s="34"/>
      <c r="F102" s="34"/>
      <c r="H102" s="34"/>
      <c r="J102" s="34"/>
      <c r="L102" s="34"/>
      <c r="N102" s="34"/>
      <c r="P102" s="34"/>
      <c r="R102" s="34"/>
      <c r="T102" s="34"/>
    </row>
    <row r="103" spans="4:20" x14ac:dyDescent="0.2">
      <c r="D103" s="34"/>
      <c r="F103" s="34"/>
      <c r="H103" s="34"/>
      <c r="J103" s="34"/>
      <c r="L103" s="34"/>
      <c r="N103" s="34"/>
      <c r="P103" s="34"/>
      <c r="R103" s="34"/>
      <c r="T103" s="34"/>
    </row>
    <row r="104" spans="4:20" x14ac:dyDescent="0.2">
      <c r="D104" s="34"/>
      <c r="F104" s="34"/>
      <c r="H104" s="34"/>
      <c r="J104" s="34"/>
      <c r="L104" s="34"/>
      <c r="N104" s="34"/>
      <c r="P104" s="34"/>
      <c r="R104" s="34"/>
      <c r="T104" s="34"/>
    </row>
    <row r="105" spans="4:20" x14ac:dyDescent="0.2">
      <c r="D105" s="34"/>
      <c r="F105" s="34"/>
      <c r="H105" s="34"/>
      <c r="J105" s="34"/>
      <c r="L105" s="34"/>
      <c r="N105" s="34"/>
      <c r="P105" s="34"/>
      <c r="R105" s="34"/>
      <c r="T105" s="34"/>
    </row>
    <row r="106" spans="4:20" x14ac:dyDescent="0.2">
      <c r="D106" s="34"/>
      <c r="F106" s="34"/>
      <c r="H106" s="34"/>
      <c r="J106" s="34"/>
      <c r="L106" s="34"/>
      <c r="N106" s="34"/>
      <c r="P106" s="34"/>
      <c r="R106" s="34"/>
      <c r="T106" s="34"/>
    </row>
    <row r="107" spans="4:20" x14ac:dyDescent="0.2">
      <c r="D107" s="34"/>
      <c r="F107" s="34"/>
      <c r="H107" s="34"/>
      <c r="J107" s="34"/>
      <c r="L107" s="34"/>
      <c r="N107" s="34"/>
      <c r="P107" s="34"/>
      <c r="R107" s="34"/>
      <c r="T107" s="34"/>
    </row>
    <row r="108" spans="4:20" x14ac:dyDescent="0.2">
      <c r="D108" s="34"/>
      <c r="F108" s="34"/>
      <c r="H108" s="34"/>
      <c r="J108" s="34"/>
      <c r="L108" s="34"/>
      <c r="N108" s="34"/>
      <c r="P108" s="34"/>
      <c r="R108" s="34"/>
      <c r="T108" s="34"/>
    </row>
    <row r="109" spans="4:20" x14ac:dyDescent="0.2">
      <c r="D109" s="34"/>
      <c r="F109" s="34"/>
      <c r="H109" s="34"/>
      <c r="J109" s="34"/>
      <c r="L109" s="34"/>
      <c r="N109" s="34"/>
      <c r="P109" s="34"/>
      <c r="R109" s="34"/>
      <c r="T109" s="34"/>
    </row>
    <row r="110" spans="4:20" x14ac:dyDescent="0.2">
      <c r="D110" s="34"/>
      <c r="F110" s="34"/>
      <c r="H110" s="34"/>
      <c r="J110" s="34"/>
      <c r="L110" s="34"/>
      <c r="N110" s="34"/>
      <c r="P110" s="34"/>
      <c r="R110" s="34"/>
      <c r="T110" s="34"/>
    </row>
    <row r="111" spans="4:20" x14ac:dyDescent="0.2">
      <c r="D111" s="34"/>
      <c r="F111" s="34"/>
      <c r="H111" s="34"/>
      <c r="J111" s="34"/>
      <c r="L111" s="34"/>
      <c r="N111" s="34"/>
      <c r="P111" s="34"/>
      <c r="R111" s="34"/>
      <c r="T111" s="34"/>
    </row>
    <row r="112" spans="4:20" x14ac:dyDescent="0.2">
      <c r="D112" s="34"/>
      <c r="F112" s="34"/>
      <c r="H112" s="34"/>
      <c r="J112" s="34"/>
      <c r="L112" s="34"/>
      <c r="N112" s="34"/>
      <c r="P112" s="34"/>
      <c r="R112" s="34"/>
      <c r="T112" s="34"/>
    </row>
    <row r="113" spans="4:20" x14ac:dyDescent="0.2">
      <c r="D113" s="34"/>
      <c r="F113" s="34"/>
      <c r="H113" s="34"/>
      <c r="J113" s="34"/>
      <c r="L113" s="34"/>
      <c r="N113" s="34"/>
      <c r="P113" s="34"/>
      <c r="R113" s="34"/>
      <c r="T113" s="34"/>
    </row>
    <row r="114" spans="4:20" x14ac:dyDescent="0.2">
      <c r="D114" s="34"/>
      <c r="F114" s="34"/>
      <c r="H114" s="34"/>
      <c r="J114" s="34"/>
      <c r="L114" s="34"/>
      <c r="N114" s="34"/>
      <c r="P114" s="34"/>
      <c r="R114" s="34"/>
      <c r="T114" s="34"/>
    </row>
    <row r="115" spans="4:20" x14ac:dyDescent="0.2">
      <c r="D115" s="34"/>
      <c r="F115" s="34"/>
      <c r="H115" s="34"/>
      <c r="J115" s="34"/>
      <c r="L115" s="34"/>
      <c r="N115" s="34"/>
      <c r="P115" s="34"/>
      <c r="R115" s="34"/>
      <c r="T115" s="34"/>
    </row>
    <row r="116" spans="4:20" x14ac:dyDescent="0.2">
      <c r="D116" s="34"/>
      <c r="F116" s="34"/>
      <c r="H116" s="34"/>
      <c r="J116" s="34"/>
      <c r="L116" s="34"/>
      <c r="N116" s="34"/>
      <c r="P116" s="34"/>
      <c r="R116" s="34"/>
      <c r="T116" s="34"/>
    </row>
    <row r="117" spans="4:20" x14ac:dyDescent="0.2">
      <c r="D117" s="34"/>
      <c r="F117" s="34"/>
      <c r="H117" s="34"/>
      <c r="J117" s="34"/>
      <c r="L117" s="34"/>
      <c r="N117" s="34"/>
      <c r="P117" s="34"/>
      <c r="R117" s="34"/>
      <c r="T117" s="34"/>
    </row>
    <row r="118" spans="4:20" x14ac:dyDescent="0.2">
      <c r="D118" s="34"/>
      <c r="F118" s="34"/>
      <c r="H118" s="34"/>
      <c r="J118" s="34"/>
      <c r="L118" s="34"/>
      <c r="N118" s="34"/>
      <c r="P118" s="34"/>
      <c r="R118" s="34"/>
      <c r="T118" s="34"/>
    </row>
    <row r="119" spans="4:20" x14ac:dyDescent="0.2">
      <c r="D119" s="34"/>
      <c r="F119" s="34"/>
      <c r="H119" s="34"/>
      <c r="J119" s="34"/>
      <c r="L119" s="34"/>
      <c r="N119" s="34"/>
      <c r="P119" s="34"/>
      <c r="R119" s="34"/>
      <c r="T119" s="34"/>
    </row>
    <row r="120" spans="4:20" x14ac:dyDescent="0.2">
      <c r="D120" s="34"/>
      <c r="F120" s="34"/>
      <c r="H120" s="34"/>
      <c r="J120" s="34"/>
      <c r="L120" s="34"/>
      <c r="N120" s="34"/>
      <c r="P120" s="34"/>
      <c r="R120" s="34"/>
      <c r="T120" s="34"/>
    </row>
    <row r="121" spans="4:20" x14ac:dyDescent="0.2">
      <c r="D121" s="34"/>
      <c r="F121" s="34"/>
      <c r="H121" s="34"/>
      <c r="J121" s="34"/>
      <c r="L121" s="34"/>
      <c r="N121" s="34"/>
      <c r="P121" s="34"/>
      <c r="R121" s="34"/>
      <c r="T121" s="34"/>
    </row>
    <row r="122" spans="4:20" x14ac:dyDescent="0.2">
      <c r="D122" s="34"/>
      <c r="F122" s="34"/>
      <c r="H122" s="34"/>
      <c r="J122" s="34"/>
      <c r="L122" s="34"/>
      <c r="N122" s="34"/>
      <c r="P122" s="34"/>
      <c r="R122" s="34"/>
      <c r="T122" s="34"/>
    </row>
    <row r="123" spans="4:20" x14ac:dyDescent="0.2">
      <c r="D123" s="34"/>
      <c r="F123" s="34"/>
      <c r="H123" s="34"/>
      <c r="J123" s="34"/>
      <c r="L123" s="34"/>
      <c r="N123" s="34"/>
      <c r="P123" s="34"/>
      <c r="R123" s="34"/>
      <c r="T123" s="34"/>
    </row>
    <row r="124" spans="4:20" x14ac:dyDescent="0.2">
      <c r="D124" s="34"/>
      <c r="F124" s="34"/>
      <c r="H124" s="34"/>
      <c r="J124" s="34"/>
      <c r="L124" s="34"/>
      <c r="N124" s="34"/>
      <c r="P124" s="34"/>
      <c r="R124" s="34"/>
      <c r="T124" s="34"/>
    </row>
    <row r="125" spans="4:20" x14ac:dyDescent="0.2">
      <c r="D125" s="34"/>
      <c r="F125" s="34"/>
      <c r="H125" s="34"/>
      <c r="J125" s="34"/>
      <c r="L125" s="34"/>
      <c r="N125" s="34"/>
      <c r="P125" s="34"/>
      <c r="R125" s="34"/>
      <c r="T125" s="34"/>
    </row>
    <row r="126" spans="4:20" x14ac:dyDescent="0.2">
      <c r="D126" s="34"/>
      <c r="F126" s="34"/>
      <c r="H126" s="34"/>
      <c r="J126" s="34"/>
      <c r="L126" s="34"/>
      <c r="N126" s="34"/>
      <c r="P126" s="34"/>
      <c r="R126" s="34"/>
      <c r="T126" s="34"/>
    </row>
    <row r="127" spans="4:20" x14ac:dyDescent="0.2">
      <c r="D127" s="34"/>
      <c r="F127" s="34"/>
      <c r="H127" s="34"/>
      <c r="J127" s="34"/>
      <c r="L127" s="34"/>
      <c r="N127" s="34"/>
      <c r="P127" s="34"/>
      <c r="R127" s="34"/>
      <c r="T127" s="34"/>
    </row>
    <row r="128" spans="4:20" x14ac:dyDescent="0.2">
      <c r="D128" s="34"/>
      <c r="F128" s="34"/>
      <c r="H128" s="34"/>
      <c r="J128" s="34"/>
      <c r="L128" s="34"/>
      <c r="N128" s="34"/>
      <c r="P128" s="34"/>
      <c r="R128" s="34"/>
      <c r="T128" s="34"/>
    </row>
    <row r="129" spans="4:20" x14ac:dyDescent="0.2">
      <c r="D129" s="34"/>
      <c r="F129" s="34"/>
      <c r="H129" s="34"/>
      <c r="J129" s="34"/>
      <c r="L129" s="34"/>
      <c r="N129" s="34"/>
      <c r="P129" s="34"/>
      <c r="R129" s="34"/>
      <c r="T129" s="34"/>
    </row>
    <row r="130" spans="4:20" x14ac:dyDescent="0.2">
      <c r="D130" s="34"/>
      <c r="F130" s="34"/>
      <c r="H130" s="34"/>
      <c r="J130" s="34"/>
      <c r="L130" s="34"/>
      <c r="N130" s="34"/>
      <c r="P130" s="34"/>
      <c r="R130" s="34"/>
      <c r="T130" s="34"/>
    </row>
    <row r="131" spans="4:20" x14ac:dyDescent="0.2">
      <c r="D131" s="34"/>
      <c r="F131" s="34"/>
      <c r="H131" s="34"/>
      <c r="J131" s="34"/>
      <c r="L131" s="34"/>
      <c r="N131" s="34"/>
      <c r="P131" s="34"/>
      <c r="R131" s="34"/>
      <c r="T131" s="34"/>
    </row>
    <row r="132" spans="4:20" x14ac:dyDescent="0.2">
      <c r="D132" s="34"/>
      <c r="F132" s="34"/>
      <c r="H132" s="34"/>
      <c r="J132" s="34"/>
      <c r="L132" s="34"/>
      <c r="N132" s="34"/>
      <c r="P132" s="34"/>
      <c r="R132" s="34"/>
      <c r="T132" s="34"/>
    </row>
    <row r="133" spans="4:20" x14ac:dyDescent="0.2">
      <c r="D133" s="34"/>
      <c r="F133" s="34"/>
      <c r="H133" s="34"/>
      <c r="J133" s="34"/>
      <c r="L133" s="34"/>
      <c r="N133" s="34"/>
      <c r="P133" s="34"/>
      <c r="R133" s="34"/>
      <c r="T133" s="34"/>
    </row>
    <row r="134" spans="4:20" x14ac:dyDescent="0.2">
      <c r="D134" s="34"/>
      <c r="F134" s="34"/>
      <c r="H134" s="34"/>
      <c r="J134" s="34"/>
      <c r="L134" s="34"/>
      <c r="N134" s="34"/>
      <c r="P134" s="34"/>
      <c r="R134" s="34"/>
      <c r="T134" s="34"/>
    </row>
    <row r="135" spans="4:20" x14ac:dyDescent="0.2">
      <c r="D135" s="34"/>
      <c r="F135" s="34"/>
      <c r="H135" s="34"/>
      <c r="J135" s="34"/>
      <c r="L135" s="34"/>
      <c r="N135" s="34"/>
      <c r="P135" s="34"/>
      <c r="R135" s="34"/>
      <c r="T135" s="34"/>
    </row>
    <row r="136" spans="4:20" x14ac:dyDescent="0.2">
      <c r="D136" s="34"/>
      <c r="F136" s="34"/>
      <c r="H136" s="34"/>
      <c r="J136" s="34"/>
      <c r="L136" s="34"/>
      <c r="N136" s="34"/>
      <c r="P136" s="34"/>
      <c r="R136" s="34"/>
      <c r="T136" s="34"/>
    </row>
    <row r="137" spans="4:20" x14ac:dyDescent="0.2">
      <c r="D137" s="34"/>
      <c r="F137" s="34"/>
      <c r="H137" s="34"/>
      <c r="J137" s="34"/>
      <c r="L137" s="34"/>
      <c r="N137" s="34"/>
      <c r="P137" s="34"/>
      <c r="R137" s="34"/>
      <c r="T137" s="34"/>
    </row>
    <row r="138" spans="4:20" x14ac:dyDescent="0.2">
      <c r="D138" s="34"/>
      <c r="F138" s="34"/>
      <c r="H138" s="34"/>
      <c r="J138" s="34"/>
      <c r="L138" s="34"/>
      <c r="N138" s="34"/>
      <c r="P138" s="34"/>
      <c r="R138" s="34"/>
      <c r="T138" s="34"/>
    </row>
    <row r="139" spans="4:20" x14ac:dyDescent="0.2">
      <c r="D139" s="34"/>
      <c r="F139" s="34"/>
      <c r="H139" s="34"/>
      <c r="J139" s="34"/>
      <c r="L139" s="34"/>
      <c r="N139" s="34"/>
      <c r="P139" s="34"/>
      <c r="R139" s="34"/>
      <c r="T139" s="34"/>
    </row>
    <row r="140" spans="4:20" x14ac:dyDescent="0.2">
      <c r="D140" s="34"/>
      <c r="F140" s="34"/>
      <c r="H140" s="34"/>
      <c r="J140" s="34"/>
      <c r="L140" s="34"/>
      <c r="N140" s="34"/>
      <c r="P140" s="34"/>
      <c r="R140" s="34"/>
      <c r="T140" s="34"/>
    </row>
    <row r="141" spans="4:20" x14ac:dyDescent="0.2">
      <c r="D141" s="34"/>
      <c r="F141" s="34"/>
      <c r="H141" s="34"/>
      <c r="J141" s="34"/>
      <c r="L141" s="34"/>
      <c r="N141" s="34"/>
      <c r="P141" s="34"/>
      <c r="R141" s="34"/>
      <c r="T141" s="34"/>
    </row>
    <row r="142" spans="4:20" x14ac:dyDescent="0.2">
      <c r="D142" s="34"/>
      <c r="F142" s="34"/>
      <c r="H142" s="34"/>
      <c r="J142" s="34"/>
      <c r="L142" s="34"/>
      <c r="N142" s="34"/>
      <c r="P142" s="34"/>
      <c r="R142" s="34"/>
      <c r="T142" s="34"/>
    </row>
    <row r="143" spans="4:20" x14ac:dyDescent="0.2">
      <c r="D143" s="34"/>
      <c r="F143" s="34"/>
      <c r="H143" s="34"/>
      <c r="J143" s="34"/>
      <c r="L143" s="34"/>
      <c r="N143" s="34"/>
      <c r="P143" s="34"/>
      <c r="R143" s="34"/>
      <c r="T143" s="34"/>
    </row>
    <row r="144" spans="4:20" x14ac:dyDescent="0.2">
      <c r="D144" s="34"/>
      <c r="F144" s="34"/>
      <c r="H144" s="34"/>
      <c r="J144" s="34"/>
      <c r="L144" s="34"/>
      <c r="N144" s="34"/>
      <c r="P144" s="34"/>
      <c r="R144" s="34"/>
      <c r="T144" s="34"/>
    </row>
    <row r="145" spans="4:20" x14ac:dyDescent="0.2">
      <c r="D145" s="34"/>
      <c r="F145" s="34"/>
      <c r="H145" s="34"/>
      <c r="J145" s="34"/>
      <c r="L145" s="34"/>
      <c r="N145" s="34"/>
      <c r="P145" s="34"/>
      <c r="R145" s="34"/>
      <c r="T145" s="34"/>
    </row>
    <row r="146" spans="4:20" x14ac:dyDescent="0.2">
      <c r="D146" s="34"/>
      <c r="F146" s="34"/>
      <c r="H146" s="34"/>
      <c r="J146" s="34"/>
      <c r="L146" s="34"/>
      <c r="N146" s="34"/>
      <c r="P146" s="34"/>
      <c r="R146" s="34"/>
      <c r="T146" s="34"/>
    </row>
    <row r="147" spans="4:20" x14ac:dyDescent="0.2">
      <c r="D147" s="34"/>
      <c r="F147" s="34"/>
      <c r="H147" s="34"/>
      <c r="J147" s="34"/>
      <c r="L147" s="34"/>
      <c r="N147" s="34"/>
      <c r="P147" s="34"/>
      <c r="R147" s="34"/>
      <c r="T147" s="34"/>
    </row>
    <row r="148" spans="4:20" x14ac:dyDescent="0.2">
      <c r="D148" s="34"/>
      <c r="F148" s="34"/>
      <c r="H148" s="34"/>
      <c r="J148" s="34"/>
      <c r="L148" s="34"/>
      <c r="N148" s="34"/>
      <c r="P148" s="34"/>
      <c r="R148" s="34"/>
      <c r="T148" s="34"/>
    </row>
    <row r="149" spans="4:20" x14ac:dyDescent="0.2">
      <c r="D149" s="34"/>
      <c r="F149" s="34"/>
      <c r="H149" s="34"/>
      <c r="J149" s="34"/>
      <c r="L149" s="34"/>
      <c r="N149" s="34"/>
      <c r="P149" s="34"/>
      <c r="R149" s="34"/>
      <c r="T149" s="34"/>
    </row>
    <row r="150" spans="4:20" x14ac:dyDescent="0.2">
      <c r="D150" s="34"/>
      <c r="F150" s="34"/>
      <c r="H150" s="34"/>
      <c r="J150" s="34"/>
      <c r="L150" s="34"/>
      <c r="N150" s="34"/>
      <c r="P150" s="34"/>
      <c r="R150" s="34"/>
      <c r="T150" s="34"/>
    </row>
    <row r="151" spans="4:20" x14ac:dyDescent="0.2">
      <c r="D151" s="34"/>
      <c r="F151" s="34"/>
      <c r="H151" s="34"/>
      <c r="J151" s="34"/>
      <c r="L151" s="34"/>
      <c r="N151" s="34"/>
      <c r="P151" s="34"/>
      <c r="R151" s="34"/>
      <c r="T151" s="34"/>
    </row>
    <row r="152" spans="4:20" x14ac:dyDescent="0.2">
      <c r="D152" s="34"/>
      <c r="F152" s="34"/>
      <c r="H152" s="34"/>
      <c r="J152" s="34"/>
      <c r="L152" s="34"/>
      <c r="N152" s="34"/>
      <c r="P152" s="34"/>
      <c r="R152" s="34"/>
      <c r="T152" s="34"/>
    </row>
    <row r="153" spans="4:20" x14ac:dyDescent="0.2">
      <c r="D153" s="34"/>
      <c r="F153" s="34"/>
      <c r="H153" s="34"/>
      <c r="J153" s="34"/>
      <c r="L153" s="34"/>
      <c r="N153" s="34"/>
      <c r="P153" s="34"/>
      <c r="R153" s="34"/>
      <c r="T153" s="34"/>
    </row>
    <row r="154" spans="4:20" x14ac:dyDescent="0.2">
      <c r="D154" s="34"/>
      <c r="F154" s="34"/>
      <c r="H154" s="34"/>
      <c r="J154" s="34"/>
      <c r="L154" s="34"/>
      <c r="N154" s="34"/>
      <c r="P154" s="34"/>
      <c r="R154" s="34"/>
      <c r="T154" s="34"/>
    </row>
    <row r="155" spans="4:20" x14ac:dyDescent="0.2">
      <c r="D155" s="34"/>
      <c r="F155" s="34"/>
      <c r="H155" s="34"/>
      <c r="J155" s="34"/>
      <c r="L155" s="34"/>
      <c r="N155" s="34"/>
      <c r="P155" s="34"/>
      <c r="R155" s="34"/>
      <c r="T155" s="34"/>
    </row>
    <row r="156" spans="4:20" x14ac:dyDescent="0.2">
      <c r="D156" s="34"/>
      <c r="F156" s="34"/>
      <c r="H156" s="34"/>
      <c r="J156" s="34"/>
      <c r="L156" s="34"/>
      <c r="N156" s="34"/>
      <c r="P156" s="34"/>
      <c r="R156" s="34"/>
      <c r="T156" s="34"/>
    </row>
    <row r="157" spans="4:20" x14ac:dyDescent="0.2">
      <c r="D157" s="34"/>
      <c r="F157" s="34"/>
      <c r="H157" s="34"/>
      <c r="J157" s="34"/>
      <c r="L157" s="34"/>
      <c r="N157" s="34"/>
      <c r="P157" s="34"/>
      <c r="R157" s="34"/>
      <c r="T157" s="34"/>
    </row>
    <row r="158" spans="4:20" x14ac:dyDescent="0.2">
      <c r="D158" s="34"/>
      <c r="F158" s="34"/>
      <c r="H158" s="34"/>
      <c r="J158" s="34"/>
      <c r="L158" s="34"/>
      <c r="N158" s="34"/>
      <c r="P158" s="34"/>
      <c r="R158" s="34"/>
      <c r="T158" s="34"/>
    </row>
    <row r="159" spans="4:20" x14ac:dyDescent="0.2">
      <c r="D159" s="34"/>
      <c r="F159" s="34"/>
      <c r="H159" s="34"/>
      <c r="J159" s="34"/>
      <c r="L159" s="34"/>
      <c r="N159" s="34"/>
      <c r="P159" s="34"/>
      <c r="R159" s="34"/>
      <c r="T159" s="34"/>
    </row>
    <row r="160" spans="4:20" x14ac:dyDescent="0.2">
      <c r="D160" s="34"/>
      <c r="F160" s="34"/>
      <c r="H160" s="34"/>
      <c r="J160" s="34"/>
      <c r="L160" s="34"/>
      <c r="N160" s="34"/>
      <c r="P160" s="34"/>
      <c r="R160" s="34"/>
      <c r="T160" s="34"/>
    </row>
    <row r="161" spans="4:20" x14ac:dyDescent="0.2">
      <c r="D161" s="34"/>
      <c r="F161" s="34"/>
      <c r="H161" s="34"/>
      <c r="J161" s="34"/>
      <c r="L161" s="34"/>
      <c r="N161" s="34"/>
      <c r="P161" s="34"/>
      <c r="R161" s="34"/>
      <c r="T161" s="34"/>
    </row>
    <row r="162" spans="4:20" x14ac:dyDescent="0.2">
      <c r="D162" s="34"/>
      <c r="F162" s="34"/>
      <c r="H162" s="34"/>
      <c r="J162" s="34"/>
      <c r="L162" s="34"/>
      <c r="N162" s="34"/>
      <c r="P162" s="34"/>
      <c r="R162" s="34"/>
      <c r="T162" s="34"/>
    </row>
    <row r="163" spans="4:20" x14ac:dyDescent="0.2">
      <c r="D163" s="34"/>
      <c r="F163" s="34"/>
      <c r="H163" s="34"/>
      <c r="J163" s="34"/>
      <c r="L163" s="34"/>
      <c r="N163" s="34"/>
      <c r="P163" s="34"/>
      <c r="R163" s="34"/>
      <c r="T163" s="34"/>
    </row>
    <row r="164" spans="4:20" x14ac:dyDescent="0.2">
      <c r="D164" s="34"/>
      <c r="F164" s="34"/>
      <c r="H164" s="34"/>
      <c r="J164" s="34"/>
      <c r="L164" s="34"/>
      <c r="N164" s="34"/>
      <c r="P164" s="34"/>
      <c r="R164" s="34"/>
      <c r="T164" s="34"/>
    </row>
    <row r="165" spans="4:20" x14ac:dyDescent="0.2">
      <c r="D165" s="34"/>
      <c r="F165" s="34"/>
      <c r="H165" s="34"/>
      <c r="J165" s="34"/>
      <c r="L165" s="34"/>
      <c r="N165" s="34"/>
      <c r="P165" s="34"/>
      <c r="R165" s="34"/>
      <c r="T165" s="34"/>
    </row>
    <row r="166" spans="4:20" x14ac:dyDescent="0.2">
      <c r="D166" s="34"/>
      <c r="F166" s="34"/>
      <c r="H166" s="34"/>
      <c r="J166" s="34"/>
      <c r="L166" s="34"/>
      <c r="N166" s="34"/>
      <c r="P166" s="34"/>
      <c r="R166" s="34"/>
      <c r="T166" s="34"/>
    </row>
    <row r="167" spans="4:20" x14ac:dyDescent="0.2">
      <c r="D167" s="34"/>
      <c r="F167" s="34"/>
      <c r="H167" s="34"/>
      <c r="J167" s="34"/>
      <c r="L167" s="34"/>
      <c r="N167" s="34"/>
      <c r="P167" s="34"/>
      <c r="R167" s="34"/>
      <c r="T167" s="34"/>
    </row>
    <row r="168" spans="4:20" x14ac:dyDescent="0.2">
      <c r="D168" s="34"/>
      <c r="F168" s="34"/>
      <c r="H168" s="34"/>
      <c r="J168" s="34"/>
      <c r="L168" s="34"/>
      <c r="N168" s="34"/>
      <c r="P168" s="34"/>
      <c r="R168" s="34"/>
      <c r="T168" s="34"/>
    </row>
    <row r="169" spans="4:20" x14ac:dyDescent="0.2">
      <c r="D169" s="34"/>
      <c r="F169" s="34"/>
      <c r="H169" s="34"/>
      <c r="J169" s="34"/>
      <c r="L169" s="34"/>
      <c r="N169" s="34"/>
      <c r="P169" s="34"/>
      <c r="R169" s="34"/>
      <c r="T169" s="34"/>
    </row>
    <row r="170" spans="4:20" x14ac:dyDescent="0.2">
      <c r="D170" s="34"/>
      <c r="F170" s="34"/>
      <c r="H170" s="34"/>
      <c r="J170" s="34"/>
      <c r="L170" s="34"/>
      <c r="N170" s="34"/>
      <c r="P170" s="34"/>
      <c r="R170" s="34"/>
      <c r="T170" s="34"/>
    </row>
    <row r="171" spans="4:20" x14ac:dyDescent="0.2">
      <c r="D171" s="34"/>
      <c r="F171" s="34"/>
      <c r="H171" s="34"/>
      <c r="J171" s="34"/>
      <c r="L171" s="34"/>
      <c r="N171" s="34"/>
      <c r="P171" s="34"/>
      <c r="R171" s="34"/>
      <c r="T171" s="34"/>
    </row>
    <row r="172" spans="4:20" x14ac:dyDescent="0.2">
      <c r="D172" s="34"/>
      <c r="F172" s="34"/>
      <c r="H172" s="34"/>
      <c r="J172" s="34"/>
      <c r="L172" s="34"/>
      <c r="N172" s="34"/>
      <c r="P172" s="34"/>
      <c r="R172" s="34"/>
      <c r="T172" s="34"/>
    </row>
    <row r="173" spans="4:20" x14ac:dyDescent="0.2">
      <c r="D173" s="34"/>
      <c r="F173" s="34"/>
      <c r="H173" s="34"/>
      <c r="J173" s="34"/>
      <c r="L173" s="34"/>
      <c r="N173" s="34"/>
      <c r="P173" s="34"/>
      <c r="R173" s="34"/>
      <c r="T173" s="34"/>
    </row>
    <row r="174" spans="4:20" x14ac:dyDescent="0.2">
      <c r="D174" s="34"/>
      <c r="F174" s="34"/>
      <c r="H174" s="34"/>
      <c r="J174" s="34"/>
      <c r="L174" s="34"/>
      <c r="N174" s="34"/>
      <c r="P174" s="34"/>
      <c r="R174" s="34"/>
      <c r="T174" s="34"/>
    </row>
    <row r="175" spans="4:20" x14ac:dyDescent="0.2">
      <c r="D175" s="34"/>
      <c r="F175" s="34"/>
      <c r="H175" s="34"/>
      <c r="J175" s="34"/>
      <c r="L175" s="34"/>
      <c r="N175" s="34"/>
      <c r="P175" s="34"/>
      <c r="R175" s="34"/>
      <c r="T175" s="34"/>
    </row>
    <row r="176" spans="4:20" x14ac:dyDescent="0.2">
      <c r="D176" s="34"/>
      <c r="F176" s="34"/>
      <c r="H176" s="34"/>
      <c r="J176" s="34"/>
      <c r="L176" s="34"/>
      <c r="N176" s="34"/>
      <c r="P176" s="34"/>
      <c r="R176" s="34"/>
      <c r="T176" s="34"/>
    </row>
    <row r="177" spans="4:20" x14ac:dyDescent="0.2">
      <c r="D177" s="34"/>
      <c r="F177" s="34"/>
      <c r="H177" s="34"/>
      <c r="J177" s="34"/>
      <c r="L177" s="34"/>
      <c r="N177" s="34"/>
      <c r="P177" s="34"/>
      <c r="R177" s="34"/>
      <c r="T177" s="34"/>
    </row>
    <row r="178" spans="4:20" x14ac:dyDescent="0.2">
      <c r="D178" s="34"/>
      <c r="F178" s="34"/>
      <c r="H178" s="34"/>
      <c r="J178" s="34"/>
      <c r="L178" s="34"/>
      <c r="N178" s="34"/>
      <c r="P178" s="34"/>
      <c r="R178" s="34"/>
      <c r="T178" s="34"/>
    </row>
    <row r="179" spans="4:20" x14ac:dyDescent="0.2">
      <c r="D179" s="34"/>
      <c r="F179" s="34"/>
      <c r="H179" s="34"/>
      <c r="J179" s="34"/>
      <c r="L179" s="34"/>
      <c r="N179" s="34"/>
      <c r="P179" s="34"/>
      <c r="R179" s="34"/>
      <c r="T179" s="34"/>
    </row>
    <row r="180" spans="4:20" x14ac:dyDescent="0.2">
      <c r="D180" s="34"/>
      <c r="F180" s="34"/>
      <c r="H180" s="34"/>
      <c r="J180" s="34"/>
      <c r="L180" s="34"/>
      <c r="N180" s="34"/>
      <c r="P180" s="34"/>
      <c r="R180" s="34"/>
      <c r="T180" s="34"/>
    </row>
    <row r="181" spans="4:20" x14ac:dyDescent="0.2">
      <c r="D181" s="34"/>
      <c r="F181" s="34"/>
      <c r="H181" s="34"/>
      <c r="J181" s="34"/>
      <c r="L181" s="34"/>
      <c r="N181" s="34"/>
      <c r="P181" s="34"/>
      <c r="R181" s="34"/>
      <c r="T181" s="34"/>
    </row>
    <row r="182" spans="4:20" x14ac:dyDescent="0.2">
      <c r="D182" s="34"/>
      <c r="F182" s="34"/>
      <c r="H182" s="34"/>
      <c r="J182" s="34"/>
      <c r="L182" s="34"/>
      <c r="N182" s="34"/>
      <c r="P182" s="34"/>
      <c r="R182" s="34"/>
      <c r="T182" s="34"/>
    </row>
    <row r="183" spans="4:20" x14ac:dyDescent="0.2">
      <c r="D183" s="34"/>
      <c r="F183" s="34"/>
      <c r="H183" s="34"/>
      <c r="J183" s="34"/>
      <c r="L183" s="34"/>
      <c r="N183" s="34"/>
      <c r="P183" s="34"/>
      <c r="R183" s="34"/>
      <c r="T183" s="34"/>
    </row>
    <row r="184" spans="4:20" x14ac:dyDescent="0.2">
      <c r="D184" s="34"/>
      <c r="F184" s="34"/>
      <c r="H184" s="34"/>
      <c r="J184" s="34"/>
      <c r="L184" s="34"/>
      <c r="N184" s="34"/>
      <c r="P184" s="34"/>
      <c r="R184" s="34"/>
      <c r="T184" s="34"/>
    </row>
    <row r="185" spans="4:20" x14ac:dyDescent="0.2">
      <c r="D185" s="34"/>
      <c r="F185" s="34"/>
      <c r="H185" s="34"/>
      <c r="J185" s="34"/>
      <c r="L185" s="34"/>
      <c r="N185" s="34"/>
      <c r="P185" s="34"/>
      <c r="R185" s="34"/>
      <c r="T185" s="34"/>
    </row>
    <row r="186" spans="4:20" x14ac:dyDescent="0.2">
      <c r="D186" s="34"/>
      <c r="F186" s="34"/>
      <c r="H186" s="34"/>
      <c r="J186" s="34"/>
      <c r="L186" s="34"/>
      <c r="N186" s="34"/>
      <c r="P186" s="34"/>
      <c r="R186" s="34"/>
      <c r="T186" s="34"/>
    </row>
    <row r="187" spans="4:20" x14ac:dyDescent="0.2">
      <c r="D187" s="34"/>
      <c r="F187" s="34"/>
      <c r="H187" s="34"/>
      <c r="J187" s="34"/>
      <c r="L187" s="34"/>
      <c r="N187" s="34"/>
      <c r="P187" s="34"/>
      <c r="R187" s="34"/>
      <c r="T187" s="34"/>
    </row>
    <row r="188" spans="4:20" x14ac:dyDescent="0.2">
      <c r="D188" s="34"/>
      <c r="F188" s="34"/>
      <c r="H188" s="34"/>
      <c r="J188" s="34"/>
      <c r="L188" s="34"/>
      <c r="N188" s="34"/>
      <c r="P188" s="34"/>
      <c r="R188" s="34"/>
      <c r="T188" s="34"/>
    </row>
    <row r="189" spans="4:20" x14ac:dyDescent="0.2">
      <c r="D189" s="34"/>
      <c r="F189" s="34"/>
      <c r="H189" s="34"/>
      <c r="J189" s="34"/>
      <c r="L189" s="34"/>
      <c r="N189" s="34"/>
      <c r="P189" s="34"/>
      <c r="R189" s="34"/>
      <c r="T189" s="34"/>
    </row>
    <row r="190" spans="4:20" x14ac:dyDescent="0.2">
      <c r="D190" s="34"/>
      <c r="F190" s="34"/>
      <c r="H190" s="34"/>
      <c r="J190" s="34"/>
      <c r="L190" s="34"/>
      <c r="N190" s="34"/>
      <c r="P190" s="34"/>
      <c r="R190" s="34"/>
      <c r="T190" s="34"/>
    </row>
    <row r="191" spans="4:20" x14ac:dyDescent="0.2">
      <c r="D191" s="34"/>
      <c r="F191" s="34"/>
      <c r="H191" s="34"/>
      <c r="J191" s="34"/>
      <c r="L191" s="34"/>
      <c r="N191" s="34"/>
      <c r="P191" s="34"/>
      <c r="R191" s="34"/>
      <c r="T191" s="34"/>
    </row>
    <row r="192" spans="4:20" x14ac:dyDescent="0.2">
      <c r="D192" s="34"/>
      <c r="F192" s="34"/>
      <c r="H192" s="34"/>
      <c r="J192" s="34"/>
      <c r="L192" s="34"/>
      <c r="N192" s="34"/>
      <c r="P192" s="34"/>
      <c r="R192" s="34"/>
      <c r="T192" s="34"/>
    </row>
    <row r="193" spans="4:20" x14ac:dyDescent="0.2">
      <c r="D193" s="34"/>
      <c r="F193" s="34"/>
      <c r="H193" s="34"/>
      <c r="J193" s="34"/>
      <c r="L193" s="34"/>
      <c r="N193" s="34"/>
      <c r="P193" s="34"/>
      <c r="R193" s="34"/>
      <c r="T193" s="34"/>
    </row>
    <row r="194" spans="4:20" x14ac:dyDescent="0.2">
      <c r="D194" s="34"/>
      <c r="F194" s="34"/>
      <c r="H194" s="34"/>
      <c r="J194" s="34"/>
      <c r="L194" s="34"/>
      <c r="N194" s="34"/>
      <c r="P194" s="34"/>
      <c r="R194" s="34"/>
      <c r="T194" s="34"/>
    </row>
    <row r="195" spans="4:20" x14ac:dyDescent="0.2">
      <c r="D195" s="34"/>
      <c r="F195" s="34"/>
      <c r="H195" s="34"/>
      <c r="J195" s="34"/>
      <c r="L195" s="34"/>
      <c r="N195" s="34"/>
      <c r="P195" s="34"/>
      <c r="R195" s="34"/>
      <c r="T195" s="34"/>
    </row>
    <row r="196" spans="4:20" x14ac:dyDescent="0.2">
      <c r="D196" s="34"/>
      <c r="F196" s="34"/>
      <c r="H196" s="34"/>
      <c r="J196" s="34"/>
      <c r="L196" s="34"/>
      <c r="N196" s="34"/>
      <c r="P196" s="34"/>
      <c r="R196" s="34"/>
      <c r="T196" s="34"/>
    </row>
    <row r="197" spans="4:20" x14ac:dyDescent="0.2">
      <c r="D197" s="34"/>
      <c r="F197" s="34"/>
      <c r="H197" s="34"/>
      <c r="J197" s="34"/>
      <c r="L197" s="34"/>
      <c r="N197" s="34"/>
      <c r="P197" s="34"/>
      <c r="R197" s="34"/>
      <c r="T197" s="34"/>
    </row>
    <row r="198" spans="4:20" x14ac:dyDescent="0.2">
      <c r="D198" s="34"/>
      <c r="F198" s="34"/>
      <c r="H198" s="34"/>
      <c r="J198" s="34"/>
      <c r="L198" s="34"/>
      <c r="N198" s="34"/>
      <c r="P198" s="34"/>
      <c r="R198" s="34"/>
      <c r="T198" s="34"/>
    </row>
    <row r="199" spans="4:20" x14ac:dyDescent="0.2">
      <c r="D199" s="34"/>
      <c r="F199" s="34"/>
      <c r="H199" s="34"/>
      <c r="J199" s="34"/>
      <c r="L199" s="34"/>
      <c r="N199" s="34"/>
      <c r="P199" s="34"/>
      <c r="R199" s="34"/>
      <c r="T199" s="34"/>
    </row>
    <row r="200" spans="4:20" x14ac:dyDescent="0.2">
      <c r="D200" s="34"/>
      <c r="F200" s="34"/>
      <c r="H200" s="34"/>
      <c r="J200" s="34"/>
      <c r="L200" s="34"/>
      <c r="N200" s="34"/>
      <c r="P200" s="34"/>
      <c r="R200" s="34"/>
      <c r="T200" s="34"/>
    </row>
    <row r="201" spans="4:20" x14ac:dyDescent="0.2">
      <c r="D201" s="34"/>
      <c r="F201" s="34"/>
      <c r="H201" s="34"/>
      <c r="J201" s="34"/>
      <c r="L201" s="34"/>
      <c r="N201" s="34"/>
      <c r="P201" s="34"/>
      <c r="R201" s="34"/>
      <c r="T201" s="34"/>
    </row>
    <row r="202" spans="4:20" x14ac:dyDescent="0.2">
      <c r="D202" s="34"/>
      <c r="F202" s="34"/>
      <c r="H202" s="34"/>
      <c r="J202" s="34"/>
      <c r="L202" s="34"/>
      <c r="N202" s="34"/>
      <c r="P202" s="34"/>
      <c r="R202" s="34"/>
      <c r="T202" s="34"/>
    </row>
    <row r="203" spans="4:20" x14ac:dyDescent="0.2">
      <c r="D203" s="34"/>
      <c r="F203" s="34"/>
      <c r="H203" s="34"/>
      <c r="J203" s="34"/>
      <c r="L203" s="34"/>
      <c r="N203" s="34"/>
      <c r="P203" s="34"/>
      <c r="R203" s="34"/>
      <c r="T203" s="34"/>
    </row>
    <row r="204" spans="4:20" x14ac:dyDescent="0.2">
      <c r="D204" s="34"/>
      <c r="F204" s="34"/>
      <c r="H204" s="34"/>
      <c r="J204" s="34"/>
      <c r="L204" s="34"/>
      <c r="N204" s="34"/>
      <c r="P204" s="34"/>
      <c r="R204" s="34"/>
      <c r="T204" s="34"/>
    </row>
    <row r="205" spans="4:20" x14ac:dyDescent="0.2">
      <c r="D205" s="34"/>
      <c r="F205" s="34"/>
      <c r="H205" s="34"/>
      <c r="J205" s="34"/>
      <c r="L205" s="34"/>
      <c r="N205" s="34"/>
      <c r="P205" s="34"/>
      <c r="R205" s="34"/>
      <c r="T205" s="34"/>
    </row>
    <row r="206" spans="4:20" x14ac:dyDescent="0.2">
      <c r="D206" s="34"/>
      <c r="F206" s="34"/>
      <c r="H206" s="34"/>
      <c r="J206" s="34"/>
      <c r="L206" s="34"/>
      <c r="N206" s="34"/>
      <c r="P206" s="34"/>
      <c r="R206" s="34"/>
      <c r="T206" s="34"/>
    </row>
    <row r="207" spans="4:20" x14ac:dyDescent="0.2">
      <c r="D207" s="34"/>
      <c r="F207" s="34"/>
      <c r="H207" s="34"/>
      <c r="J207" s="34"/>
      <c r="L207" s="34"/>
      <c r="N207" s="34"/>
      <c r="P207" s="34"/>
      <c r="R207" s="34"/>
      <c r="T207" s="34"/>
    </row>
    <row r="208" spans="4:20" x14ac:dyDescent="0.2">
      <c r="D208" s="34"/>
      <c r="F208" s="34"/>
      <c r="H208" s="34"/>
      <c r="J208" s="34"/>
      <c r="L208" s="34"/>
      <c r="N208" s="34"/>
      <c r="P208" s="34"/>
      <c r="R208" s="34"/>
      <c r="T208" s="34"/>
    </row>
    <row r="209" spans="4:20" x14ac:dyDescent="0.2">
      <c r="D209" s="34"/>
      <c r="F209" s="34"/>
      <c r="H209" s="34"/>
      <c r="J209" s="34"/>
      <c r="L209" s="34"/>
      <c r="N209" s="34"/>
      <c r="P209" s="34"/>
      <c r="R209" s="34"/>
      <c r="T209" s="34"/>
    </row>
    <row r="210" spans="4:20" x14ac:dyDescent="0.2">
      <c r="D210" s="34"/>
      <c r="F210" s="34"/>
      <c r="H210" s="34"/>
      <c r="J210" s="34"/>
      <c r="L210" s="34"/>
      <c r="N210" s="34"/>
      <c r="P210" s="34"/>
      <c r="R210" s="34"/>
      <c r="T210" s="34"/>
    </row>
    <row r="211" spans="4:20" x14ac:dyDescent="0.2">
      <c r="D211" s="34"/>
      <c r="F211" s="34"/>
      <c r="H211" s="34"/>
      <c r="J211" s="34"/>
      <c r="L211" s="34"/>
      <c r="N211" s="34"/>
      <c r="P211" s="34"/>
      <c r="R211" s="34"/>
      <c r="T211" s="34"/>
    </row>
    <row r="212" spans="4:20" x14ac:dyDescent="0.2">
      <c r="D212" s="34"/>
      <c r="F212" s="34"/>
      <c r="H212" s="34"/>
      <c r="J212" s="34"/>
      <c r="L212" s="34"/>
      <c r="N212" s="34"/>
      <c r="P212" s="34"/>
      <c r="R212" s="34"/>
      <c r="T212" s="34"/>
    </row>
    <row r="213" spans="4:20" x14ac:dyDescent="0.2">
      <c r="D213" s="34"/>
      <c r="F213" s="34"/>
      <c r="H213" s="34"/>
      <c r="J213" s="34"/>
      <c r="L213" s="34"/>
      <c r="N213" s="34"/>
      <c r="P213" s="34"/>
      <c r="R213" s="34"/>
      <c r="T213" s="34"/>
    </row>
    <row r="214" spans="4:20" x14ac:dyDescent="0.2">
      <c r="D214" s="34"/>
      <c r="F214" s="34"/>
      <c r="H214" s="34"/>
      <c r="J214" s="34"/>
      <c r="L214" s="34"/>
      <c r="N214" s="34"/>
      <c r="P214" s="34"/>
      <c r="R214" s="34"/>
      <c r="T214" s="34"/>
    </row>
    <row r="215" spans="4:20" x14ac:dyDescent="0.2">
      <c r="D215" s="34"/>
      <c r="F215" s="34"/>
      <c r="H215" s="34"/>
      <c r="J215" s="34"/>
      <c r="L215" s="34"/>
      <c r="N215" s="34"/>
      <c r="P215" s="34"/>
      <c r="R215" s="34"/>
      <c r="T215" s="34"/>
    </row>
    <row r="216" spans="4:20" x14ac:dyDescent="0.2">
      <c r="D216" s="34"/>
      <c r="F216" s="34"/>
      <c r="H216" s="34"/>
      <c r="J216" s="34"/>
      <c r="L216" s="34"/>
      <c r="N216" s="34"/>
      <c r="P216" s="34"/>
      <c r="R216" s="34"/>
      <c r="T216" s="34"/>
    </row>
    <row r="217" spans="4:20" x14ac:dyDescent="0.2">
      <c r="D217" s="34"/>
      <c r="F217" s="34"/>
      <c r="H217" s="34"/>
      <c r="J217" s="34"/>
      <c r="L217" s="34"/>
      <c r="N217" s="34"/>
      <c r="P217" s="34"/>
      <c r="R217" s="34"/>
      <c r="T217" s="34"/>
    </row>
    <row r="218" spans="4:20" x14ac:dyDescent="0.2">
      <c r="D218" s="34"/>
      <c r="F218" s="34"/>
      <c r="H218" s="34"/>
      <c r="J218" s="34"/>
      <c r="L218" s="34"/>
      <c r="N218" s="34"/>
      <c r="P218" s="34"/>
      <c r="R218" s="34"/>
      <c r="T218" s="34"/>
    </row>
    <row r="219" spans="4:20" x14ac:dyDescent="0.2">
      <c r="D219" s="34"/>
      <c r="F219" s="34"/>
      <c r="H219" s="34"/>
      <c r="J219" s="34"/>
      <c r="L219" s="34"/>
      <c r="N219" s="34"/>
      <c r="P219" s="34"/>
      <c r="R219" s="34"/>
      <c r="T219" s="34"/>
    </row>
    <row r="220" spans="4:20" x14ac:dyDescent="0.2">
      <c r="D220" s="34"/>
      <c r="F220" s="34"/>
      <c r="H220" s="34"/>
      <c r="J220" s="34"/>
      <c r="L220" s="34"/>
      <c r="N220" s="34"/>
      <c r="P220" s="34"/>
      <c r="R220" s="34"/>
      <c r="T220" s="34"/>
    </row>
    <row r="221" spans="4:20" x14ac:dyDescent="0.2">
      <c r="D221" s="34"/>
      <c r="F221" s="34"/>
      <c r="H221" s="34"/>
      <c r="J221" s="34"/>
      <c r="L221" s="34"/>
      <c r="N221" s="34"/>
      <c r="P221" s="34"/>
      <c r="R221" s="34"/>
      <c r="T221" s="34"/>
    </row>
    <row r="222" spans="4:20" x14ac:dyDescent="0.2">
      <c r="D222" s="34"/>
      <c r="F222" s="34"/>
      <c r="H222" s="34"/>
      <c r="J222" s="34"/>
      <c r="L222" s="34"/>
      <c r="N222" s="34"/>
      <c r="P222" s="34"/>
      <c r="R222" s="34"/>
      <c r="T222" s="34"/>
    </row>
    <row r="223" spans="4:20" x14ac:dyDescent="0.2">
      <c r="D223" s="34"/>
      <c r="F223" s="34"/>
      <c r="H223" s="34"/>
      <c r="J223" s="34"/>
      <c r="L223" s="34"/>
      <c r="N223" s="34"/>
      <c r="P223" s="34"/>
      <c r="R223" s="34"/>
      <c r="T223" s="34"/>
    </row>
    <row r="224" spans="4:20" x14ac:dyDescent="0.2">
      <c r="D224" s="34"/>
      <c r="F224" s="34"/>
      <c r="H224" s="34"/>
      <c r="J224" s="34"/>
      <c r="L224" s="34"/>
      <c r="N224" s="34"/>
      <c r="P224" s="34"/>
      <c r="R224" s="34"/>
      <c r="T224" s="34"/>
    </row>
    <row r="225" spans="4:20" x14ac:dyDescent="0.2">
      <c r="D225" s="34"/>
      <c r="F225" s="34"/>
      <c r="H225" s="34"/>
      <c r="J225" s="34"/>
      <c r="L225" s="34"/>
      <c r="N225" s="34"/>
      <c r="P225" s="34"/>
      <c r="R225" s="34"/>
      <c r="T225" s="34"/>
    </row>
    <row r="226" spans="4:20" x14ac:dyDescent="0.2">
      <c r="D226" s="34"/>
      <c r="F226" s="34"/>
      <c r="H226" s="34"/>
      <c r="J226" s="34"/>
      <c r="L226" s="34"/>
      <c r="N226" s="34"/>
      <c r="P226" s="34"/>
      <c r="R226" s="34"/>
      <c r="T226" s="34"/>
    </row>
    <row r="227" spans="4:20" x14ac:dyDescent="0.2">
      <c r="D227" s="34"/>
      <c r="F227" s="34"/>
      <c r="H227" s="34"/>
      <c r="J227" s="34"/>
      <c r="L227" s="34"/>
      <c r="N227" s="34"/>
      <c r="P227" s="34"/>
      <c r="R227" s="34"/>
      <c r="T227" s="34"/>
    </row>
    <row r="228" spans="4:20" x14ac:dyDescent="0.2">
      <c r="D228" s="34"/>
      <c r="F228" s="34"/>
      <c r="H228" s="34"/>
      <c r="J228" s="34"/>
      <c r="L228" s="34"/>
      <c r="N228" s="34"/>
      <c r="P228" s="34"/>
      <c r="R228" s="34"/>
      <c r="T228" s="34"/>
    </row>
    <row r="229" spans="4:20" x14ac:dyDescent="0.2">
      <c r="D229" s="34"/>
      <c r="F229" s="34"/>
      <c r="H229" s="34"/>
      <c r="J229" s="34"/>
      <c r="L229" s="34"/>
      <c r="N229" s="34"/>
      <c r="P229" s="34"/>
      <c r="R229" s="34"/>
      <c r="T229" s="34"/>
    </row>
    <row r="230" spans="4:20" x14ac:dyDescent="0.2">
      <c r="D230" s="34"/>
      <c r="F230" s="34"/>
      <c r="H230" s="34"/>
      <c r="J230" s="34"/>
      <c r="L230" s="34"/>
      <c r="N230" s="34"/>
      <c r="P230" s="34"/>
      <c r="R230" s="34"/>
      <c r="T230" s="34"/>
    </row>
    <row r="231" spans="4:20" x14ac:dyDescent="0.2">
      <c r="D231" s="34"/>
      <c r="F231" s="34"/>
      <c r="H231" s="34"/>
      <c r="J231" s="34"/>
      <c r="L231" s="34"/>
      <c r="N231" s="34"/>
      <c r="P231" s="34"/>
      <c r="R231" s="34"/>
      <c r="T231" s="34"/>
    </row>
    <row r="232" spans="4:20" x14ac:dyDescent="0.2">
      <c r="D232" s="34"/>
      <c r="F232" s="34"/>
      <c r="H232" s="34"/>
      <c r="J232" s="34"/>
      <c r="L232" s="34"/>
      <c r="N232" s="34"/>
      <c r="P232" s="34"/>
      <c r="R232" s="34"/>
      <c r="T232" s="34"/>
    </row>
    <row r="233" spans="4:20" x14ac:dyDescent="0.2">
      <c r="D233" s="34"/>
      <c r="F233" s="34"/>
      <c r="H233" s="34"/>
      <c r="J233" s="34"/>
      <c r="L233" s="34"/>
      <c r="N233" s="34"/>
      <c r="P233" s="34"/>
      <c r="R233" s="34"/>
      <c r="T233" s="34"/>
    </row>
    <row r="234" spans="4:20" x14ac:dyDescent="0.2">
      <c r="D234" s="34"/>
      <c r="F234" s="34"/>
      <c r="H234" s="34"/>
      <c r="J234" s="34"/>
      <c r="L234" s="34"/>
      <c r="N234" s="34"/>
      <c r="P234" s="34"/>
      <c r="R234" s="34"/>
      <c r="T234" s="34"/>
    </row>
    <row r="235" spans="4:20" x14ac:dyDescent="0.2">
      <c r="D235" s="34"/>
      <c r="F235" s="34"/>
      <c r="H235" s="34"/>
      <c r="J235" s="34"/>
      <c r="L235" s="34"/>
      <c r="N235" s="34"/>
      <c r="P235" s="34"/>
      <c r="R235" s="34"/>
      <c r="T235" s="34"/>
    </row>
    <row r="236" spans="4:20" x14ac:dyDescent="0.2">
      <c r="D236" s="34"/>
      <c r="F236" s="34"/>
      <c r="H236" s="34"/>
      <c r="J236" s="34"/>
      <c r="L236" s="34"/>
      <c r="N236" s="34"/>
      <c r="P236" s="34"/>
      <c r="R236" s="34"/>
      <c r="T236" s="34"/>
    </row>
    <row r="237" spans="4:20" x14ac:dyDescent="0.2">
      <c r="D237" s="34"/>
      <c r="F237" s="34"/>
      <c r="H237" s="34"/>
      <c r="J237" s="34"/>
      <c r="L237" s="34"/>
      <c r="N237" s="34"/>
      <c r="P237" s="34"/>
      <c r="R237" s="34"/>
      <c r="T237" s="34"/>
    </row>
    <row r="238" spans="4:20" x14ac:dyDescent="0.2">
      <c r="D238" s="34"/>
      <c r="F238" s="34"/>
      <c r="H238" s="34"/>
      <c r="J238" s="34"/>
      <c r="L238" s="34"/>
      <c r="N238" s="34"/>
      <c r="P238" s="34"/>
      <c r="R238" s="34"/>
      <c r="T238" s="34"/>
    </row>
    <row r="239" spans="4:20" x14ac:dyDescent="0.2">
      <c r="D239" s="34"/>
      <c r="F239" s="34"/>
      <c r="H239" s="34"/>
      <c r="J239" s="34"/>
      <c r="L239" s="34"/>
      <c r="N239" s="34"/>
      <c r="P239" s="34"/>
      <c r="R239" s="34"/>
      <c r="T239" s="34"/>
    </row>
    <row r="240" spans="4:20" x14ac:dyDescent="0.2">
      <c r="D240" s="34"/>
      <c r="F240" s="34"/>
      <c r="H240" s="34"/>
      <c r="J240" s="34"/>
      <c r="L240" s="34"/>
      <c r="N240" s="34"/>
      <c r="P240" s="34"/>
      <c r="R240" s="34"/>
      <c r="T240" s="34"/>
    </row>
    <row r="241" spans="4:20" x14ac:dyDescent="0.2">
      <c r="D241" s="34"/>
      <c r="F241" s="34"/>
      <c r="H241" s="34"/>
      <c r="J241" s="34"/>
      <c r="L241" s="34"/>
      <c r="N241" s="34"/>
      <c r="P241" s="34"/>
      <c r="R241" s="34"/>
      <c r="T241" s="34"/>
    </row>
    <row r="242" spans="4:20" x14ac:dyDescent="0.2">
      <c r="D242" s="34"/>
      <c r="F242" s="34"/>
      <c r="H242" s="34"/>
      <c r="J242" s="34"/>
      <c r="L242" s="34"/>
      <c r="N242" s="34"/>
      <c r="P242" s="34"/>
      <c r="R242" s="34"/>
      <c r="T242" s="34"/>
    </row>
    <row r="243" spans="4:20" x14ac:dyDescent="0.2">
      <c r="D243" s="34"/>
      <c r="F243" s="34"/>
      <c r="H243" s="34"/>
      <c r="J243" s="34"/>
      <c r="L243" s="34"/>
      <c r="N243" s="34"/>
      <c r="P243" s="34"/>
      <c r="R243" s="34"/>
      <c r="T243" s="34"/>
    </row>
    <row r="244" spans="4:20" x14ac:dyDescent="0.2">
      <c r="D244" s="34"/>
      <c r="F244" s="34"/>
      <c r="H244" s="34"/>
      <c r="J244" s="34"/>
      <c r="L244" s="34"/>
      <c r="N244" s="34"/>
      <c r="P244" s="34"/>
      <c r="R244" s="34"/>
      <c r="T244" s="34"/>
    </row>
    <row r="245" spans="4:20" x14ac:dyDescent="0.2">
      <c r="D245" s="34"/>
      <c r="F245" s="34"/>
      <c r="H245" s="34"/>
      <c r="J245" s="34"/>
      <c r="L245" s="34"/>
      <c r="N245" s="34"/>
      <c r="P245" s="34"/>
      <c r="R245" s="34"/>
      <c r="T245" s="34"/>
    </row>
    <row r="246" spans="4:20" x14ac:dyDescent="0.2">
      <c r="D246" s="34"/>
      <c r="F246" s="34"/>
      <c r="H246" s="34"/>
      <c r="J246" s="34"/>
      <c r="L246" s="34"/>
      <c r="N246" s="34"/>
      <c r="P246" s="34"/>
      <c r="R246" s="34"/>
      <c r="T246" s="34"/>
    </row>
    <row r="247" spans="4:20" x14ac:dyDescent="0.2">
      <c r="D247" s="34"/>
      <c r="F247" s="34"/>
      <c r="H247" s="34"/>
      <c r="J247" s="34"/>
      <c r="L247" s="34"/>
      <c r="N247" s="34"/>
      <c r="P247" s="34"/>
      <c r="R247" s="34"/>
      <c r="T247" s="34"/>
    </row>
    <row r="248" spans="4:20" x14ac:dyDescent="0.2">
      <c r="D248" s="34"/>
      <c r="F248" s="34"/>
      <c r="H248" s="34"/>
      <c r="J248" s="34"/>
      <c r="L248" s="34"/>
      <c r="N248" s="34"/>
      <c r="P248" s="34"/>
      <c r="R248" s="34"/>
      <c r="T248" s="34"/>
    </row>
    <row r="249" spans="4:20" x14ac:dyDescent="0.2">
      <c r="D249" s="34"/>
      <c r="F249" s="34"/>
      <c r="H249" s="34"/>
      <c r="J249" s="34"/>
      <c r="L249" s="34"/>
      <c r="N249" s="34"/>
      <c r="P249" s="34"/>
      <c r="R249" s="34"/>
      <c r="T249" s="34"/>
    </row>
    <row r="250" spans="4:20" x14ac:dyDescent="0.2">
      <c r="D250" s="34"/>
      <c r="F250" s="34"/>
      <c r="H250" s="34"/>
      <c r="J250" s="34"/>
      <c r="L250" s="34"/>
      <c r="N250" s="34"/>
      <c r="P250" s="34"/>
      <c r="R250" s="34"/>
      <c r="T250" s="34"/>
    </row>
    <row r="251" spans="4:20" x14ac:dyDescent="0.2">
      <c r="D251" s="34"/>
      <c r="F251" s="34"/>
      <c r="H251" s="34"/>
      <c r="J251" s="34"/>
      <c r="L251" s="34"/>
      <c r="N251" s="34"/>
      <c r="P251" s="34"/>
      <c r="R251" s="34"/>
      <c r="T251" s="34"/>
    </row>
    <row r="252" spans="4:20" x14ac:dyDescent="0.2">
      <c r="D252" s="34"/>
      <c r="F252" s="34"/>
      <c r="H252" s="34"/>
      <c r="J252" s="34"/>
      <c r="L252" s="34"/>
      <c r="N252" s="34"/>
      <c r="P252" s="34"/>
      <c r="R252" s="34"/>
      <c r="T252" s="34"/>
    </row>
    <row r="253" spans="4:20" x14ac:dyDescent="0.2">
      <c r="D253" s="34"/>
      <c r="F253" s="34"/>
      <c r="H253" s="34"/>
      <c r="J253" s="34"/>
      <c r="L253" s="34"/>
      <c r="N253" s="34"/>
      <c r="P253" s="34"/>
      <c r="R253" s="34"/>
      <c r="T253" s="34"/>
    </row>
    <row r="254" spans="4:20" x14ac:dyDescent="0.2">
      <c r="D254" s="34"/>
      <c r="F254" s="34"/>
      <c r="H254" s="34"/>
      <c r="J254" s="34"/>
      <c r="L254" s="34"/>
      <c r="N254" s="34"/>
      <c r="P254" s="34"/>
      <c r="R254" s="34"/>
      <c r="T254" s="34"/>
    </row>
    <row r="255" spans="4:20" x14ac:dyDescent="0.2">
      <c r="D255" s="34"/>
      <c r="F255" s="34"/>
      <c r="H255" s="34"/>
      <c r="J255" s="34"/>
      <c r="L255" s="34"/>
      <c r="N255" s="34"/>
      <c r="P255" s="34"/>
      <c r="R255" s="34"/>
      <c r="T255" s="34"/>
    </row>
    <row r="256" spans="4:20" x14ac:dyDescent="0.2">
      <c r="D256" s="34"/>
      <c r="F256" s="34"/>
      <c r="H256" s="34"/>
      <c r="J256" s="34"/>
      <c r="L256" s="34"/>
      <c r="N256" s="34"/>
      <c r="P256" s="34"/>
      <c r="R256" s="34"/>
      <c r="T256" s="34"/>
    </row>
    <row r="257" spans="4:20" x14ac:dyDescent="0.2">
      <c r="D257" s="34"/>
      <c r="F257" s="34"/>
      <c r="H257" s="34"/>
      <c r="J257" s="34"/>
      <c r="L257" s="34"/>
      <c r="N257" s="34"/>
      <c r="P257" s="34"/>
      <c r="R257" s="34"/>
      <c r="T257" s="34"/>
    </row>
    <row r="258" spans="4:20" x14ac:dyDescent="0.2">
      <c r="D258" s="34"/>
      <c r="F258" s="34"/>
      <c r="H258" s="34"/>
      <c r="J258" s="34"/>
      <c r="L258" s="34"/>
      <c r="N258" s="34"/>
      <c r="P258" s="34"/>
      <c r="R258" s="34"/>
      <c r="T258" s="34"/>
    </row>
    <row r="259" spans="4:20" x14ac:dyDescent="0.2">
      <c r="D259" s="34"/>
      <c r="F259" s="34"/>
      <c r="H259" s="34"/>
      <c r="J259" s="34"/>
      <c r="L259" s="34"/>
      <c r="N259" s="34"/>
      <c r="P259" s="34"/>
      <c r="R259" s="34"/>
      <c r="T259" s="34"/>
    </row>
    <row r="260" spans="4:20" x14ac:dyDescent="0.2">
      <c r="D260" s="34"/>
      <c r="F260" s="34"/>
      <c r="H260" s="34"/>
      <c r="J260" s="34"/>
      <c r="L260" s="34"/>
      <c r="N260" s="34"/>
      <c r="P260" s="34"/>
      <c r="R260" s="34"/>
      <c r="T260" s="34"/>
    </row>
    <row r="261" spans="4:20" x14ac:dyDescent="0.2">
      <c r="D261" s="34"/>
      <c r="F261" s="34"/>
      <c r="H261" s="34"/>
      <c r="J261" s="34"/>
      <c r="L261" s="34"/>
      <c r="N261" s="34"/>
      <c r="P261" s="34"/>
      <c r="R261" s="34"/>
      <c r="T261" s="34"/>
    </row>
  </sheetData>
  <mergeCells count="3">
    <mergeCell ref="A1:S1"/>
    <mergeCell ref="A2:S2"/>
    <mergeCell ref="A3:S3"/>
  </mergeCells>
  <printOptions horizontalCentered="1"/>
  <pageMargins left="0.75" right="0.75" top="1" bottom="1" header="0.5" footer="0.5"/>
  <pageSetup scale="67" orientation="landscape" r:id="rId1"/>
  <headerFooter alignWithMargins="0">
    <oddFooter>&amp;R&amp;"Times New Roman,Bold"&amp;12Case No. 2018-00295
Attachment 6 to Response to US DOD-2 Question No. 7   
Page &amp;P of &amp;N
Garrett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1"/>
  <sheetViews>
    <sheetView zoomScale="90" zoomScaleNormal="90" workbookViewId="0">
      <selection sqref="A1:R1"/>
    </sheetView>
  </sheetViews>
  <sheetFormatPr defaultRowHeight="12.75" x14ac:dyDescent="0.2"/>
  <cols>
    <col min="1" max="1" width="39.85546875" style="3" bestFit="1" customWidth="1"/>
    <col min="2" max="2" width="25.42578125" style="14" customWidth="1"/>
    <col min="3" max="3" width="1.7109375" style="3" customWidth="1"/>
    <col min="4" max="4" width="18.140625" style="14" customWidth="1"/>
    <col min="5" max="5" width="1.7109375" style="3" customWidth="1"/>
    <col min="6" max="6" width="24" style="14" customWidth="1"/>
    <col min="7" max="7" width="1.7109375" style="3" customWidth="1"/>
    <col min="8" max="8" width="20.7109375" style="14" customWidth="1"/>
    <col min="9" max="9" width="1.7109375" style="3" customWidth="1"/>
    <col min="10" max="10" width="17.7109375" style="14" customWidth="1"/>
    <col min="11" max="11" width="1.7109375" style="3" customWidth="1"/>
    <col min="12" max="12" width="17.7109375" style="14" customWidth="1"/>
    <col min="13" max="13" width="1.85546875" style="3" customWidth="1"/>
    <col min="14" max="14" width="19.42578125" style="3" customWidth="1"/>
    <col min="15" max="15" width="2.140625" style="3" customWidth="1"/>
    <col min="16" max="16" width="23.140625" style="3" bestFit="1" customWidth="1"/>
    <col min="17" max="16384" width="9.140625" style="3"/>
  </cols>
  <sheetData>
    <row r="1" spans="1:16" s="86" customFormat="1" ht="15.75" x14ac:dyDescent="0.25">
      <c r="A1" s="154" t="s">
        <v>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</row>
    <row r="2" spans="1:16" s="86" customFormat="1" ht="15.75" x14ac:dyDescent="0.25">
      <c r="A2" s="154" t="s">
        <v>3231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</row>
    <row r="3" spans="1:16" x14ac:dyDescent="0.2">
      <c r="A3" s="144" t="str">
        <f>'KU_Summary - Cost - P1 (REG)'!A3:N3</f>
        <v>DECEMBER 2016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</row>
    <row r="4" spans="1:16" x14ac:dyDescent="0.2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</row>
    <row r="5" spans="1:16" x14ac:dyDescent="0.2">
      <c r="A5" s="87"/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</row>
    <row r="6" spans="1:16" x14ac:dyDescent="0.2">
      <c r="B6" s="25" t="s">
        <v>2</v>
      </c>
      <c r="H6" s="25" t="s">
        <v>3</v>
      </c>
      <c r="L6" s="25" t="s">
        <v>4</v>
      </c>
      <c r="P6" s="12" t="s">
        <v>3232</v>
      </c>
    </row>
    <row r="7" spans="1:16" x14ac:dyDescent="0.2">
      <c r="A7" s="12" t="s">
        <v>3233</v>
      </c>
      <c r="B7" s="10" t="s">
        <v>5</v>
      </c>
      <c r="D7" s="10" t="s">
        <v>6</v>
      </c>
      <c r="F7" s="10" t="s">
        <v>7</v>
      </c>
      <c r="H7" s="10" t="s">
        <v>8</v>
      </c>
      <c r="J7" s="10" t="s">
        <v>9</v>
      </c>
      <c r="L7" s="10" t="s">
        <v>5</v>
      </c>
      <c r="N7" s="10" t="s">
        <v>3234</v>
      </c>
      <c r="P7" s="10" t="s">
        <v>3235</v>
      </c>
    </row>
    <row r="8" spans="1:16" x14ac:dyDescent="0.2">
      <c r="A8" s="12" t="s">
        <v>3236</v>
      </c>
      <c r="B8" s="11"/>
      <c r="D8" s="11"/>
      <c r="F8" s="11"/>
      <c r="H8" s="11"/>
      <c r="J8" s="11"/>
      <c r="L8" s="11"/>
    </row>
    <row r="9" spans="1:16" x14ac:dyDescent="0.2">
      <c r="A9" s="12" t="s">
        <v>3237</v>
      </c>
    </row>
    <row r="10" spans="1:16" x14ac:dyDescent="0.2">
      <c r="A10" s="12" t="s">
        <v>12</v>
      </c>
    </row>
    <row r="11" spans="1:16" x14ac:dyDescent="0.2">
      <c r="A11" s="3" t="s">
        <v>153</v>
      </c>
      <c r="B11" s="14">
        <f>'KY_Cost by Plant Acct P8 (REG)'!B11+'VA_Cost by Plant Acct P10 (REG)'!B11+'TN_Cost by Plant Acct P12 (REG)'!B11</f>
        <v>2168929.31</v>
      </c>
      <c r="C11" s="88"/>
      <c r="D11" s="14">
        <f>'KY_Cost by Plant Acct P8 (REG)'!D11+'VA_Cost by Plant Acct P10 (REG)'!D11+'TN_Cost by Plant Acct P12 (REG)'!D11</f>
        <v>0</v>
      </c>
      <c r="E11" s="88"/>
      <c r="F11" s="14">
        <f>'KY_Cost by Plant Acct P8 (REG)'!F11+'VA_Cost by Plant Acct P10 (REG)'!F11+'TN_Cost by Plant Acct P12 (REG)'!F11</f>
        <v>0</v>
      </c>
      <c r="G11" s="88"/>
      <c r="H11" s="14">
        <f>'KY_Cost by Plant Acct P8 (REG)'!H11+'VA_Cost by Plant Acct P10 (REG)'!H11+'TN_Cost by Plant Acct P12 (REG)'!H11</f>
        <v>0</v>
      </c>
      <c r="I11" s="88"/>
      <c r="J11" s="14">
        <f t="shared" ref="J11:J26" si="0">H11+F11+D11</f>
        <v>0</v>
      </c>
      <c r="K11" s="88"/>
      <c r="L11" s="14">
        <f t="shared" ref="L11:L26" si="1">J11+B11</f>
        <v>2168929.31</v>
      </c>
      <c r="N11" s="15">
        <f>'KY_Res by Plant Acct P16(REG)'!R10+'KY_Res by Plant Acct P16(REG)'!R11+'VA_Res by Plant Acct P17(REG)'!R10+'TN_Res by Plant Acct P18(REG)'!R10</f>
        <v>-1470684.6999999997</v>
      </c>
      <c r="P11" s="15">
        <f t="shared" ref="P11:P26" si="2">L11+N11</f>
        <v>698244.61000000034</v>
      </c>
    </row>
    <row r="12" spans="1:16" x14ac:dyDescent="0.2">
      <c r="A12" s="3" t="s">
        <v>154</v>
      </c>
      <c r="B12" s="14">
        <f>'KY_Cost by Plant Acct P8 (REG)'!B12+'KY_Cost by Plant Acct P8 (REG)'!B119+'VA_Cost by Plant Acct P10 (REG)'!B12+'TN_Cost by Plant Acct P12 (REG)'!B12</f>
        <v>5673927.9500000011</v>
      </c>
      <c r="C12" s="88"/>
      <c r="D12" s="14">
        <f>'KY_Cost by Plant Acct P8 (REG)'!D12+'KY_Cost by Plant Acct P8 (REG)'!D119+'VA_Cost by Plant Acct P10 (REG)'!D12+'TN_Cost by Plant Acct P12 (REG)'!D12</f>
        <v>0</v>
      </c>
      <c r="E12" s="88"/>
      <c r="F12" s="14">
        <f>'KY_Cost by Plant Acct P8 (REG)'!F12+'VA_Cost by Plant Acct P10 (REG)'!F12+'TN_Cost by Plant Acct P12 (REG)'!F12</f>
        <v>0</v>
      </c>
      <c r="G12" s="88"/>
      <c r="H12" s="14">
        <f>'KY_Cost by Plant Acct P8 (REG)'!H12+'KY_Cost by Plant Acct P8 (REG)'!H119+'VA_Cost by Plant Acct P10 (REG)'!H12+'TN_Cost by Plant Acct P12 (REG)'!H12</f>
        <v>-113882.25</v>
      </c>
      <c r="I12" s="88"/>
      <c r="J12" s="14">
        <f t="shared" si="0"/>
        <v>-113882.25</v>
      </c>
      <c r="K12" s="88"/>
      <c r="L12" s="14">
        <f t="shared" si="1"/>
        <v>5560045.7000000011</v>
      </c>
      <c r="N12" s="15">
        <f>'KY_Res by Plant Acct P16(REG)'!R12</f>
        <v>-7.2759576141834259E-12</v>
      </c>
      <c r="P12" s="15">
        <f t="shared" si="2"/>
        <v>5560045.7000000011</v>
      </c>
    </row>
    <row r="13" spans="1:16" x14ac:dyDescent="0.2">
      <c r="A13" s="3" t="s">
        <v>155</v>
      </c>
      <c r="B13" s="14">
        <f>'KY_Cost by Plant Acct P8 (REG)'!B13+'KY_Cost by Plant Acct P8 (REG)'!B120+'VA_Cost by Plant Acct P10 (REG)'!B13+'TN_Cost by Plant Acct P12 (REG)'!B13+'VA_Cost by Plant Acct P10 (REG)'!B61</f>
        <v>10718796.730000002</v>
      </c>
      <c r="C13" s="88"/>
      <c r="D13" s="14">
        <f>'KY_Cost by Plant Acct P8 (REG)'!D13+'KY_Cost by Plant Acct P8 (REG)'!D120+'VA_Cost by Plant Acct P10 (REG)'!D13+'TN_Cost by Plant Acct P12 (REG)'!D13+'VA_Cost by Plant Acct P10 (REG)'!D61</f>
        <v>2044564.6199999999</v>
      </c>
      <c r="E13" s="88"/>
      <c r="F13" s="14">
        <f>'KY_Cost by Plant Acct P8 (REG)'!F13+'VA_Cost by Plant Acct P10 (REG)'!F13+'TN_Cost by Plant Acct P12 (REG)'!F13</f>
        <v>-15317.6</v>
      </c>
      <c r="G13" s="88"/>
      <c r="H13" s="14">
        <f>'KY_Cost by Plant Acct P8 (REG)'!H13+'KY_Cost by Plant Acct P8 (REG)'!H120+'VA_Cost by Plant Acct P10 (REG)'!H13+'TN_Cost by Plant Acct P12 (REG)'!H13+'VA_Cost by Plant Acct P10 (REG)'!H61</f>
        <v>4946.97</v>
      </c>
      <c r="I13" s="88"/>
      <c r="J13" s="14">
        <f t="shared" si="0"/>
        <v>2034193.99</v>
      </c>
      <c r="K13" s="88"/>
      <c r="L13" s="14">
        <f t="shared" si="1"/>
        <v>12752990.720000003</v>
      </c>
      <c r="N13" s="15">
        <f>'KY_Res by Plant Acct P16(REG)'!R13+'VA_Res by Plant Acct P17(REG)'!R11+'TN_Res by Plant Acct P18(REG)'!R11</f>
        <v>-2451563.0999999996</v>
      </c>
      <c r="P13" s="15">
        <f t="shared" si="2"/>
        <v>10301427.620000003</v>
      </c>
    </row>
    <row r="14" spans="1:16" x14ac:dyDescent="0.2">
      <c r="A14" s="3" t="s">
        <v>156</v>
      </c>
      <c r="B14" s="14">
        <f>'KY_Cost by Plant Acct P8 (REG)'!B14+'KY_Cost by Plant Acct P8 (REG)'!B121+'VA_Cost by Plant Acct P10 (REG)'!B14+'VA_Cost by Plant Acct P10 (REG)'!B62+'TN_Cost by Plant Acct P12 (REG)'!B14+'TN_Cost by Plant Acct P12 (REG)'!B37</f>
        <v>173228756.89000002</v>
      </c>
      <c r="C14" s="88"/>
      <c r="D14" s="14">
        <f>'KY_Cost by Plant Acct P8 (REG)'!D14+'KY_Cost by Plant Acct P8 (REG)'!D121+'VA_Cost by Plant Acct P10 (REG)'!D14+'VA_Cost by Plant Acct P10 (REG)'!D62+'TN_Cost by Plant Acct P12 (REG)'!D14+'TN_Cost by Plant Acct P12 (REG)'!D37</f>
        <v>15490418.5</v>
      </c>
      <c r="E14" s="88"/>
      <c r="F14" s="14">
        <f>'KY_Cost by Plant Acct P8 (REG)'!F14+'KY_Cost by Plant Acct P8 (REG)'!F121+'VA_Cost by Plant Acct P10 (REG)'!F14+'VA_Cost by Plant Acct P10 (REG)'!F62+'TN_Cost by Plant Acct P12 (REG)'!F14+'TN_Cost by Plant Acct P12 (REG)'!F37</f>
        <v>-899151.6</v>
      </c>
      <c r="G14" s="88"/>
      <c r="H14" s="14">
        <f>'KY_Cost by Plant Acct P8 (REG)'!H14+'KY_Cost by Plant Acct P8 (REG)'!H121+'VA_Cost by Plant Acct P10 (REG)'!H14+'VA_Cost by Plant Acct P10 (REG)'!H62+'TN_Cost by Plant Acct P12 (REG)'!H14+'TN_Cost by Plant Acct P12 (REG)'!H37</f>
        <v>-41616.53</v>
      </c>
      <c r="I14" s="88"/>
      <c r="J14" s="14">
        <f t="shared" si="0"/>
        <v>14549650.369999999</v>
      </c>
      <c r="K14" s="88"/>
      <c r="L14" s="14">
        <f t="shared" si="1"/>
        <v>187778407.26000002</v>
      </c>
      <c r="N14" s="15">
        <f>'KY_Res by Plant Acct P16(REG)'!R14+'VA_Res by Plant Acct P17(REG)'!R12+'TN_Res by Plant Acct P18(REG)'!R12</f>
        <v>-50640935.229999982</v>
      </c>
      <c r="P14" s="15">
        <f t="shared" si="2"/>
        <v>137137472.03000003</v>
      </c>
    </row>
    <row r="15" spans="1:16" x14ac:dyDescent="0.2">
      <c r="A15" s="3" t="s">
        <v>157</v>
      </c>
      <c r="B15" s="14">
        <f>'KY_Cost by Plant Acct P8 (REG)'!B15+'KY_Cost by Plant Acct P8 (REG)'!B122+'VA_Cost by Plant Acct P10 (REG)'!B15+'TN_Cost by Plant Acct P12 (REG)'!B15+'VA_Cost by Plant Acct P10 (REG)'!B63</f>
        <v>354797240.32000005</v>
      </c>
      <c r="C15" s="88"/>
      <c r="D15" s="14">
        <f>'KY_Cost by Plant Acct P8 (REG)'!D15+'KY_Cost by Plant Acct P8 (REG)'!D122+'VA_Cost by Plant Acct P10 (REG)'!D15+'TN_Cost by Plant Acct P12 (REG)'!D15+'VA_Cost by Plant Acct P10 (REG)'!D63</f>
        <v>23245319.390000001</v>
      </c>
      <c r="E15" s="88"/>
      <c r="F15" s="14">
        <f>'KY_Cost by Plant Acct P8 (REG)'!F15+'VA_Cost by Plant Acct P10 (REG)'!F15+'TN_Cost by Plant Acct P12 (REG)'!F15</f>
        <v>-1629782.06</v>
      </c>
      <c r="G15" s="88"/>
      <c r="H15" s="14">
        <f>'KY_Cost by Plant Acct P8 (REG)'!H15+'KY_Cost by Plant Acct P8 (REG)'!H122+'VA_Cost by Plant Acct P10 (REG)'!H15+'TN_Cost by Plant Acct P12 (REG)'!H15+'VA_Cost by Plant Acct P10 (REG)'!H63</f>
        <v>0</v>
      </c>
      <c r="I15" s="88"/>
      <c r="J15" s="14">
        <f t="shared" si="0"/>
        <v>21615537.330000002</v>
      </c>
      <c r="K15" s="88"/>
      <c r="L15" s="14">
        <f t="shared" si="1"/>
        <v>376412777.65000004</v>
      </c>
      <c r="N15" s="15">
        <f>'KY_Res by Plant Acct P16(REG)'!R16+'KY_Res by Plant Acct P16(REG)'!R17+'VA_Res by Plant Acct P17(REG)'!R13+'TN_Res by Plant Acct P18(REG)'!R13+'KY_Res by Plant Acct P16(REG)'!R15</f>
        <v>-157660245.90999997</v>
      </c>
      <c r="P15" s="15">
        <f t="shared" si="2"/>
        <v>218752531.74000007</v>
      </c>
    </row>
    <row r="16" spans="1:16" x14ac:dyDescent="0.2">
      <c r="A16" s="3" t="s">
        <v>158</v>
      </c>
      <c r="B16" s="14">
        <f>'KY_Cost by Plant Acct P8 (REG)'!B16+'KY_Cost by Plant Acct P8 (REG)'!B123+'VA_Cost by Plant Acct P10 (REG)'!B16+'TN_Cost by Plant Acct P12 (REG)'!B16+'VA_Cost by Plant Acct P10 (REG)'!B64</f>
        <v>337937644.27000004</v>
      </c>
      <c r="C16" s="88"/>
      <c r="D16" s="14">
        <f>'KY_Cost by Plant Acct P8 (REG)'!D16+'KY_Cost by Plant Acct P8 (REG)'!D123+'VA_Cost by Plant Acct P10 (REG)'!D16+'TN_Cost by Plant Acct P12 (REG)'!D16+'VA_Cost by Plant Acct P10 (REG)'!D64</f>
        <v>27327628.139999997</v>
      </c>
      <c r="E16" s="88"/>
      <c r="F16" s="14">
        <f>'KY_Cost by Plant Acct P8 (REG)'!F16+'VA_Cost by Plant Acct P10 (REG)'!F16+'TN_Cost by Plant Acct P12 (REG)'!F16</f>
        <v>-9797419.1699999999</v>
      </c>
      <c r="G16" s="88"/>
      <c r="H16" s="14">
        <f>'KY_Cost by Plant Acct P8 (REG)'!H16+'KY_Cost by Plant Acct P8 (REG)'!H123+'VA_Cost by Plant Acct P10 (REG)'!H16+'TN_Cost by Plant Acct P12 (REG)'!H16+'VA_Cost by Plant Acct P10 (REG)'!H64</f>
        <v>21928.15</v>
      </c>
      <c r="I16" s="88"/>
      <c r="J16" s="14">
        <f t="shared" si="0"/>
        <v>17552137.119999997</v>
      </c>
      <c r="K16" s="88"/>
      <c r="L16" s="14">
        <f t="shared" si="1"/>
        <v>355489781.39000005</v>
      </c>
      <c r="N16" s="15">
        <f>'KY_Res by Plant Acct P16(REG)'!R18+'KY_Res by Plant Acct P16(REG)'!R19+'VA_Res by Plant Acct P17(REG)'!R14+'TN_Res by Plant Acct P18(REG)'!R14+'KY_Res by Plant Acct P16(REG)'!R20</f>
        <v>-118328380.52999996</v>
      </c>
      <c r="P16" s="15">
        <f t="shared" si="2"/>
        <v>237161400.86000007</v>
      </c>
    </row>
    <row r="17" spans="1:16" x14ac:dyDescent="0.2">
      <c r="A17" s="3" t="s">
        <v>159</v>
      </c>
      <c r="B17" s="14">
        <f>'KY_Cost by Plant Acct P8 (REG)'!B17+'KY_Cost by Plant Acct P8 (REG)'!B124+'TN_Cost by Plant Acct P12 (REG)'!B17+'VA_Cost by Plant Acct P10 (REG)'!B65</f>
        <v>2050521.6899999997</v>
      </c>
      <c r="C17" s="88"/>
      <c r="D17" s="14">
        <f>'KY_Cost by Plant Acct P8 (REG)'!D17+'KY_Cost by Plant Acct P8 (REG)'!D124+'TN_Cost by Plant Acct P12 (REG)'!D17+'VA_Cost by Plant Acct P10 (REG)'!D65</f>
        <v>341835.43</v>
      </c>
      <c r="E17" s="88"/>
      <c r="F17" s="14">
        <f>'KY_Cost by Plant Acct P8 (REG)'!F17+'TN_Cost by Plant Acct P12 (REG)'!F17</f>
        <v>-2186.06</v>
      </c>
      <c r="G17" s="88"/>
      <c r="H17" s="14">
        <f>'KY_Cost by Plant Acct P8 (REG)'!H17+'KY_Cost by Plant Acct P8 (REG)'!H124+'TN_Cost by Plant Acct P12 (REG)'!H17+'VA_Cost by Plant Acct P10 (REG)'!H65</f>
        <v>0</v>
      </c>
      <c r="I17" s="88"/>
      <c r="J17" s="14">
        <f t="shared" si="0"/>
        <v>339649.37</v>
      </c>
      <c r="K17" s="88"/>
      <c r="L17" s="14">
        <f t="shared" si="1"/>
        <v>2390171.0599999996</v>
      </c>
      <c r="N17" s="15">
        <f>'KY_Res by Plant Acct P16(REG)'!R21+'VA_Res by Plant Acct P17(REG)'!R15+'TN_Res by Plant Acct P18(REG)'!R15+'KY_Res by Plant Acct P16(REG)'!R22</f>
        <v>-891117.03</v>
      </c>
      <c r="P17" s="15">
        <f t="shared" si="2"/>
        <v>1499054.0299999996</v>
      </c>
    </row>
    <row r="18" spans="1:16" x14ac:dyDescent="0.2">
      <c r="A18" s="3" t="s">
        <v>160</v>
      </c>
      <c r="B18" s="14">
        <f>'KY_Cost by Plant Acct P8 (REG)'!B18+'KY_Cost by Plant Acct P8 (REG)'!B125+'VA_Cost by Plant Acct P10 (REG)'!B17+'TN_Cost by Plant Acct P12 (REG)'!B18+'VA_Cost by Plant Acct P10 (REG)'!B66</f>
        <v>181393660.78999999</v>
      </c>
      <c r="C18" s="88"/>
      <c r="D18" s="14">
        <f>'KY_Cost by Plant Acct P8 (REG)'!D18+'KY_Cost by Plant Acct P8 (REG)'!D125+'VA_Cost by Plant Acct P10 (REG)'!D17+'TN_Cost by Plant Acct P12 (REG)'!D18+'VA_Cost by Plant Acct P10 (REG)'!D66</f>
        <v>8989984.5100000016</v>
      </c>
      <c r="E18" s="88"/>
      <c r="F18" s="14">
        <f>'KY_Cost by Plant Acct P8 (REG)'!F18+'VA_Cost by Plant Acct P10 (REG)'!F17+'TN_Cost by Plant Acct P12 (REG)'!F18</f>
        <v>-923111.28</v>
      </c>
      <c r="G18" s="88"/>
      <c r="H18" s="14">
        <f>'KY_Cost by Plant Acct P8 (REG)'!H18+'KY_Cost by Plant Acct P8 (REG)'!H125+'VA_Cost by Plant Acct P10 (REG)'!H17+'TN_Cost by Plant Acct P12 (REG)'!H18+'VA_Cost by Plant Acct P10 (REG)'!H66</f>
        <v>0</v>
      </c>
      <c r="I18" s="88"/>
      <c r="J18" s="14">
        <f t="shared" si="0"/>
        <v>8066873.2300000014</v>
      </c>
      <c r="K18" s="88"/>
      <c r="L18" s="14">
        <f t="shared" si="1"/>
        <v>189460534.01999998</v>
      </c>
      <c r="N18" s="15">
        <f>'KY_Res by Plant Acct P16(REG)'!R23+'VA_Res by Plant Acct P17(REG)'!R16+'TN_Res by Plant Acct P18(REG)'!R16+'KY_Res by Plant Acct P16(REG)'!R24</f>
        <v>-44014913.909999989</v>
      </c>
      <c r="P18" s="15">
        <f t="shared" si="2"/>
        <v>145445620.10999998</v>
      </c>
    </row>
    <row r="19" spans="1:16" x14ac:dyDescent="0.2">
      <c r="A19" s="3" t="s">
        <v>161</v>
      </c>
      <c r="B19" s="14">
        <f>'KY_Cost by Plant Acct P8 (REG)'!B19+'KY_Cost by Plant Acct P8 (REG)'!B126+'VA_Cost by Plant Acct P10 (REG)'!B18+'TN_Cost by Plant Acct P12 (REG)'!B19+'VA_Cost by Plant Acct P10 (REG)'!B67</f>
        <v>308054000.11000001</v>
      </c>
      <c r="C19" s="88"/>
      <c r="D19" s="14">
        <f>'KY_Cost by Plant Acct P8 (REG)'!D19+'KY_Cost by Plant Acct P8 (REG)'!D126+'VA_Cost by Plant Acct P10 (REG)'!D18+'TN_Cost by Plant Acct P12 (REG)'!D19+'VA_Cost by Plant Acct P10 (REG)'!D67</f>
        <v>8069191.0499999998</v>
      </c>
      <c r="E19" s="88"/>
      <c r="F19" s="14">
        <f>'KY_Cost by Plant Acct P8 (REG)'!F19+'VA_Cost by Plant Acct P10 (REG)'!F18+'TN_Cost by Plant Acct P12 (REG)'!F19</f>
        <v>-1463668.85</v>
      </c>
      <c r="G19" s="88"/>
      <c r="H19" s="14">
        <f>'KY_Cost by Plant Acct P8 (REG)'!H19+'KY_Cost by Plant Acct P8 (REG)'!H126+'VA_Cost by Plant Acct P10 (REG)'!H18+'TN_Cost by Plant Acct P12 (REG)'!H19+'VA_Cost by Plant Acct P10 (REG)'!H67</f>
        <v>0</v>
      </c>
      <c r="I19" s="88"/>
      <c r="J19" s="14">
        <f t="shared" si="0"/>
        <v>6605522.1999999993</v>
      </c>
      <c r="K19" s="88"/>
      <c r="L19" s="14">
        <f t="shared" si="1"/>
        <v>314659522.31</v>
      </c>
      <c r="N19" s="15">
        <f>'KY_Res by Plant Acct P16(REG)'!R25+'VA_Res by Plant Acct P17(REG)'!R17+'TN_Res by Plant Acct P18(REG)'!R17</f>
        <v>-147094772.66</v>
      </c>
      <c r="P19" s="15">
        <f t="shared" si="2"/>
        <v>167564749.65000001</v>
      </c>
    </row>
    <row r="20" spans="1:16" x14ac:dyDescent="0.2">
      <c r="A20" s="3" t="s">
        <v>162</v>
      </c>
      <c r="B20" s="14">
        <f>'KY_Cost by Plant Acct P8 (REG)'!B20+'KY_Cost by Plant Acct P8 (REG)'!B127+'VA_Cost by Plant Acct P10 (REG)'!B19+'TN_Cost by Plant Acct P12 (REG)'!B20+'VA_Cost by Plant Acct P10 (REG)'!B68</f>
        <v>94875368.049999997</v>
      </c>
      <c r="C20" s="88"/>
      <c r="D20" s="14">
        <f>'KY_Cost by Plant Acct P8 (REG)'!D20+'KY_Cost by Plant Acct P8 (REG)'!D127+'VA_Cost by Plant Acct P10 (REG)'!D19+'TN_Cost by Plant Acct P12 (REG)'!D20+'VA_Cost by Plant Acct P10 (REG)'!D68</f>
        <v>8855296.6800000016</v>
      </c>
      <c r="E20" s="88"/>
      <c r="F20" s="14">
        <f>'KY_Cost by Plant Acct P8 (REG)'!F20+'VA_Cost by Plant Acct P10 (REG)'!F19+'TN_Cost by Plant Acct P12 (REG)'!F20</f>
        <v>-253089.96000000002</v>
      </c>
      <c r="G20" s="88"/>
      <c r="H20" s="14">
        <f>'KY_Cost by Plant Acct P8 (REG)'!H20+'KY_Cost by Plant Acct P8 (REG)'!H127+'VA_Cost by Plant Acct P10 (REG)'!H19+'TN_Cost by Plant Acct P12 (REG)'!H20+'VA_Cost by Plant Acct P10 (REG)'!H68</f>
        <v>0</v>
      </c>
      <c r="I20" s="88"/>
      <c r="J20" s="14">
        <f t="shared" si="0"/>
        <v>8602206.7200000007</v>
      </c>
      <c r="K20" s="88"/>
      <c r="L20" s="14">
        <f t="shared" si="1"/>
        <v>103477574.77</v>
      </c>
      <c r="N20" s="15">
        <f>'KY_Res by Plant Acct P16(REG)'!R26+'VA_Res by Plant Acct P17(REG)'!R18+'TN_Res by Plant Acct P18(REG)'!R18</f>
        <v>-63217164.030000009</v>
      </c>
      <c r="P20" s="15">
        <f t="shared" si="2"/>
        <v>40260410.739999987</v>
      </c>
    </row>
    <row r="21" spans="1:16" x14ac:dyDescent="0.2">
      <c r="A21" s="3" t="s">
        <v>163</v>
      </c>
      <c r="B21" s="14">
        <f>'KY_Cost by Plant Acct P8 (REG)'!B21+'VA_Cost by Plant Acct P10 (REG)'!B20+'TN_Cost by Plant Acct P12 (REG)'!B21+'KY_Cost by Plant Acct P8 (REG)'!B128+'VA_Cost by Plant Acct P10 (REG)'!B69</f>
        <v>76629482.540000007</v>
      </c>
      <c r="C21" s="14">
        <f>'KY_Cost by Plant Acct P8 (REG)'!C21+'VA_Cost by Plant Acct P10 (REG)'!C20+'TN_Cost by Plant Acct P12 (REG)'!C21+'KY_Cost by Plant Acct P8 (REG)'!C128+'VA_Cost by Plant Acct P10 (REG)'!C69</f>
        <v>0</v>
      </c>
      <c r="D21" s="14">
        <f>'KY_Cost by Plant Acct P8 (REG)'!D21+'VA_Cost by Plant Acct P10 (REG)'!D20+'TN_Cost by Plant Acct P12 (REG)'!D21+'KY_Cost by Plant Acct P8 (REG)'!D128+'VA_Cost by Plant Acct P10 (REG)'!D69</f>
        <v>2455665.2000000002</v>
      </c>
      <c r="E21" s="14">
        <f>'KY_Cost by Plant Acct P8 (REG)'!E21+'VA_Cost by Plant Acct P10 (REG)'!E20+'TN_Cost by Plant Acct P12 (REG)'!E21+'KY_Cost by Plant Acct P8 (REG)'!E128+'VA_Cost by Plant Acct P10 (REG)'!E69</f>
        <v>0</v>
      </c>
      <c r="F21" s="14">
        <f>'KY_Cost by Plant Acct P8 (REG)'!F21+'VA_Cost by Plant Acct P10 (REG)'!F20+'TN_Cost by Plant Acct P12 (REG)'!F21+'KY_Cost by Plant Acct P8 (REG)'!F128+'VA_Cost by Plant Acct P10 (REG)'!F69</f>
        <v>-827990.75</v>
      </c>
      <c r="G21" s="14">
        <f>'KY_Cost by Plant Acct P8 (REG)'!G21+'VA_Cost by Plant Acct P10 (REG)'!G20+'TN_Cost by Plant Acct P12 (REG)'!G21+'KY_Cost by Plant Acct P8 (REG)'!G128+'VA_Cost by Plant Acct P10 (REG)'!G69</f>
        <v>0</v>
      </c>
      <c r="H21" s="14">
        <f>'KY_Cost by Plant Acct P8 (REG)'!H21+'VA_Cost by Plant Acct P10 (REG)'!H20+'TN_Cost by Plant Acct P12 (REG)'!H21+'KY_Cost by Plant Acct P8 (REG)'!H128+'VA_Cost by Plant Acct P10 (REG)'!H69</f>
        <v>0</v>
      </c>
      <c r="I21" s="88"/>
      <c r="J21" s="14">
        <f t="shared" si="0"/>
        <v>1627674.4500000002</v>
      </c>
      <c r="K21" s="88"/>
      <c r="L21" s="14">
        <f t="shared" si="1"/>
        <v>78257156.99000001</v>
      </c>
      <c r="N21" s="15">
        <f>'KY_Res by Plant Acct P16(REG)'!R27+'VA_Res by Plant Acct P17(REG)'!R19+'TN_Res by Plant Acct P18(REG)'!R19</f>
        <v>-38891419.920000002</v>
      </c>
      <c r="P21" s="15">
        <f t="shared" si="2"/>
        <v>39365737.070000008</v>
      </c>
    </row>
    <row r="22" spans="1:16" x14ac:dyDescent="0.2">
      <c r="A22" s="43" t="s">
        <v>164</v>
      </c>
      <c r="B22" s="14">
        <f>'KY_Cost by Plant Acct P8 (REG)'!B22+'KY_Cost by Plant Acct P8 (REG)'!B129</f>
        <v>698893.34</v>
      </c>
      <c r="C22" s="88"/>
      <c r="D22" s="14">
        <f>'KY_Cost by Plant Acct P8 (REG)'!D22+'KY_Cost by Plant Acct P8 (REG)'!D129</f>
        <v>300884.67999999993</v>
      </c>
      <c r="E22" s="14">
        <f>'KY_Cost by Plant Acct P8 (REG)'!E22+'VA_Cost by Plant Acct P10 (REG)'!E21+'TN_Cost by Plant Acct P12 (REG)'!E22+'KY_Cost by Plant Acct P8 (REG)'!E129+'VA_Cost by Plant Acct P10 (REG)'!E70</f>
        <v>0</v>
      </c>
      <c r="F22" s="14">
        <f>'KY_Cost by Plant Acct P8 (REG)'!F22+'KY_Cost by Plant Acct P8 (REG)'!F129</f>
        <v>0</v>
      </c>
      <c r="G22" s="14">
        <f>'KY_Cost by Plant Acct P8 (REG)'!G22+'VA_Cost by Plant Acct P10 (REG)'!G21+'TN_Cost by Plant Acct P12 (REG)'!G22+'KY_Cost by Plant Acct P8 (REG)'!G129+'VA_Cost by Plant Acct P10 (REG)'!G70</f>
        <v>0</v>
      </c>
      <c r="H22" s="14">
        <f>'KY_Cost by Plant Acct P8 (REG)'!H22+'KY_Cost by Plant Acct P8 (REG)'!H129</f>
        <v>0</v>
      </c>
      <c r="I22" s="88"/>
      <c r="J22" s="14">
        <f t="shared" si="0"/>
        <v>300884.67999999993</v>
      </c>
      <c r="K22" s="88"/>
      <c r="L22" s="14">
        <f t="shared" si="1"/>
        <v>999778.0199999999</v>
      </c>
      <c r="N22" s="15">
        <f>'KY_Res by Plant Acct P16(REG)'!R28</f>
        <v>-23805.96</v>
      </c>
      <c r="P22" s="15">
        <f t="shared" si="2"/>
        <v>975972.05999999994</v>
      </c>
    </row>
    <row r="23" spans="1:16" x14ac:dyDescent="0.2">
      <c r="A23" s="3" t="s">
        <v>165</v>
      </c>
      <c r="B23" s="14">
        <f>'KY_Cost by Plant Acct P8 (REG)'!B23+'VA_Cost by Plant Acct P10 (REG)'!B21+'TN_Cost by Plant Acct P12 (REG)'!B22</f>
        <v>17054091.739999998</v>
      </c>
      <c r="C23" s="88"/>
      <c r="D23" s="14">
        <f>'KY_Cost by Plant Acct P8 (REG)'!D23+'VA_Cost by Plant Acct P10 (REG)'!D21+'TN_Cost by Plant Acct P12 (REG)'!D22</f>
        <v>0</v>
      </c>
      <c r="E23" s="88"/>
      <c r="F23" s="14">
        <f>'KY_Cost by Plant Acct P8 (REG)'!F23+'VA_Cost by Plant Acct P10 (REG)'!F21+'TN_Cost by Plant Acct P12 (REG)'!F22</f>
        <v>3735.54</v>
      </c>
      <c r="G23" s="88"/>
      <c r="H23" s="14">
        <f>'KY_Cost by Plant Acct P8 (REG)'!H23+'VA_Cost by Plant Acct P10 (REG)'!H21+'TN_Cost by Plant Acct P12 (REG)'!H22</f>
        <v>-17057827.280000001</v>
      </c>
      <c r="I23" s="88"/>
      <c r="J23" s="14">
        <f t="shared" si="0"/>
        <v>-17054091.740000002</v>
      </c>
      <c r="K23" s="88"/>
      <c r="L23" s="14">
        <f t="shared" si="1"/>
        <v>0</v>
      </c>
      <c r="N23" s="15">
        <f>'KY_Res by Plant Acct P16(REG)'!R29+'VA_Res by Plant Acct P17(REG)'!R20+'TN_Res by Plant Acct P18(REG)'!R20</f>
        <v>-6.0349520936142653E-9</v>
      </c>
      <c r="P23" s="15">
        <f t="shared" si="2"/>
        <v>-6.0349520936142653E-9</v>
      </c>
    </row>
    <row r="24" spans="1:16" x14ac:dyDescent="0.2">
      <c r="A24" s="3" t="s">
        <v>166</v>
      </c>
      <c r="B24" s="14">
        <f>'KY_Cost by Plant Acct P8 (REG)'!B24+'KY_Cost by Plant Acct P8 (REG)'!B130+'VA_Cost by Plant Acct P10 (REG)'!B22+'VA_Cost by Plant Acct P10 (REG)'!B70</f>
        <v>95997822.299999997</v>
      </c>
      <c r="C24" s="89"/>
      <c r="D24" s="14">
        <f>'KY_Cost by Plant Acct P8 (REG)'!D24+'KY_Cost by Plant Acct P8 (REG)'!D130+'VA_Cost by Plant Acct P10 (REG)'!D22+'VA_Cost by Plant Acct P10 (REG)'!D70</f>
        <v>7994530.2799999993</v>
      </c>
      <c r="E24" s="89"/>
      <c r="F24" s="14">
        <f>'KY_Cost by Plant Acct P8 (REG)'!F24+'VA_Cost by Plant Acct P10 (REG)'!F22</f>
        <v>-4610486.05</v>
      </c>
      <c r="G24" s="89"/>
      <c r="H24" s="14">
        <f>'KY_Cost by Plant Acct P8 (REG)'!H24+'KY_Cost by Plant Acct P8 (REG)'!H130+'VA_Cost by Plant Acct P10 (REG)'!H22+'VA_Cost by Plant Acct P10 (REG)'!H70</f>
        <v>17057827.280000001</v>
      </c>
      <c r="I24" s="89"/>
      <c r="J24" s="17">
        <f t="shared" si="0"/>
        <v>20441871.509999998</v>
      </c>
      <c r="K24" s="89"/>
      <c r="L24" s="17">
        <f t="shared" si="1"/>
        <v>116439693.81</v>
      </c>
      <c r="N24" s="15">
        <f>'KY_Res by Plant Acct P16(REG)'!R30+'VA_Res by Plant Acct P17(REG)'!R21</f>
        <v>-37468870.829999991</v>
      </c>
      <c r="P24" s="15">
        <f t="shared" si="2"/>
        <v>78970822.980000019</v>
      </c>
    </row>
    <row r="25" spans="1:16" x14ac:dyDescent="0.2">
      <c r="A25" s="3" t="s">
        <v>167</v>
      </c>
      <c r="B25" s="17">
        <f>'KY_Cost by Plant Acct P8 (REG)'!B25</f>
        <v>285453.15999999997</v>
      </c>
      <c r="C25" s="89"/>
      <c r="D25" s="17">
        <f>'KY_Cost by Plant Acct P8 (REG)'!D25</f>
        <v>0</v>
      </c>
      <c r="E25" s="89"/>
      <c r="F25" s="17">
        <f>'KY_Cost by Plant Acct P8 (REG)'!F25</f>
        <v>-2798.53</v>
      </c>
      <c r="G25" s="89"/>
      <c r="H25" s="17">
        <f>'KY_Cost by Plant Acct P8 (REG)'!H25</f>
        <v>339491.86</v>
      </c>
      <c r="I25" s="89"/>
      <c r="J25" s="17">
        <f t="shared" si="0"/>
        <v>336693.32999999996</v>
      </c>
      <c r="K25" s="89"/>
      <c r="L25" s="17">
        <f t="shared" si="1"/>
        <v>622146.49</v>
      </c>
      <c r="M25" s="59"/>
      <c r="N25" s="60">
        <f>'KY_Res by Plant Acct P16(REG)'!R31</f>
        <v>-23306.199999999964</v>
      </c>
      <c r="O25" s="59"/>
      <c r="P25" s="60">
        <f t="shared" si="2"/>
        <v>598840.29</v>
      </c>
    </row>
    <row r="26" spans="1:16" x14ac:dyDescent="0.2">
      <c r="A26" s="73" t="s">
        <v>168</v>
      </c>
      <c r="B26" s="17">
        <f>'KY_Cost by Plant Acct P8 (REG)'!B26</f>
        <v>622242.23</v>
      </c>
      <c r="C26" s="89"/>
      <c r="D26" s="17">
        <f>'KY_Cost by Plant Acct P8 (REG)'!D26</f>
        <v>0</v>
      </c>
      <c r="E26" s="89"/>
      <c r="F26" s="17">
        <f>'KY_Cost by Plant Acct P8 (REG)'!F26</f>
        <v>0</v>
      </c>
      <c r="G26" s="89"/>
      <c r="H26" s="17">
        <f>'KY_Cost by Plant Acct P8 (REG)'!H26</f>
        <v>-550985.65</v>
      </c>
      <c r="I26" s="89"/>
      <c r="J26" s="17">
        <f t="shared" si="0"/>
        <v>-550985.65</v>
      </c>
      <c r="K26" s="89"/>
      <c r="L26" s="17">
        <f t="shared" si="1"/>
        <v>71256.579999999958</v>
      </c>
      <c r="N26" s="60">
        <f>'KY_Res by Plant Acct P16(REG)'!R32</f>
        <v>-101191.59999999999</v>
      </c>
      <c r="P26" s="60">
        <f t="shared" si="2"/>
        <v>-29935.020000000033</v>
      </c>
    </row>
    <row r="27" spans="1:16" x14ac:dyDescent="0.2">
      <c r="B27" s="18">
        <f>SUM(B11:B26)</f>
        <v>1662186831.4199998</v>
      </c>
      <c r="C27" s="89"/>
      <c r="D27" s="18">
        <f>SUM(D11:D26)</f>
        <v>105115318.48000003</v>
      </c>
      <c r="E27" s="89"/>
      <c r="F27" s="18">
        <f>SUM(F11:F26)</f>
        <v>-20421266.370000001</v>
      </c>
      <c r="G27" s="89"/>
      <c r="H27" s="18">
        <f>SUM(H11:H26)</f>
        <v>-340117.45000000019</v>
      </c>
      <c r="I27" s="89"/>
      <c r="J27" s="18">
        <f>SUM(J11:J26)</f>
        <v>84353934.659999996</v>
      </c>
      <c r="K27" s="89"/>
      <c r="L27" s="18">
        <f>SUM(L11:L26)</f>
        <v>1746540766.0799999</v>
      </c>
      <c r="N27" s="18">
        <f>SUM(N11:N26)</f>
        <v>-662278371.6099999</v>
      </c>
      <c r="P27" s="18">
        <f>SUM(P11:P26)</f>
        <v>1084262394.4700003</v>
      </c>
    </row>
    <row r="28" spans="1:16" x14ac:dyDescent="0.2">
      <c r="B28" s="17"/>
      <c r="C28" s="89"/>
      <c r="D28" s="17"/>
      <c r="E28" s="89"/>
      <c r="F28" s="17"/>
      <c r="G28" s="89"/>
      <c r="H28" s="17"/>
      <c r="I28" s="89"/>
      <c r="J28" s="17"/>
      <c r="K28" s="89"/>
      <c r="L28" s="17"/>
    </row>
    <row r="29" spans="1:16" x14ac:dyDescent="0.2">
      <c r="A29" s="12" t="s">
        <v>13</v>
      </c>
      <c r="B29" s="17"/>
      <c r="C29" s="89"/>
      <c r="D29" s="17"/>
      <c r="E29" s="89"/>
      <c r="F29" s="17"/>
      <c r="G29" s="89"/>
      <c r="H29" s="17"/>
      <c r="I29" s="89"/>
      <c r="J29" s="17"/>
      <c r="K29" s="89"/>
      <c r="L29" s="17"/>
    </row>
    <row r="30" spans="1:16" x14ac:dyDescent="0.2">
      <c r="A30" s="43" t="s">
        <v>170</v>
      </c>
      <c r="B30" s="14">
        <f>'KY_Cost by Plant Acct P8 (REG)'!B30+'VA_Cost by Plant Acct P10 (REG)'!B26</f>
        <v>2810081.6</v>
      </c>
      <c r="C30" s="88"/>
      <c r="D30" s="14">
        <f>'KY_Cost by Plant Acct P8 (REG)'!D30+'VA_Cost by Plant Acct P10 (REG)'!D26</f>
        <v>620034.90999999992</v>
      </c>
      <c r="E30" s="88"/>
      <c r="F30" s="14">
        <f>'KY_Cost by Plant Acct P8 (REG)'!F30+'VA_Cost by Plant Acct P10 (REG)'!F26</f>
        <v>0</v>
      </c>
      <c r="G30" s="88"/>
      <c r="H30" s="14">
        <f>'KY_Cost by Plant Acct P8 (REG)'!H30+'VA_Cost by Plant Acct P10 (REG)'!H26</f>
        <v>0</v>
      </c>
      <c r="I30" s="88"/>
      <c r="J30" s="14">
        <f t="shared" ref="J30:J46" si="3">H30+F30+D30</f>
        <v>620034.90999999992</v>
      </c>
      <c r="K30" s="88"/>
      <c r="L30" s="14">
        <f t="shared" ref="L30:L46" si="4">J30+B30</f>
        <v>3430116.51</v>
      </c>
      <c r="N30" s="15">
        <f>'KY_Res by Plant Acct P16(REG)'!R36</f>
        <v>1.8189894035458565E-12</v>
      </c>
      <c r="P30" s="15">
        <f t="shared" ref="P30:P46" si="5">L30+N30</f>
        <v>3430116.51</v>
      </c>
    </row>
    <row r="31" spans="1:16" x14ac:dyDescent="0.2">
      <c r="A31" s="3" t="s">
        <v>171</v>
      </c>
      <c r="B31" s="35">
        <f>'KY_Cost by Plant Acct P8 (REG)'!B31+'VA_Cost by Plant Acct P10 (REG)'!B27+'KY_Cost by Plant Acct P8 (REG)'!B134+'VA_Cost by Plant Acct P10 (REG)'!B74</f>
        <v>56676361.140000001</v>
      </c>
      <c r="C31" s="88"/>
      <c r="D31" s="35">
        <f>'KY_Cost by Plant Acct P8 (REG)'!D31+'VA_Cost by Plant Acct P10 (REG)'!D27+'KY_Cost by Plant Acct P8 (REG)'!D134+'VA_Cost by Plant Acct P10 (REG)'!D74</f>
        <v>2675848.29</v>
      </c>
      <c r="E31" s="88"/>
      <c r="F31" s="35">
        <f>'KY_Cost by Plant Acct P8 (REG)'!F31+'VA_Cost by Plant Acct P10 (REG)'!F27+'KY_Cost by Plant Acct P8 (REG)'!F134+'VA_Cost by Plant Acct P10 (REG)'!F74</f>
        <v>-676963.61</v>
      </c>
      <c r="G31" s="88"/>
      <c r="H31" s="35">
        <f>'KY_Cost by Plant Acct P8 (REG)'!H31+'VA_Cost by Plant Acct P10 (REG)'!H27+'KY_Cost by Plant Acct P8 (REG)'!H134+'VA_Cost by Plant Acct P10 (REG)'!H74</f>
        <v>46914.46</v>
      </c>
      <c r="I31" s="88"/>
      <c r="J31" s="14">
        <f t="shared" si="3"/>
        <v>2045799.1400000001</v>
      </c>
      <c r="K31" s="88"/>
      <c r="L31" s="14">
        <f t="shared" si="4"/>
        <v>58722160.280000001</v>
      </c>
      <c r="N31" s="15">
        <f>'KY_Res by Plant Acct P16(REG)'!R37+'VA_Res by Plant Acct P17(REG)'!R25+'KY_Res by Plant Acct P16(REG)'!R40+'KY_Res by Plant Acct P16(REG)'!R38+'KY_Res by Plant Acct P16(REG)'!R39+'KY_Res by Plant Acct P16(REG)'!R41</f>
        <v>-11498204.000000002</v>
      </c>
      <c r="P31" s="15">
        <f t="shared" si="5"/>
        <v>47223956.280000001</v>
      </c>
    </row>
    <row r="32" spans="1:16" x14ac:dyDescent="0.2">
      <c r="A32" s="3" t="s">
        <v>172</v>
      </c>
      <c r="B32" s="14">
        <f>'KY_Cost by Plant Acct P8 (REG)'!B32+'VA_Cost by Plant Acct P10 (REG)'!B28</f>
        <v>528658.33000000007</v>
      </c>
      <c r="C32" s="14">
        <f>'KY_Cost by Plant Acct P8 (REG)'!C32+'VA_Cost by Plant Acct P10 (REG)'!C28</f>
        <v>0</v>
      </c>
      <c r="D32" s="14">
        <f>'KY_Cost by Plant Acct P8 (REG)'!D32+'VA_Cost by Plant Acct P10 (REG)'!D28</f>
        <v>0</v>
      </c>
      <c r="E32" s="88"/>
      <c r="F32" s="14">
        <f>'KY_Cost by Plant Acct P8 (REG)'!F32+'VA_Cost by Plant Acct P10 (REG)'!F28</f>
        <v>0</v>
      </c>
      <c r="G32" s="88"/>
      <c r="H32" s="14">
        <f>'KY_Cost by Plant Acct P8 (REG)'!H32+'VA_Cost by Plant Acct P10 (REG)'!H28</f>
        <v>-46914.46</v>
      </c>
      <c r="I32" s="88"/>
      <c r="J32" s="14">
        <f t="shared" si="3"/>
        <v>-46914.46</v>
      </c>
      <c r="K32" s="88"/>
      <c r="L32" s="14">
        <f t="shared" si="4"/>
        <v>481743.87000000005</v>
      </c>
      <c r="N32" s="15">
        <f>'KY_Res by Plant Acct P16(REG)'!R64+'VA_Res by Plant Acct P17(REG)'!R28</f>
        <v>-401409.34</v>
      </c>
      <c r="P32" s="15">
        <f t="shared" si="5"/>
        <v>80334.530000000028</v>
      </c>
    </row>
    <row r="33" spans="1:16" x14ac:dyDescent="0.2">
      <c r="A33" s="3" t="s">
        <v>173</v>
      </c>
      <c r="B33" s="14">
        <f>'KY_Cost by Plant Acct P8 (REG)'!B33+'KY_Cost by Plant Acct P8 (REG)'!B135+'VA_Cost by Plant Acct P10 (REG)'!B29</f>
        <v>9997759.4700000007</v>
      </c>
      <c r="C33" s="88"/>
      <c r="D33" s="14">
        <f>'KY_Cost by Plant Acct P8 (REG)'!D33+'KY_Cost by Plant Acct P8 (REG)'!D135+'VA_Cost by Plant Acct P10 (REG)'!D29</f>
        <v>1515880.88</v>
      </c>
      <c r="E33" s="88"/>
      <c r="F33" s="14">
        <f>'KY_Cost by Plant Acct P8 (REG)'!F33+'KY_Cost by Plant Acct P8 (REG)'!F135+'VA_Cost by Plant Acct P10 (REG)'!F29</f>
        <v>-1071054.3600000001</v>
      </c>
      <c r="G33" s="88"/>
      <c r="H33" s="14">
        <f>'KY_Cost by Plant Acct P8 (REG)'!H33+'KY_Cost by Plant Acct P8 (REG)'!H135+'VA_Cost by Plant Acct P10 (REG)'!H29</f>
        <v>0</v>
      </c>
      <c r="I33" s="88"/>
      <c r="J33" s="14">
        <f t="shared" si="3"/>
        <v>444826.51999999979</v>
      </c>
      <c r="K33" s="88"/>
      <c r="L33" s="14">
        <f t="shared" si="4"/>
        <v>10442585.99</v>
      </c>
      <c r="N33" s="15">
        <f>'KY_Res by Plant Acct P16(REG)'!R65+'VA_Res by Plant Acct P17(REG)'!R29</f>
        <v>-5027928.9599999981</v>
      </c>
      <c r="P33" s="15">
        <f t="shared" si="5"/>
        <v>5414657.0300000021</v>
      </c>
    </row>
    <row r="34" spans="1:16" x14ac:dyDescent="0.2">
      <c r="A34" s="3" t="s">
        <v>174</v>
      </c>
      <c r="B34" s="14">
        <f>'KY_Cost by Plant Acct P8 (REG)'!B34+'KY_Cost by Plant Acct P8 (REG)'!B136+'VA_Cost by Plant Acct P10 (REG)'!B30</f>
        <v>26955602.789999995</v>
      </c>
      <c r="C34" s="88"/>
      <c r="D34" s="14">
        <f>'KY_Cost by Plant Acct P8 (REG)'!D34+'KY_Cost by Plant Acct P8 (REG)'!D136+'VA_Cost by Plant Acct P10 (REG)'!D30</f>
        <v>3875093.38</v>
      </c>
      <c r="E34" s="88"/>
      <c r="F34" s="14">
        <f>'KY_Cost by Plant Acct P8 (REG)'!F34+'KY_Cost by Plant Acct P8 (REG)'!F136+'VA_Cost by Plant Acct P10 (REG)'!F30</f>
        <v>-4236675.62</v>
      </c>
      <c r="G34" s="88"/>
      <c r="H34" s="14">
        <f>'KY_Cost by Plant Acct P8 (REG)'!H34+'KY_Cost by Plant Acct P8 (REG)'!H136+'VA_Cost by Plant Acct P10 (REG)'!H30</f>
        <v>0</v>
      </c>
      <c r="I34" s="88"/>
      <c r="J34" s="14">
        <f t="shared" si="3"/>
        <v>-361582.24000000022</v>
      </c>
      <c r="K34" s="88"/>
      <c r="L34" s="14">
        <f t="shared" si="4"/>
        <v>26594020.549999997</v>
      </c>
      <c r="N34" s="15">
        <f>'KY_Res by Plant Acct P16(REG)'!R66+'VA_Res by Plant Acct P17(REG)'!R30</f>
        <v>-15523744.880000001</v>
      </c>
      <c r="P34" s="15">
        <f t="shared" si="5"/>
        <v>11070275.669999996</v>
      </c>
    </row>
    <row r="35" spans="1:16" x14ac:dyDescent="0.2">
      <c r="A35" s="3" t="s">
        <v>175</v>
      </c>
      <c r="B35" s="14">
        <f>'KY_Cost by Plant Acct P8 (REG)'!B35+'KY_Cost by Plant Acct P8 (REG)'!B137</f>
        <v>0</v>
      </c>
      <c r="C35" s="88"/>
      <c r="D35" s="14">
        <f>'KY_Cost by Plant Acct P8 (REG)'!D35+'KY_Cost by Plant Acct P8 (REG)'!D137</f>
        <v>0</v>
      </c>
      <c r="E35" s="88"/>
      <c r="F35" s="14">
        <f>'KY_Cost by Plant Acct P8 (REG)'!F35+'KY_Cost by Plant Acct P8 (REG)'!F137</f>
        <v>0</v>
      </c>
      <c r="G35" s="88"/>
      <c r="H35" s="14">
        <f>'KY_Cost by Plant Acct P8 (REG)'!H35+'KY_Cost by Plant Acct P8 (REG)'!H137</f>
        <v>0</v>
      </c>
      <c r="I35" s="88"/>
      <c r="J35" s="14">
        <f t="shared" si="3"/>
        <v>0</v>
      </c>
      <c r="K35" s="88"/>
      <c r="L35" s="14">
        <f t="shared" si="4"/>
        <v>0</v>
      </c>
      <c r="N35" s="15">
        <f>'KY_Res by Plant Acct P16(REG)'!R67</f>
        <v>0</v>
      </c>
      <c r="P35" s="15">
        <f t="shared" si="5"/>
        <v>0</v>
      </c>
    </row>
    <row r="36" spans="1:16" x14ac:dyDescent="0.2">
      <c r="A36" s="3" t="s">
        <v>176</v>
      </c>
      <c r="B36" s="14">
        <f>'KY_Cost by Plant Acct P8 (REG)'!B36+'KY_Cost by Plant Acct P8 (REG)'!B138</f>
        <v>7487177.8600000003</v>
      </c>
      <c r="C36" s="88"/>
      <c r="D36" s="14">
        <f>'KY_Cost by Plant Acct P8 (REG)'!D36+'KY_Cost by Plant Acct P8 (REG)'!D138</f>
        <v>192500.22999999998</v>
      </c>
      <c r="E36" s="88"/>
      <c r="F36" s="14">
        <f>'KY_Cost by Plant Acct P8 (REG)'!F36+'KY_Cost by Plant Acct P8 (REG)'!F138</f>
        <v>-3267500.19</v>
      </c>
      <c r="G36" s="88"/>
      <c r="H36" s="14">
        <f>'KY_Cost by Plant Acct P8 (REG)'!H36+'KY_Cost by Plant Acct P8 (REG)'!H138</f>
        <v>0</v>
      </c>
      <c r="I36" s="88"/>
      <c r="J36" s="14">
        <f t="shared" si="3"/>
        <v>-3074999.96</v>
      </c>
      <c r="K36" s="88"/>
      <c r="L36" s="14">
        <f t="shared" si="4"/>
        <v>4412177.9000000004</v>
      </c>
      <c r="N36" s="15">
        <f>'KY_Res by Plant Acct P16(REG)'!R68</f>
        <v>-607893.88999999966</v>
      </c>
      <c r="P36" s="15">
        <f t="shared" si="5"/>
        <v>3804284.0100000007</v>
      </c>
    </row>
    <row r="37" spans="1:16" x14ac:dyDescent="0.2">
      <c r="A37" s="3" t="s">
        <v>177</v>
      </c>
      <c r="B37" s="14">
        <f>'KY_Cost by Plant Acct P8 (REG)'!B37+'VA_Cost by Plant Acct P10 (REG)'!B31</f>
        <v>1080256.709999999</v>
      </c>
      <c r="C37" s="88"/>
      <c r="D37" s="14">
        <f>'KY_Cost by Plant Acct P8 (REG)'!D37+'VA_Cost by Plant Acct P10 (REG)'!D31</f>
        <v>397777.47</v>
      </c>
      <c r="E37" s="88"/>
      <c r="F37" s="14">
        <f>'KY_Cost by Plant Acct P8 (REG)'!F37+'VA_Cost by Plant Acct P10 (REG)'!F31</f>
        <v>-158179.93</v>
      </c>
      <c r="G37" s="88"/>
      <c r="H37" s="14">
        <f>'KY_Cost by Plant Acct P8 (REG)'!H37+'VA_Cost by Plant Acct P10 (REG)'!H31</f>
        <v>19403.82</v>
      </c>
      <c r="I37" s="88"/>
      <c r="J37" s="14">
        <f t="shared" si="3"/>
        <v>259001.36</v>
      </c>
      <c r="K37" s="88"/>
      <c r="L37" s="14">
        <f t="shared" si="4"/>
        <v>1339258.0699999989</v>
      </c>
      <c r="N37" s="15">
        <f>'KY_Res by Plant Acct P16(REG)'!R70+'VA_Res by Plant Acct P17(REG)'!R31+'KY_Res by Plant Acct P16(REG)'!R69</f>
        <v>-826252.80999999621</v>
      </c>
      <c r="P37" s="15">
        <f t="shared" si="5"/>
        <v>513005.26000000269</v>
      </c>
    </row>
    <row r="38" spans="1:16" x14ac:dyDescent="0.2">
      <c r="A38" s="3" t="s">
        <v>178</v>
      </c>
      <c r="B38" s="14">
        <f>'KY_Cost by Plant Acct P8 (REG)'!B38</f>
        <v>4496087.6400000006</v>
      </c>
      <c r="C38" s="88"/>
      <c r="D38" s="14">
        <f>'KY_Cost by Plant Acct P8 (REG)'!D38</f>
        <v>1456562.63</v>
      </c>
      <c r="E38" s="88"/>
      <c r="F38" s="14">
        <f>'KY_Cost by Plant Acct P8 (REG)'!F38</f>
        <v>-108408.86</v>
      </c>
      <c r="G38" s="88"/>
      <c r="H38" s="14">
        <f>'KY_Cost by Plant Acct P8 (REG)'!H38</f>
        <v>-19403.82</v>
      </c>
      <c r="I38" s="88"/>
      <c r="J38" s="14">
        <f>H38+F38+D38</f>
        <v>1328749.95</v>
      </c>
      <c r="K38" s="88"/>
      <c r="L38" s="14">
        <f>J38+B38</f>
        <v>5824837.5900000008</v>
      </c>
      <c r="N38" s="15">
        <f>'KY_Res by Plant Acct P16(REG)'!R71</f>
        <v>-3025515.290000001</v>
      </c>
      <c r="P38" s="15">
        <f>L38+N38</f>
        <v>2799322.3</v>
      </c>
    </row>
    <row r="39" spans="1:16" x14ac:dyDescent="0.2">
      <c r="A39" s="3" t="s">
        <v>179</v>
      </c>
      <c r="B39" s="14">
        <f>'KY_Cost by Plant Acct P8 (REG)'!B39+'KY_Cost by Plant Acct P8 (REG)'!B139+'VA_Cost by Plant Acct P10 (REG)'!B32</f>
        <v>1504425.91</v>
      </c>
      <c r="C39" s="88"/>
      <c r="D39" s="14">
        <f>'KY_Cost by Plant Acct P8 (REG)'!D39+'KY_Cost by Plant Acct P8 (REG)'!D139+'VA_Cost by Plant Acct P10 (REG)'!D32</f>
        <v>-593455.12</v>
      </c>
      <c r="E39" s="88"/>
      <c r="F39" s="14">
        <f>'KY_Cost by Plant Acct P8 (REG)'!F39+'KY_Cost by Plant Acct P8 (REG)'!F139+'VA_Cost by Plant Acct P10 (REG)'!F32</f>
        <v>0</v>
      </c>
      <c r="G39" s="88"/>
      <c r="H39" s="14">
        <f>'KY_Cost by Plant Acct P8 (REG)'!H39+'KY_Cost by Plant Acct P8 (REG)'!H139+'VA_Cost by Plant Acct P10 (REG)'!H32</f>
        <v>0</v>
      </c>
      <c r="I39" s="88"/>
      <c r="J39" s="14">
        <f t="shared" si="3"/>
        <v>-593455.12</v>
      </c>
      <c r="K39" s="88"/>
      <c r="L39" s="14">
        <f t="shared" si="4"/>
        <v>910970.78999999992</v>
      </c>
      <c r="N39" s="15">
        <f>'KY_Res by Plant Acct P16(REG)'!R72+'VA_Res by Plant Acct P17(REG)'!R32</f>
        <v>-379451.79000000004</v>
      </c>
      <c r="P39" s="15">
        <f t="shared" si="5"/>
        <v>531518.99999999988</v>
      </c>
    </row>
    <row r="40" spans="1:16" x14ac:dyDescent="0.2">
      <c r="A40" s="3" t="s">
        <v>180</v>
      </c>
      <c r="B40" s="14">
        <f>'KY_Cost by Plant Acct P8 (REG)'!B40+'KY_Cost by Plant Acct P8 (REG)'!B140+'VA_Cost by Plant Acct P10 (REG)'!B33+'VA_Cost by Plant Acct P10 (REG)'!B75</f>
        <v>12146898.050000001</v>
      </c>
      <c r="C40" s="88"/>
      <c r="D40" s="14">
        <f>'KY_Cost by Plant Acct P8 (REG)'!D40+'KY_Cost by Plant Acct P8 (REG)'!D140+'VA_Cost by Plant Acct P10 (REG)'!D33+'VA_Cost by Plant Acct P10 (REG)'!D75</f>
        <v>624255.46000000008</v>
      </c>
      <c r="E40" s="88"/>
      <c r="F40" s="14">
        <f>'KY_Cost by Plant Acct P8 (REG)'!F40+'KY_Cost by Plant Acct P8 (REG)'!F140+'VA_Cost by Plant Acct P10 (REG)'!F33+'VA_Cost by Plant Acct P10 (REG)'!F75</f>
        <v>-104279.68000000001</v>
      </c>
      <c r="G40" s="88"/>
      <c r="H40" s="14">
        <f>'KY_Cost by Plant Acct P8 (REG)'!H40+'KY_Cost by Plant Acct P8 (REG)'!H140+'VA_Cost by Plant Acct P10 (REG)'!H33+'VA_Cost by Plant Acct P10 (REG)'!H75</f>
        <v>0</v>
      </c>
      <c r="I40" s="88"/>
      <c r="J40" s="14">
        <f t="shared" si="3"/>
        <v>519975.78000000009</v>
      </c>
      <c r="K40" s="88"/>
      <c r="L40" s="14">
        <f t="shared" si="4"/>
        <v>12666873.83</v>
      </c>
      <c r="N40" s="15">
        <f>'KY_Res by Plant Acct P16(REG)'!R73+'VA_Res by Plant Acct P17(REG)'!R33</f>
        <v>-4014111.9699999997</v>
      </c>
      <c r="P40" s="15">
        <f t="shared" si="5"/>
        <v>8652761.8599999994</v>
      </c>
    </row>
    <row r="41" spans="1:16" x14ac:dyDescent="0.2">
      <c r="A41" s="3" t="s">
        <v>181</v>
      </c>
      <c r="B41" s="14">
        <f>'KY_Cost by Plant Acct P8 (REG)'!B41+'VA_Cost by Plant Acct P10 (REG)'!B34</f>
        <v>0</v>
      </c>
      <c r="C41" s="88"/>
      <c r="D41" s="14">
        <f>'KY_Cost by Plant Acct P8 (REG)'!D41+'VA_Cost by Plant Acct P10 (REG)'!D34</f>
        <v>0</v>
      </c>
      <c r="E41" s="88"/>
      <c r="F41" s="14">
        <f>'KY_Cost by Plant Acct P8 (REG)'!F41+'VA_Cost by Plant Acct P10 (REG)'!F34</f>
        <v>0</v>
      </c>
      <c r="G41" s="88"/>
      <c r="H41" s="14">
        <f>'KY_Cost by Plant Acct P8 (REG)'!H41+'VA_Cost by Plant Acct P10 (REG)'!H34</f>
        <v>0</v>
      </c>
      <c r="I41" s="88"/>
      <c r="J41" s="14">
        <f t="shared" si="3"/>
        <v>0</v>
      </c>
      <c r="K41" s="88"/>
      <c r="L41" s="14">
        <f t="shared" si="4"/>
        <v>0</v>
      </c>
      <c r="N41" s="15">
        <f>'KY_Res by Plant Acct P16(REG)'!R74+'VA_Res by Plant Acct P17(REG)'!R34</f>
        <v>-4.6566128730773926E-10</v>
      </c>
      <c r="P41" s="15">
        <f t="shared" si="5"/>
        <v>-4.6566128730773926E-10</v>
      </c>
    </row>
    <row r="42" spans="1:16" x14ac:dyDescent="0.2">
      <c r="A42" s="43" t="s">
        <v>3238</v>
      </c>
      <c r="B42" s="14">
        <f>'KY_Cost by Plant Acct P8 (REG)'!B42+'KY_Cost by Plant Acct P8 (REG)'!B141+'VA_Cost by Plant Acct P10 (REG)'!B35+'VA_Cost by Plant Acct P10 (REG)'!B76</f>
        <v>2293200.2800000003</v>
      </c>
      <c r="C42" s="88"/>
      <c r="D42" s="14">
        <f>'KY_Cost by Plant Acct P8 (REG)'!D42+'KY_Cost by Plant Acct P8 (REG)'!D141+'VA_Cost by Plant Acct P10 (REG)'!D35+'VA_Cost by Plant Acct P10 (REG)'!D76</f>
        <v>125192.24000000002</v>
      </c>
      <c r="E42" s="88"/>
      <c r="F42" s="14">
        <f>'KY_Cost by Plant Acct P8 (REG)'!F42+'KY_Cost by Plant Acct P8 (REG)'!F141+'VA_Cost by Plant Acct P10 (REG)'!F35+'VA_Cost by Plant Acct P10 (REG)'!F76</f>
        <v>0</v>
      </c>
      <c r="G42" s="88"/>
      <c r="H42" s="14">
        <f>'KY_Cost by Plant Acct P8 (REG)'!H42+'KY_Cost by Plant Acct P8 (REG)'!H141+'VA_Cost by Plant Acct P10 (REG)'!H35+'VA_Cost by Plant Acct P10 (REG)'!H76</f>
        <v>0</v>
      </c>
      <c r="I42" s="88"/>
      <c r="J42" s="14">
        <f t="shared" si="3"/>
        <v>125192.24000000002</v>
      </c>
      <c r="K42" s="88"/>
      <c r="L42" s="14">
        <f t="shared" si="4"/>
        <v>2418392.5200000005</v>
      </c>
      <c r="N42" s="15">
        <f>'KY_Res by Plant Acct P16(REG)'!R75+'VA_Res by Plant Acct P17(REG)'!R35</f>
        <v>-942015.58000000007</v>
      </c>
      <c r="P42" s="15">
        <f t="shared" si="5"/>
        <v>1476376.9400000004</v>
      </c>
    </row>
    <row r="43" spans="1:16" x14ac:dyDescent="0.2">
      <c r="A43" s="3" t="s">
        <v>3239</v>
      </c>
      <c r="B43" s="14">
        <f>'KY_Cost by Plant Acct P8 (REG)'!B43+'KY_Cost by Plant Acct P8 (REG)'!B142+'VA_Cost by Plant Acct P10 (REG)'!B36+'VA_Cost by Plant Acct P10 (REG)'!B77</f>
        <v>25857151.869999997</v>
      </c>
      <c r="C43" s="88"/>
      <c r="D43" s="14">
        <f>'KY_Cost by Plant Acct P8 (REG)'!D43+'KY_Cost by Plant Acct P8 (REG)'!D142+'VA_Cost by Plant Acct P10 (REG)'!D36+'VA_Cost by Plant Acct P10 (REG)'!D77</f>
        <v>4495626.6399999997</v>
      </c>
      <c r="E43" s="88"/>
      <c r="F43" s="14">
        <f>'KY_Cost by Plant Acct P8 (REG)'!F43+'KY_Cost by Plant Acct P8 (REG)'!F142+'VA_Cost by Plant Acct P10 (REG)'!F36+'VA_Cost by Plant Acct P10 (REG)'!F77</f>
        <v>-641341.51</v>
      </c>
      <c r="G43" s="88"/>
      <c r="H43" s="14">
        <f>'KY_Cost by Plant Acct P8 (REG)'!H43+'KY_Cost by Plant Acct P8 (REG)'!H142+'VA_Cost by Plant Acct P10 (REG)'!H36+'VA_Cost by Plant Acct P10 (REG)'!H77</f>
        <v>0</v>
      </c>
      <c r="I43" s="88"/>
      <c r="J43" s="14">
        <f t="shared" si="3"/>
        <v>3854285.13</v>
      </c>
      <c r="K43" s="88"/>
      <c r="L43" s="14">
        <f t="shared" si="4"/>
        <v>29711436.999999996</v>
      </c>
      <c r="N43" s="15">
        <f>'KY_Res by Plant Acct P16(REG)'!R76+'VA_Res by Plant Acct P17(REG)'!R36</f>
        <v>-9738129.2700000033</v>
      </c>
      <c r="P43" s="15">
        <f t="shared" si="5"/>
        <v>19973307.729999993</v>
      </c>
    </row>
    <row r="44" spans="1:16" x14ac:dyDescent="0.2">
      <c r="A44" s="3" t="s">
        <v>3240</v>
      </c>
      <c r="B44" s="14">
        <f>'KY_Cost by Plant Acct P8 (REG)'!B44+'KY_Cost by Plant Acct P8 (REG)'!B143+'VA_Cost by Plant Acct P10 (REG)'!B78+'VA_Cost by Plant Acct P10 (REG)'!B37</f>
        <v>20009653.110000003</v>
      </c>
      <c r="C44" s="88"/>
      <c r="D44" s="14">
        <f>'KY_Cost by Plant Acct P8 (REG)'!D44+'KY_Cost by Plant Acct P8 (REG)'!D143+'VA_Cost by Plant Acct P10 (REG)'!D78+'VA_Cost by Plant Acct P10 (REG)'!D37</f>
        <v>-115177.95000000019</v>
      </c>
      <c r="E44" s="88"/>
      <c r="F44" s="14">
        <f>'KY_Cost by Plant Acct P8 (REG)'!F44+'KY_Cost by Plant Acct P8 (REG)'!F143+'VA_Cost by Plant Acct P10 (REG)'!F78+'VA_Cost by Plant Acct P10 (REG)'!F37</f>
        <v>-823769.21</v>
      </c>
      <c r="G44" s="88"/>
      <c r="H44" s="14">
        <f>'KY_Cost by Plant Acct P8 (REG)'!H44+'KY_Cost by Plant Acct P8 (REG)'!H143+'VA_Cost by Plant Acct P10 (REG)'!H78+'VA_Cost by Plant Acct P10 (REG)'!H37</f>
        <v>0</v>
      </c>
      <c r="I44" s="88"/>
      <c r="J44" s="14">
        <f t="shared" si="3"/>
        <v>-938947.16000000015</v>
      </c>
      <c r="K44" s="88"/>
      <c r="L44" s="14">
        <f t="shared" si="4"/>
        <v>19070705.950000003</v>
      </c>
      <c r="N44" s="15">
        <f>'KY_Res by Plant Acct P16(REG)'!R77+'VA_Res by Plant Acct P17(REG)'!R37</f>
        <v>-7753743.5899999999</v>
      </c>
      <c r="P44" s="15">
        <f t="shared" si="5"/>
        <v>11316962.360000003</v>
      </c>
    </row>
    <row r="45" spans="1:16" x14ac:dyDescent="0.2">
      <c r="A45" s="3" t="s">
        <v>185</v>
      </c>
      <c r="B45" s="14">
        <f>'KY_Cost by Plant Acct P8 (REG)'!B45+'KY_Cost by Plant Acct P8 (REG)'!B144</f>
        <v>5875508.0300000003</v>
      </c>
      <c r="C45" s="88"/>
      <c r="D45" s="14">
        <f>'KY_Cost by Plant Acct P8 (REG)'!D45+'KY_Cost by Plant Acct P8 (REG)'!D144</f>
        <v>1415194.44</v>
      </c>
      <c r="E45" s="88"/>
      <c r="F45" s="14">
        <f>'KY_Cost by Plant Acct P8 (REG)'!F45+'KY_Cost by Plant Acct P8 (REG)'!F144</f>
        <v>-438990.26</v>
      </c>
      <c r="G45" s="88"/>
      <c r="H45" s="14">
        <f>'KY_Cost by Plant Acct P8 (REG)'!H45+'KY_Cost by Plant Acct P8 (REG)'!H144</f>
        <v>0</v>
      </c>
      <c r="I45" s="88"/>
      <c r="J45" s="14">
        <f t="shared" si="3"/>
        <v>976204.17999999993</v>
      </c>
      <c r="K45" s="88"/>
      <c r="L45" s="14">
        <f t="shared" si="4"/>
        <v>6851712.21</v>
      </c>
      <c r="N45" s="15">
        <f>'KY_Res by Plant Acct P16(REG)'!R78</f>
        <v>-848576.6399999999</v>
      </c>
      <c r="P45" s="15">
        <f t="shared" si="5"/>
        <v>6003135.5700000003</v>
      </c>
    </row>
    <row r="46" spans="1:16" x14ac:dyDescent="0.2">
      <c r="A46" s="3" t="s">
        <v>186</v>
      </c>
      <c r="B46" s="16">
        <f>'KY_Cost by Plant Acct P8 (REG)'!B46+'VA_Cost by Plant Acct P10 (REG)'!B38</f>
        <v>0</v>
      </c>
      <c r="C46" s="89"/>
      <c r="D46" s="16">
        <f>'KY_Cost by Plant Acct P8 (REG)'!D46+'VA_Cost by Plant Acct P10 (REG)'!D38</f>
        <v>0</v>
      </c>
      <c r="E46" s="89"/>
      <c r="F46" s="16">
        <f>'KY_Cost by Plant Acct P8 (REG)'!F46+'VA_Cost by Plant Acct P10 (REG)'!F38</f>
        <v>0</v>
      </c>
      <c r="G46" s="89"/>
      <c r="H46" s="16">
        <f>'KY_Cost by Plant Acct P8 (REG)'!H46+'VA_Cost by Plant Acct P10 (REG)'!H38</f>
        <v>0</v>
      </c>
      <c r="I46" s="89"/>
      <c r="J46" s="16">
        <f t="shared" si="3"/>
        <v>0</v>
      </c>
      <c r="K46" s="89"/>
      <c r="L46" s="16">
        <f t="shared" si="4"/>
        <v>0</v>
      </c>
      <c r="N46" s="90">
        <f>'KY_Res by Plant Acct P16(REG)'!R79+'VA_Res by Plant Acct P17(REG)'!R38</f>
        <v>3.0850044741015381E-11</v>
      </c>
      <c r="P46" s="90">
        <f t="shared" si="5"/>
        <v>3.0850044741015381E-11</v>
      </c>
    </row>
    <row r="47" spans="1:16" x14ac:dyDescent="0.2">
      <c r="B47" s="17">
        <f>SUM(B30:B46)</f>
        <v>177718822.78999999</v>
      </c>
      <c r="C47" s="89"/>
      <c r="D47" s="17">
        <f>SUM(D30:D46)</f>
        <v>16685333.500000006</v>
      </c>
      <c r="E47" s="89"/>
      <c r="F47" s="17">
        <f>SUM(F30:F46)</f>
        <v>-11527163.229999999</v>
      </c>
      <c r="G47" s="89"/>
      <c r="H47" s="17">
        <f>SUM(H30:H46)</f>
        <v>0</v>
      </c>
      <c r="I47" s="89"/>
      <c r="J47" s="17">
        <f>SUM(J30:J46)</f>
        <v>5158170.2699999986</v>
      </c>
      <c r="K47" s="89"/>
      <c r="L47" s="17">
        <f>SUM(L30:L46)</f>
        <v>182876993.05999997</v>
      </c>
      <c r="N47" s="17">
        <f>SUM(N30:N46)</f>
        <v>-60586978.00999999</v>
      </c>
      <c r="P47" s="17">
        <f>SUM(P30:P46)</f>
        <v>122290015.04999998</v>
      </c>
    </row>
    <row r="48" spans="1:16" x14ac:dyDescent="0.2">
      <c r="B48" s="17"/>
      <c r="C48" s="89"/>
      <c r="D48" s="17"/>
      <c r="E48" s="89"/>
      <c r="F48" s="17"/>
      <c r="G48" s="89"/>
      <c r="H48" s="17"/>
      <c r="I48" s="89"/>
      <c r="J48" s="17"/>
      <c r="K48" s="89"/>
      <c r="L48" s="17"/>
    </row>
    <row r="49" spans="1:16" x14ac:dyDescent="0.2">
      <c r="A49" s="12" t="s">
        <v>14</v>
      </c>
      <c r="B49" s="17"/>
      <c r="C49" s="89"/>
      <c r="D49" s="17"/>
      <c r="E49" s="89"/>
      <c r="F49" s="17"/>
      <c r="G49" s="89"/>
      <c r="H49" s="17"/>
      <c r="I49" s="89"/>
      <c r="J49" s="17"/>
      <c r="K49" s="89"/>
      <c r="L49" s="17"/>
    </row>
    <row r="50" spans="1:16" x14ac:dyDescent="0.2">
      <c r="A50" s="43" t="s">
        <v>188</v>
      </c>
      <c r="B50" s="17">
        <f>'KY_Cost by Plant Acct P8 (REG)'!B50</f>
        <v>879311.47</v>
      </c>
      <c r="C50" s="89"/>
      <c r="D50" s="17">
        <f>'KY_Cost by Plant Acct P8 (REG)'!D50</f>
        <v>0</v>
      </c>
      <c r="E50" s="89"/>
      <c r="F50" s="17">
        <f>'KY_Cost by Plant Acct P8 (REG)'!F50</f>
        <v>0</v>
      </c>
      <c r="G50" s="89"/>
      <c r="H50" s="17">
        <f>'KY_Cost by Plant Acct P8 (REG)'!H50</f>
        <v>0</v>
      </c>
      <c r="I50" s="89"/>
      <c r="J50" s="17">
        <f t="shared" ref="J50:J57" si="6">H50+F50+D50</f>
        <v>0</v>
      </c>
      <c r="K50" s="89"/>
      <c r="L50" s="17">
        <f t="shared" ref="L50:L57" si="7">J50+B50</f>
        <v>879311.47</v>
      </c>
      <c r="N50" s="15">
        <f>'KY_Res by Plant Acct P16(REG)'!R83</f>
        <v>-912332.6</v>
      </c>
      <c r="P50" s="15">
        <f t="shared" ref="P50:P57" si="8">L50+N50</f>
        <v>-33021.130000000005</v>
      </c>
    </row>
    <row r="51" spans="1:16" x14ac:dyDescent="0.2">
      <c r="A51" s="3" t="s">
        <v>189</v>
      </c>
      <c r="B51" s="17">
        <f>'KY_Cost by Plant Acct P8 (REG)'!B51+'KY_Cost by Plant Acct P8 (REG)'!B148</f>
        <v>827602.64000000013</v>
      </c>
      <c r="C51" s="89"/>
      <c r="D51" s="17">
        <f>'KY_Cost by Plant Acct P8 (REG)'!D51+'KY_Cost by Plant Acct P8 (REG)'!D148</f>
        <v>2174143.44</v>
      </c>
      <c r="E51" s="89"/>
      <c r="F51" s="17">
        <f>'KY_Cost by Plant Acct P8 (REG)'!F51</f>
        <v>-2355.54</v>
      </c>
      <c r="G51" s="89"/>
      <c r="H51" s="17">
        <f>'KY_Cost by Plant Acct P8 (REG)'!H51</f>
        <v>0</v>
      </c>
      <c r="I51" s="89"/>
      <c r="J51" s="17">
        <f t="shared" si="6"/>
        <v>2171787.9</v>
      </c>
      <c r="K51" s="89"/>
      <c r="L51" s="17">
        <f t="shared" si="7"/>
        <v>2999390.54</v>
      </c>
      <c r="N51" s="15">
        <f>'KY_Res by Plant Acct P16(REG)'!R84</f>
        <v>-360879.55</v>
      </c>
      <c r="P51" s="15">
        <f t="shared" si="8"/>
        <v>2638510.9900000002</v>
      </c>
    </row>
    <row r="52" spans="1:16" x14ac:dyDescent="0.2">
      <c r="A52" s="3" t="s">
        <v>190</v>
      </c>
      <c r="B52" s="17">
        <f>'KY_Cost by Plant Acct P8 (REG)'!B52+'KY_Cost by Plant Acct P8 (REG)'!B149</f>
        <v>21885646.370000001</v>
      </c>
      <c r="C52" s="89"/>
      <c r="D52" s="17">
        <f>'KY_Cost by Plant Acct P8 (REG)'!D52+'KY_Cost by Plant Acct P8 (REG)'!D149</f>
        <v>0</v>
      </c>
      <c r="E52" s="89"/>
      <c r="F52" s="17">
        <f>'KY_Cost by Plant Acct P8 (REG)'!F52</f>
        <v>0</v>
      </c>
      <c r="G52" s="89"/>
      <c r="H52" s="17">
        <f>'KY_Cost by Plant Acct P8 (REG)'!H52</f>
        <v>0</v>
      </c>
      <c r="I52" s="89"/>
      <c r="J52" s="17">
        <f t="shared" si="6"/>
        <v>0</v>
      </c>
      <c r="K52" s="89"/>
      <c r="L52" s="17">
        <f t="shared" si="7"/>
        <v>21885646.370000001</v>
      </c>
      <c r="N52" s="15">
        <f>'KY_Res by Plant Acct P16(REG)'!R85</f>
        <v>-8759384.3899999987</v>
      </c>
      <c r="P52" s="15">
        <f t="shared" si="8"/>
        <v>13126261.980000002</v>
      </c>
    </row>
    <row r="53" spans="1:16" x14ac:dyDescent="0.2">
      <c r="A53" s="3" t="s">
        <v>191</v>
      </c>
      <c r="B53" s="17">
        <f>'KY_Cost by Plant Acct P8 (REG)'!B53+'KY_Cost by Plant Acct P8 (REG)'!B150</f>
        <v>14058896.32</v>
      </c>
      <c r="C53" s="89"/>
      <c r="D53" s="17">
        <f>'KY_Cost by Plant Acct P8 (REG)'!D53+'KY_Cost by Plant Acct P8 (REG)'!D150</f>
        <v>685.51999999996042</v>
      </c>
      <c r="E53" s="89"/>
      <c r="F53" s="17">
        <f>'KY_Cost by Plant Acct P8 (REG)'!F53</f>
        <v>-12840.26</v>
      </c>
      <c r="G53" s="89"/>
      <c r="H53" s="17">
        <f>'KY_Cost by Plant Acct P8 (REG)'!H53</f>
        <v>0</v>
      </c>
      <c r="I53" s="89"/>
      <c r="J53" s="17">
        <f t="shared" si="6"/>
        <v>-12154.74000000004</v>
      </c>
      <c r="K53" s="89"/>
      <c r="L53" s="17">
        <f t="shared" si="7"/>
        <v>14046741.58</v>
      </c>
      <c r="N53" s="15">
        <f>'KY_Res by Plant Acct P16(REG)'!R86</f>
        <v>-1319050.5900000001</v>
      </c>
      <c r="P53" s="15">
        <f t="shared" si="8"/>
        <v>12727690.99</v>
      </c>
    </row>
    <row r="54" spans="1:16" x14ac:dyDescent="0.2">
      <c r="A54" s="3" t="s">
        <v>192</v>
      </c>
      <c r="B54" s="17">
        <f>'KY_Cost by Plant Acct P8 (REG)'!B54+'KY_Cost by Plant Acct P8 (REG)'!B151</f>
        <v>1321688.77</v>
      </c>
      <c r="C54" s="89"/>
      <c r="D54" s="17">
        <f>'KY_Cost by Plant Acct P8 (REG)'!D54+'KY_Cost by Plant Acct P8 (REG)'!D151</f>
        <v>40896.019999999997</v>
      </c>
      <c r="E54" s="89"/>
      <c r="F54" s="17">
        <f>'KY_Cost by Plant Acct P8 (REG)'!F54</f>
        <v>0</v>
      </c>
      <c r="G54" s="89"/>
      <c r="H54" s="17">
        <f>'KY_Cost by Plant Acct P8 (REG)'!H54</f>
        <v>0</v>
      </c>
      <c r="I54" s="89"/>
      <c r="J54" s="17">
        <f t="shared" si="6"/>
        <v>40896.019999999997</v>
      </c>
      <c r="K54" s="89"/>
      <c r="L54" s="17">
        <f t="shared" si="7"/>
        <v>1362584.79</v>
      </c>
      <c r="N54" s="15">
        <f>'KY_Res by Plant Acct P16(REG)'!R87</f>
        <v>-268181.33</v>
      </c>
      <c r="P54" s="15">
        <f t="shared" si="8"/>
        <v>1094403.46</v>
      </c>
    </row>
    <row r="55" spans="1:16" x14ac:dyDescent="0.2">
      <c r="A55" s="3" t="s">
        <v>193</v>
      </c>
      <c r="B55" s="17">
        <f>'KY_Cost by Plant Acct P8 (REG)'!B55+'KY_Cost by Plant Acct P8 (REG)'!B152</f>
        <v>316946.74</v>
      </c>
      <c r="C55" s="89"/>
      <c r="D55" s="17">
        <f>'KY_Cost by Plant Acct P8 (REG)'!D55+'KY_Cost by Plant Acct P8 (REG)'!D152</f>
        <v>0</v>
      </c>
      <c r="E55" s="89"/>
      <c r="F55" s="17">
        <f>'KY_Cost by Plant Acct P8 (REG)'!F55</f>
        <v>0</v>
      </c>
      <c r="G55" s="89"/>
      <c r="H55" s="17">
        <f>'KY_Cost by Plant Acct P8 (REG)'!H55</f>
        <v>0</v>
      </c>
      <c r="I55" s="89"/>
      <c r="J55" s="17">
        <f t="shared" si="6"/>
        <v>0</v>
      </c>
      <c r="K55" s="89"/>
      <c r="L55" s="17">
        <f t="shared" si="7"/>
        <v>316946.74</v>
      </c>
      <c r="N55" s="15">
        <f>'KY_Res by Plant Acct P16(REG)'!R88</f>
        <v>-130439.87999999998</v>
      </c>
      <c r="P55" s="15">
        <f t="shared" si="8"/>
        <v>186506.86000000002</v>
      </c>
    </row>
    <row r="56" spans="1:16" x14ac:dyDescent="0.2">
      <c r="A56" s="3" t="s">
        <v>194</v>
      </c>
      <c r="B56" s="17">
        <f>'KY_Cost by Plant Acct P8 (REG)'!B56+'KY_Cost by Plant Acct P8 (REG)'!B153</f>
        <v>234509.12999999998</v>
      </c>
      <c r="C56" s="89"/>
      <c r="D56" s="17">
        <f>'KY_Cost by Plant Acct P8 (REG)'!D56+'KY_Cost by Plant Acct P8 (REG)'!D153</f>
        <v>0</v>
      </c>
      <c r="E56" s="89"/>
      <c r="F56" s="17">
        <f>'KY_Cost by Plant Acct P8 (REG)'!F56</f>
        <v>0</v>
      </c>
      <c r="G56" s="89"/>
      <c r="H56" s="17">
        <f>'KY_Cost by Plant Acct P8 (REG)'!H56</f>
        <v>0</v>
      </c>
      <c r="I56" s="89"/>
      <c r="J56" s="17">
        <f t="shared" si="6"/>
        <v>0</v>
      </c>
      <c r="K56" s="89"/>
      <c r="L56" s="17">
        <f t="shared" si="7"/>
        <v>234509.12999999998</v>
      </c>
      <c r="N56" s="15">
        <f>'KY_Res by Plant Acct P16(REG)'!R89</f>
        <v>-79595.899999999994</v>
      </c>
      <c r="P56" s="15">
        <f t="shared" si="8"/>
        <v>154913.22999999998</v>
      </c>
    </row>
    <row r="57" spans="1:16" x14ac:dyDescent="0.2">
      <c r="A57" s="3" t="s">
        <v>195</v>
      </c>
      <c r="B57" s="16">
        <f>'KY_Cost by Plant Acct P8 (REG)'!B57</f>
        <v>274310.54000000004</v>
      </c>
      <c r="C57" s="89"/>
      <c r="D57" s="16">
        <f>'KY_Cost by Plant Acct P8 (REG)'!D57</f>
        <v>0</v>
      </c>
      <c r="E57" s="89"/>
      <c r="F57" s="16">
        <f>'KY_Cost by Plant Acct P8 (REG)'!F57</f>
        <v>-86482.34</v>
      </c>
      <c r="G57" s="89"/>
      <c r="H57" s="16">
        <f>'KY_Cost by Plant Acct P8 (REG)'!H57</f>
        <v>457959.79</v>
      </c>
      <c r="I57" s="89"/>
      <c r="J57" s="16">
        <f t="shared" si="6"/>
        <v>371477.44999999995</v>
      </c>
      <c r="K57" s="89"/>
      <c r="L57" s="16">
        <f t="shared" si="7"/>
        <v>645787.99</v>
      </c>
      <c r="N57" s="90">
        <f>'KY_Res by Plant Acct P16(REG)'!R90</f>
        <v>-19701.790000000008</v>
      </c>
      <c r="P57" s="90">
        <f t="shared" si="8"/>
        <v>626086.19999999995</v>
      </c>
    </row>
    <row r="58" spans="1:16" x14ac:dyDescent="0.2">
      <c r="B58" s="17">
        <f>SUM(B50:B57)</f>
        <v>39798911.980000004</v>
      </c>
      <c r="C58" s="89"/>
      <c r="D58" s="17">
        <f>SUM(D50:D57)</f>
        <v>2215724.98</v>
      </c>
      <c r="E58" s="89"/>
      <c r="F58" s="17">
        <f>SUM(F50:F57)</f>
        <v>-101678.14</v>
      </c>
      <c r="G58" s="89"/>
      <c r="H58" s="17">
        <f>SUM(H50:H57)</f>
        <v>457959.79</v>
      </c>
      <c r="I58" s="89"/>
      <c r="J58" s="17">
        <f>SUM(J50:J57)</f>
        <v>2572006.63</v>
      </c>
      <c r="K58" s="89"/>
      <c r="L58" s="17">
        <f>SUM(L50:L57)</f>
        <v>42370918.610000007</v>
      </c>
      <c r="N58" s="17">
        <f>SUM(N50:N57)</f>
        <v>-11849566.029999999</v>
      </c>
      <c r="P58" s="17">
        <f>SUM(P50:P57)</f>
        <v>30521352.580000006</v>
      </c>
    </row>
    <row r="59" spans="1:16" x14ac:dyDescent="0.2">
      <c r="B59" s="17"/>
      <c r="C59" s="89"/>
      <c r="D59" s="17"/>
      <c r="E59" s="89"/>
      <c r="F59" s="17"/>
      <c r="G59" s="89"/>
      <c r="H59" s="17"/>
      <c r="I59" s="89"/>
      <c r="J59" s="17"/>
      <c r="K59" s="89"/>
      <c r="L59" s="17"/>
    </row>
    <row r="60" spans="1:16" x14ac:dyDescent="0.2">
      <c r="A60" s="12" t="s">
        <v>15</v>
      </c>
      <c r="B60" s="17"/>
      <c r="C60" s="89"/>
      <c r="D60" s="17"/>
      <c r="E60" s="89"/>
      <c r="F60" s="17"/>
      <c r="G60" s="89"/>
      <c r="H60" s="17"/>
      <c r="I60" s="89"/>
      <c r="J60" s="17"/>
      <c r="K60" s="89"/>
      <c r="L60" s="17"/>
    </row>
    <row r="61" spans="1:16" x14ac:dyDescent="0.2">
      <c r="A61" s="43" t="s">
        <v>197</v>
      </c>
      <c r="B61" s="17">
        <f>'KY_Cost by Plant Acct P8 (REG)'!B61+'VA_Cost by Plant Acct P10 (REG)'!B42</f>
        <v>44455.58</v>
      </c>
      <c r="C61" s="89"/>
      <c r="D61" s="17">
        <f>'KY_Cost by Plant Acct P8 (REG)'!D61+'VA_Cost by Plant Acct P10 (REG)'!D42</f>
        <v>0</v>
      </c>
      <c r="E61" s="89"/>
      <c r="F61" s="17">
        <f>'KY_Cost by Plant Acct P8 (REG)'!F61+'VA_Cost by Plant Acct P10 (REG)'!F42</f>
        <v>0</v>
      </c>
      <c r="G61" s="89"/>
      <c r="H61" s="17">
        <f>'KY_Cost by Plant Acct P8 (REG)'!H61+'VA_Cost by Plant Acct P10 (REG)'!H42</f>
        <v>0</v>
      </c>
      <c r="I61" s="89"/>
      <c r="J61" s="17">
        <f>H61+F61+D61</f>
        <v>0</v>
      </c>
      <c r="K61" s="89"/>
      <c r="L61" s="17">
        <f>J61+B61</f>
        <v>44455.58</v>
      </c>
      <c r="N61" s="15">
        <f>'KY_Res by Plant Acct P16(REG)'!R456</f>
        <v>0</v>
      </c>
      <c r="P61" s="15">
        <f>L61+N61</f>
        <v>44455.58</v>
      </c>
    </row>
    <row r="62" spans="1:16" x14ac:dyDescent="0.2">
      <c r="A62" s="3" t="s">
        <v>198</v>
      </c>
      <c r="B62" s="17">
        <f>'KY_Cost by Plant Acct P8 (REG)'!B62</f>
        <v>55918.829999999994</v>
      </c>
      <c r="C62" s="89"/>
      <c r="D62" s="17">
        <f>'KY_Cost by Plant Acct P8 (REG)'!D62</f>
        <v>0</v>
      </c>
      <c r="E62" s="89"/>
      <c r="F62" s="17">
        <f>'KY_Cost by Plant Acct P8 (REG)'!F62</f>
        <v>0</v>
      </c>
      <c r="G62" s="89"/>
      <c r="H62" s="17">
        <f>'KY_Cost by Plant Acct P8 (REG)'!H62</f>
        <v>0</v>
      </c>
      <c r="I62" s="89"/>
      <c r="J62" s="17">
        <f>H62+F62+D62</f>
        <v>0</v>
      </c>
      <c r="K62" s="89"/>
      <c r="L62" s="17">
        <f>J62+B62</f>
        <v>55918.829999999994</v>
      </c>
      <c r="N62" s="15">
        <f>'KY_Res by Plant Acct P16(REG)'!R457+'KY_Res by Plant Acct P16(REG)'!R458</f>
        <v>-63079.789999999994</v>
      </c>
      <c r="P62" s="15">
        <f>L62+N62</f>
        <v>-7160.9599999999991</v>
      </c>
    </row>
    <row r="63" spans="1:16" x14ac:dyDescent="0.2">
      <c r="A63" s="3" t="s">
        <v>199</v>
      </c>
      <c r="B63" s="17">
        <f>'KY_Cost by Plant Acct P8 (REG)'!B63+'KY_Cost by Plant Acct P8 (REG)'!B157</f>
        <v>51209431.959999993</v>
      </c>
      <c r="C63" s="89"/>
      <c r="D63" s="17">
        <f>'KY_Cost by Plant Acct P8 (REG)'!D63+'KY_Cost by Plant Acct P8 (REG)'!D157</f>
        <v>11706442.760000002</v>
      </c>
      <c r="E63" s="89"/>
      <c r="F63" s="17">
        <f>'KY_Cost by Plant Acct P8 (REG)'!F63</f>
        <v>-5795318.9000000004</v>
      </c>
      <c r="G63" s="89"/>
      <c r="H63" s="17">
        <f>'KY_Cost by Plant Acct P8 (REG)'!H63</f>
        <v>0</v>
      </c>
      <c r="I63" s="89"/>
      <c r="J63" s="17">
        <f>H63+F63+D63</f>
        <v>5911123.8600000013</v>
      </c>
      <c r="K63" s="89"/>
      <c r="L63" s="17">
        <f>J63+B63</f>
        <v>57120555.819999993</v>
      </c>
      <c r="N63" s="15">
        <f>'KY_Res by Plant Acct P16(REG)'!R459</f>
        <v>-19867146.920000002</v>
      </c>
      <c r="P63" s="15">
        <f>L63+N63</f>
        <v>37253408.899999991</v>
      </c>
    </row>
    <row r="64" spans="1:16" x14ac:dyDescent="0.2">
      <c r="A64" s="3" t="s">
        <v>200</v>
      </c>
      <c r="B64" s="16">
        <f>'KY_Cost by Plant Acct P8 (REG)'!B64+'KY_Cost by Plant Acct P8 (REG)'!B158</f>
        <v>41045494.530000001</v>
      </c>
      <c r="C64" s="89"/>
      <c r="D64" s="16">
        <f>'KY_Cost by Plant Acct P8 (REG)'!D64+'KY_Cost by Plant Acct P8 (REG)'!D158</f>
        <v>0</v>
      </c>
      <c r="E64" s="89"/>
      <c r="F64" s="16">
        <f>'KY_Cost by Plant Acct P8 (REG)'!F64</f>
        <v>0</v>
      </c>
      <c r="G64" s="89"/>
      <c r="H64" s="16">
        <f>'KY_Cost by Plant Acct P8 (REG)'!H64</f>
        <v>0</v>
      </c>
      <c r="I64" s="89"/>
      <c r="J64" s="16">
        <f>H64+F64+D64</f>
        <v>0</v>
      </c>
      <c r="K64" s="89"/>
      <c r="L64" s="16">
        <f>J64+B64</f>
        <v>41045494.530000001</v>
      </c>
      <c r="N64" s="90">
        <f>'KY_Res by Plant Acct P16(REG)'!R460</f>
        <v>-30666797.129999999</v>
      </c>
      <c r="P64" s="90">
        <f>L64+N64</f>
        <v>10378697.400000002</v>
      </c>
    </row>
    <row r="65" spans="1:16" x14ac:dyDescent="0.2">
      <c r="B65" s="17">
        <f>SUM(B61:B64)</f>
        <v>92355300.899999991</v>
      </c>
      <c r="C65" s="89"/>
      <c r="D65" s="17">
        <f>SUM(D61:D64)</f>
        <v>11706442.760000002</v>
      </c>
      <c r="E65" s="89"/>
      <c r="F65" s="17">
        <f>SUM(F61:F64)</f>
        <v>-5795318.9000000004</v>
      </c>
      <c r="G65" s="89"/>
      <c r="H65" s="17">
        <f>SUM(H61:H64)</f>
        <v>0</v>
      </c>
      <c r="I65" s="89"/>
      <c r="J65" s="17">
        <f>SUM(J61:J64)</f>
        <v>5911123.8600000013</v>
      </c>
      <c r="K65" s="89"/>
      <c r="L65" s="17">
        <f>SUM(L61:L64)</f>
        <v>98266424.75999999</v>
      </c>
      <c r="N65" s="17">
        <f>SUM(N61:N64)</f>
        <v>-50597023.840000004</v>
      </c>
      <c r="P65" s="17">
        <f>SUM(P61:P64)</f>
        <v>47669400.919999987</v>
      </c>
    </row>
    <row r="66" spans="1:16" x14ac:dyDescent="0.2">
      <c r="B66" s="17"/>
      <c r="C66" s="89"/>
      <c r="D66" s="17"/>
      <c r="E66" s="89"/>
      <c r="F66" s="17"/>
      <c r="G66" s="89"/>
      <c r="H66" s="17"/>
      <c r="I66" s="89"/>
      <c r="J66" s="17"/>
      <c r="K66" s="89"/>
      <c r="L66" s="17"/>
    </row>
    <row r="67" spans="1:16" x14ac:dyDescent="0.2">
      <c r="A67" s="12" t="s">
        <v>16</v>
      </c>
      <c r="B67" s="17"/>
      <c r="C67" s="89"/>
      <c r="D67" s="17"/>
      <c r="E67" s="89"/>
      <c r="F67" s="17"/>
      <c r="G67" s="89"/>
      <c r="H67" s="17"/>
      <c r="I67" s="89"/>
      <c r="J67" s="17"/>
      <c r="K67" s="89"/>
      <c r="L67" s="17"/>
    </row>
    <row r="68" spans="1:16" x14ac:dyDescent="0.2">
      <c r="A68" s="3" t="s">
        <v>202</v>
      </c>
      <c r="B68" s="17">
        <f>'KY_Cost by Plant Acct P8 (REG)'!B68</f>
        <v>176409.31</v>
      </c>
      <c r="C68" s="89"/>
      <c r="D68" s="17">
        <f>'KY_Cost by Plant Acct P8 (REG)'!D68</f>
        <v>0</v>
      </c>
      <c r="E68" s="89"/>
      <c r="F68" s="17">
        <f>'KY_Cost by Plant Acct P8 (REG)'!F68</f>
        <v>0</v>
      </c>
      <c r="G68" s="89"/>
      <c r="H68" s="17">
        <f>'KY_Cost by Plant Acct P8 (REG)'!H68</f>
        <v>0</v>
      </c>
      <c r="I68" s="89"/>
      <c r="J68" s="17">
        <f t="shared" ref="J68:J78" si="9">H68+F68+D68</f>
        <v>0</v>
      </c>
      <c r="K68" s="89"/>
      <c r="L68" s="17">
        <f t="shared" ref="L68:L77" si="10">J68+B68</f>
        <v>176409.31</v>
      </c>
      <c r="N68" s="15">
        <f>'KY_Res by Plant Acct P16(REG)'!R94</f>
        <v>-120484.00000000003</v>
      </c>
      <c r="P68" s="15">
        <f t="shared" ref="P68:P78" si="11">L68+N68</f>
        <v>55925.309999999969</v>
      </c>
    </row>
    <row r="69" spans="1:16" x14ac:dyDescent="0.2">
      <c r="A69" s="3" t="s">
        <v>203</v>
      </c>
      <c r="B69" s="17">
        <f>'KY_Cost by Plant Acct P8 (REG)'!B69</f>
        <v>135099.01999999999</v>
      </c>
      <c r="C69" s="89"/>
      <c r="D69" s="17">
        <f>'KY_Cost by Plant Acct P8 (REG)'!D69</f>
        <v>0</v>
      </c>
      <c r="E69" s="89"/>
      <c r="F69" s="17">
        <f>'KY_Cost by Plant Acct P8 (REG)'!F69</f>
        <v>0</v>
      </c>
      <c r="G69" s="89"/>
      <c r="H69" s="17">
        <f>'KY_Cost by Plant Acct P8 (REG)'!H69</f>
        <v>162070.19</v>
      </c>
      <c r="I69" s="89"/>
      <c r="J69" s="17">
        <f t="shared" si="9"/>
        <v>162070.19</v>
      </c>
      <c r="K69" s="89"/>
      <c r="L69" s="17">
        <f t="shared" si="10"/>
        <v>297169.20999999996</v>
      </c>
      <c r="N69" s="15">
        <f>'KY_Res by Plant Acct P16(REG)'!R95+'KY_Res by Plant Acct P16(REG)'!R97</f>
        <v>0</v>
      </c>
      <c r="P69" s="15">
        <f t="shared" si="11"/>
        <v>297169.20999999996</v>
      </c>
    </row>
    <row r="70" spans="1:16" x14ac:dyDescent="0.2">
      <c r="A70" s="3" t="s">
        <v>204</v>
      </c>
      <c r="B70" s="17">
        <f>'KY_Cost by Plant Acct P8 (REG)'!B70+'KY_Cost by Plant Acct P8 (REG)'!B162</f>
        <v>83072927.450000018</v>
      </c>
      <c r="C70" s="89"/>
      <c r="D70" s="17">
        <f>'KY_Cost by Plant Acct P8 (REG)'!D70+'KY_Cost by Plant Acct P8 (REG)'!D162</f>
        <v>2101990.0600000024</v>
      </c>
      <c r="E70" s="89"/>
      <c r="F70" s="17">
        <f>'KY_Cost by Plant Acct P8 (REG)'!F70</f>
        <v>-95642.86</v>
      </c>
      <c r="G70" s="89"/>
      <c r="H70" s="17">
        <f>'KY_Cost by Plant Acct P8 (REG)'!H70</f>
        <v>0</v>
      </c>
      <c r="I70" s="89"/>
      <c r="J70" s="17">
        <f t="shared" si="9"/>
        <v>2006347.2000000023</v>
      </c>
      <c r="K70" s="89"/>
      <c r="L70" s="17">
        <f t="shared" si="10"/>
        <v>85079274.650000021</v>
      </c>
      <c r="N70" s="15">
        <f>'KY_Res by Plant Acct P16(REG)'!R115</f>
        <v>-20949774.380000003</v>
      </c>
      <c r="P70" s="15">
        <f t="shared" si="11"/>
        <v>64129500.270000018</v>
      </c>
    </row>
    <row r="71" spans="1:16" x14ac:dyDescent="0.2">
      <c r="A71" s="3" t="s">
        <v>205</v>
      </c>
      <c r="B71" s="17">
        <f>'KY_Cost by Plant Acct P8 (REG)'!B71+'KY_Cost by Plant Acct P8 (REG)'!B163</f>
        <v>160050131.64000002</v>
      </c>
      <c r="C71" s="89"/>
      <c r="D71" s="17">
        <f>'KY_Cost by Plant Acct P8 (REG)'!D71+'KY_Cost by Plant Acct P8 (REG)'!D163</f>
        <v>-98286128.079999998</v>
      </c>
      <c r="E71" s="89"/>
      <c r="F71" s="17">
        <f>'KY_Cost by Plant Acct P8 (REG)'!F71</f>
        <v>0</v>
      </c>
      <c r="G71" s="89"/>
      <c r="H71" s="17">
        <f>'KY_Cost by Plant Acct P8 (REG)'!H71+'KY_Cost by Plant Acct P8 (REG)'!H163</f>
        <v>0</v>
      </c>
      <c r="I71" s="89"/>
      <c r="J71" s="17">
        <f t="shared" si="9"/>
        <v>-98286128.079999998</v>
      </c>
      <c r="K71" s="89"/>
      <c r="L71" s="17">
        <f t="shared" si="10"/>
        <v>61764003.560000017</v>
      </c>
      <c r="N71" s="15">
        <f>'KY_Res by Plant Acct P16(REG)'!R135</f>
        <v>-17131687.779999997</v>
      </c>
      <c r="P71" s="15">
        <f t="shared" si="11"/>
        <v>44632315.780000016</v>
      </c>
    </row>
    <row r="72" spans="1:16" x14ac:dyDescent="0.2">
      <c r="A72" s="3" t="s">
        <v>206</v>
      </c>
      <c r="B72" s="17">
        <f>'KY_Cost by Plant Acct P8 (REG)'!B72</f>
        <v>0</v>
      </c>
      <c r="C72" s="89"/>
      <c r="D72" s="17">
        <f>'KY_Cost by Plant Acct P8 (REG)'!D72</f>
        <v>0</v>
      </c>
      <c r="E72" s="89"/>
      <c r="F72" s="17">
        <f>'KY_Cost by Plant Acct P8 (REG)'!F72</f>
        <v>0</v>
      </c>
      <c r="G72" s="89"/>
      <c r="H72" s="17">
        <f>'KY_Cost by Plant Acct P8 (REG)'!H72</f>
        <v>0</v>
      </c>
      <c r="I72" s="89"/>
      <c r="J72" s="17">
        <f t="shared" si="9"/>
        <v>0</v>
      </c>
      <c r="K72" s="89"/>
      <c r="L72" s="17">
        <f t="shared" si="10"/>
        <v>0</v>
      </c>
      <c r="N72" s="15">
        <f>'KY_Res by Plant Acct P16(REG)'!R136</f>
        <v>2.9103830456733704E-11</v>
      </c>
      <c r="P72" s="15">
        <f t="shared" si="11"/>
        <v>2.9103830456733704E-11</v>
      </c>
    </row>
    <row r="73" spans="1:16" x14ac:dyDescent="0.2">
      <c r="A73" s="3" t="s">
        <v>207</v>
      </c>
      <c r="B73" s="17">
        <f>'KY_Cost by Plant Acct P8 (REG)'!B73+'KY_Cost by Plant Acct P8 (REG)'!B164</f>
        <v>473814317.67999995</v>
      </c>
      <c r="C73" s="89"/>
      <c r="D73" s="17">
        <f>'KY_Cost by Plant Acct P8 (REG)'!D73+'KY_Cost by Plant Acct P8 (REG)'!D164</f>
        <v>169197383.48000002</v>
      </c>
      <c r="E73" s="89"/>
      <c r="F73" s="17">
        <f>'KY_Cost by Plant Acct P8 (REG)'!F73</f>
        <v>-85818.98</v>
      </c>
      <c r="G73" s="89"/>
      <c r="H73" s="17">
        <f>'KY_Cost by Plant Acct P8 (REG)'!H73</f>
        <v>0</v>
      </c>
      <c r="I73" s="89"/>
      <c r="J73" s="17">
        <f t="shared" si="9"/>
        <v>169111564.50000003</v>
      </c>
      <c r="K73" s="89"/>
      <c r="L73" s="17">
        <f t="shared" si="10"/>
        <v>642925882.17999995</v>
      </c>
      <c r="N73" s="15">
        <f>'KY_Res by Plant Acct P16(REG)'!R152</f>
        <v>-180401058.19</v>
      </c>
      <c r="P73" s="15">
        <f t="shared" si="11"/>
        <v>462524823.98999995</v>
      </c>
    </row>
    <row r="74" spans="1:16" x14ac:dyDescent="0.2">
      <c r="A74" s="3" t="s">
        <v>208</v>
      </c>
      <c r="B74" s="17">
        <f>'KY_Cost by Plant Acct P8 (REG)'!B74+'KY_Cost by Plant Acct P8 (REG)'!B165</f>
        <v>172508939.62</v>
      </c>
      <c r="C74" s="89"/>
      <c r="D74" s="17">
        <f>'KY_Cost by Plant Acct P8 (REG)'!D74+'KY_Cost by Plant Acct P8 (REG)'!D165</f>
        <v>-40978432.049999997</v>
      </c>
      <c r="E74" s="89"/>
      <c r="F74" s="17">
        <f>'KY_Cost by Plant Acct P8 (REG)'!F74</f>
        <v>-432616.31</v>
      </c>
      <c r="G74" s="89"/>
      <c r="H74" s="17">
        <f>'KY_Cost by Plant Acct P8 (REG)'!H74</f>
        <v>0</v>
      </c>
      <c r="I74" s="89"/>
      <c r="J74" s="17">
        <f t="shared" si="9"/>
        <v>-41411048.359999999</v>
      </c>
      <c r="K74" s="89"/>
      <c r="L74" s="17">
        <f t="shared" si="10"/>
        <v>131097891.26000001</v>
      </c>
      <c r="N74" s="15">
        <f>'KY_Res by Plant Acct P16(REG)'!R170</f>
        <v>-37362377.209999993</v>
      </c>
      <c r="P74" s="15">
        <f t="shared" si="11"/>
        <v>93735514.050000012</v>
      </c>
    </row>
    <row r="75" spans="1:16" x14ac:dyDescent="0.2">
      <c r="A75" s="3" t="s">
        <v>209</v>
      </c>
      <c r="B75" s="17">
        <f>'KY_Cost by Plant Acct P8 (REG)'!B75+'KY_Cost by Plant Acct P8 (REG)'!B166</f>
        <v>73541848.189999998</v>
      </c>
      <c r="C75" s="89"/>
      <c r="D75" s="17">
        <f>'KY_Cost by Plant Acct P8 (REG)'!D75+'KY_Cost by Plant Acct P8 (REG)'!D166</f>
        <v>-7091081.0399999991</v>
      </c>
      <c r="E75" s="89"/>
      <c r="F75" s="17">
        <f>'KY_Cost by Plant Acct P8 (REG)'!F75</f>
        <v>-115501.18</v>
      </c>
      <c r="G75" s="89"/>
      <c r="H75" s="17">
        <f>'KY_Cost by Plant Acct P8 (REG)'!H75</f>
        <v>0</v>
      </c>
      <c r="I75" s="89"/>
      <c r="J75" s="17">
        <f t="shared" si="9"/>
        <v>-7206582.2199999988</v>
      </c>
      <c r="K75" s="89"/>
      <c r="L75" s="17">
        <f t="shared" si="10"/>
        <v>66335265.969999999</v>
      </c>
      <c r="N75" s="15">
        <f>'KY_Res by Plant Acct P16(REG)'!R188</f>
        <v>-22965453.669999994</v>
      </c>
      <c r="P75" s="15">
        <f t="shared" si="11"/>
        <v>43369812.300000004</v>
      </c>
    </row>
    <row r="76" spans="1:16" x14ac:dyDescent="0.2">
      <c r="A76" s="3" t="s">
        <v>210</v>
      </c>
      <c r="B76" s="17">
        <f>'KY_Cost by Plant Acct P8 (REG)'!B76</f>
        <v>0</v>
      </c>
      <c r="C76" s="89"/>
      <c r="D76" s="17">
        <f>'KY_Cost by Plant Acct P8 (REG)'!D76</f>
        <v>0</v>
      </c>
      <c r="E76" s="89"/>
      <c r="F76" s="17">
        <f>'KY_Cost by Plant Acct P8 (REG)'!F76</f>
        <v>0</v>
      </c>
      <c r="G76" s="89"/>
      <c r="H76" s="17">
        <f>'KY_Cost by Plant Acct P8 (REG)'!H76</f>
        <v>0</v>
      </c>
      <c r="I76" s="89"/>
      <c r="J76" s="17">
        <f t="shared" si="9"/>
        <v>0</v>
      </c>
      <c r="K76" s="89"/>
      <c r="L76" s="17">
        <f t="shared" si="10"/>
        <v>0</v>
      </c>
      <c r="N76" s="15">
        <f>'KY_Res by Plant Acct P16(REG)'!R198</f>
        <v>0</v>
      </c>
      <c r="P76" s="15">
        <f t="shared" si="11"/>
        <v>0</v>
      </c>
    </row>
    <row r="77" spans="1:16" x14ac:dyDescent="0.2">
      <c r="A77" s="3" t="s">
        <v>211</v>
      </c>
      <c r="B77" s="17">
        <f>'KY_Cost by Plant Acct P8 (REG)'!B77+'KY_Cost by Plant Acct P8 (REG)'!B167</f>
        <v>5655608.4399999995</v>
      </c>
      <c r="C77" s="89"/>
      <c r="D77" s="17">
        <f>'KY_Cost by Plant Acct P8 (REG)'!D77+'KY_Cost by Plant Acct P8 (REG)'!D167</f>
        <v>3454693.57</v>
      </c>
      <c r="E77" s="89"/>
      <c r="F77" s="17">
        <f>'KY_Cost by Plant Acct P8 (REG)'!F77</f>
        <v>-114855.08</v>
      </c>
      <c r="G77" s="89"/>
      <c r="H77" s="17">
        <f>'KY_Cost by Plant Acct P8 (REG)'!H77+'KY_Cost by Plant Acct P8 (REG)'!H167</f>
        <v>0</v>
      </c>
      <c r="I77" s="89"/>
      <c r="J77" s="17">
        <f t="shared" si="9"/>
        <v>3339838.4899999998</v>
      </c>
      <c r="K77" s="89"/>
      <c r="L77" s="17">
        <f t="shared" si="10"/>
        <v>8995446.9299999997</v>
      </c>
      <c r="N77" s="15">
        <f>'KY_Res by Plant Acct P16(REG)'!R215</f>
        <v>-3076810.1300000008</v>
      </c>
      <c r="P77" s="15">
        <f t="shared" si="11"/>
        <v>5918636.7999999989</v>
      </c>
    </row>
    <row r="78" spans="1:16" x14ac:dyDescent="0.2">
      <c r="A78" s="3" t="s">
        <v>212</v>
      </c>
      <c r="B78" s="16">
        <f>'KY_Cost by Plant Acct P8 (REG)'!B78</f>
        <v>403344.09</v>
      </c>
      <c r="C78" s="89"/>
      <c r="D78" s="16">
        <f>'KY_Cost by Plant Acct P8 (REG)'!D78</f>
        <v>0</v>
      </c>
      <c r="E78" s="89"/>
      <c r="F78" s="16">
        <f>'KY_Cost by Plant Acct P8 (REG)'!F78</f>
        <v>0</v>
      </c>
      <c r="G78" s="89"/>
      <c r="H78" s="16">
        <f>'KY_Cost by Plant Acct P8 (REG)'!H78</f>
        <v>0</v>
      </c>
      <c r="I78" s="89"/>
      <c r="J78" s="16">
        <f t="shared" si="9"/>
        <v>0</v>
      </c>
      <c r="K78" s="89"/>
      <c r="L78" s="16">
        <f>J78+B78</f>
        <v>403344.09</v>
      </c>
      <c r="N78" s="90">
        <f>'KY_Res by Plant Acct P16(REG)'!R216</f>
        <v>-32972.980000000003</v>
      </c>
      <c r="P78" s="90">
        <f t="shared" si="11"/>
        <v>370371.11000000004</v>
      </c>
    </row>
    <row r="79" spans="1:16" x14ac:dyDescent="0.2">
      <c r="B79" s="17">
        <f>SUM(B68:B78)</f>
        <v>969358625.43999994</v>
      </c>
      <c r="C79" s="89"/>
      <c r="D79" s="17">
        <f>SUM(D68:D78)</f>
        <v>28398425.940000027</v>
      </c>
      <c r="E79" s="89"/>
      <c r="F79" s="17">
        <f>SUM(F68:F78)</f>
        <v>-844434.41</v>
      </c>
      <c r="G79" s="89"/>
      <c r="H79" s="17">
        <f>SUM(H68:H78)</f>
        <v>162070.19</v>
      </c>
      <c r="I79" s="89"/>
      <c r="J79" s="17">
        <f>SUM(J68:J78)</f>
        <v>27716061.720000032</v>
      </c>
      <c r="K79" s="89"/>
      <c r="L79" s="17">
        <f>SUM(L68:L78)</f>
        <v>997074687.15999997</v>
      </c>
      <c r="N79" s="17">
        <f>SUM(N68:N78)</f>
        <v>-282040618.34000003</v>
      </c>
      <c r="P79" s="17">
        <f>SUM(P68:P78)</f>
        <v>715034068.81999981</v>
      </c>
    </row>
    <row r="80" spans="1:16" x14ac:dyDescent="0.2">
      <c r="B80" s="17"/>
      <c r="C80" s="89"/>
      <c r="D80" s="17"/>
      <c r="E80" s="89"/>
      <c r="F80" s="17"/>
      <c r="G80" s="89"/>
      <c r="H80" s="17"/>
      <c r="I80" s="89"/>
      <c r="J80" s="17"/>
      <c r="K80" s="89"/>
      <c r="L80" s="17"/>
    </row>
    <row r="81" spans="1:17" x14ac:dyDescent="0.2">
      <c r="A81" s="12" t="s">
        <v>17</v>
      </c>
      <c r="C81" s="88"/>
      <c r="E81" s="88"/>
      <c r="G81" s="88"/>
      <c r="I81" s="88"/>
      <c r="K81" s="88"/>
    </row>
    <row r="82" spans="1:17" x14ac:dyDescent="0.2">
      <c r="A82" s="3" t="s">
        <v>214</v>
      </c>
      <c r="B82" s="14">
        <f>'KY_Cost by Plant Acct P8 (REG)'!B82+'KY_Cost by Plant Acct P8 (REG)'!B171</f>
        <v>22958202.419999998</v>
      </c>
      <c r="C82" s="88"/>
      <c r="D82" s="14">
        <f>'KY_Cost by Plant Acct P8 (REG)'!D82+'KY_Cost by Plant Acct P8 (REG)'!D171</f>
        <v>274092.44</v>
      </c>
      <c r="E82" s="88"/>
      <c r="F82" s="14">
        <f>'KY_Cost by Plant Acct P8 (REG)'!F82</f>
        <v>0</v>
      </c>
      <c r="G82" s="88"/>
      <c r="H82" s="14">
        <f>'KY_Cost by Plant Acct P8 (REG)'!H82</f>
        <v>-265688.83999999997</v>
      </c>
      <c r="I82" s="88"/>
      <c r="J82" s="14">
        <f t="shared" ref="J82:J93" si="12">H82+F82+D82</f>
        <v>8403.6000000000349</v>
      </c>
      <c r="K82" s="88"/>
      <c r="L82" s="14">
        <f t="shared" ref="L82:L93" si="13">J82+B82</f>
        <v>22966606.02</v>
      </c>
      <c r="N82" s="15">
        <f>'KY_Res by Plant Acct P16(REG)'!R228</f>
        <v>0</v>
      </c>
      <c r="P82" s="15">
        <f t="shared" ref="P82:P93" si="14">L82+N82</f>
        <v>22966606.02</v>
      </c>
    </row>
    <row r="83" spans="1:17" x14ac:dyDescent="0.2">
      <c r="A83" s="3" t="s">
        <v>215</v>
      </c>
      <c r="B83" s="14">
        <f>'KY_Cost by Plant Acct P8 (REG)'!B83+'KY_Cost by Plant Acct P8 (REG)'!B172</f>
        <v>337599205.98000002</v>
      </c>
      <c r="C83" s="88"/>
      <c r="D83" s="14">
        <f>'KY_Cost by Plant Acct P8 (REG)'!D83+'KY_Cost by Plant Acct P8 (REG)'!D172</f>
        <v>3671829.4999999995</v>
      </c>
      <c r="E83" s="88"/>
      <c r="F83" s="14">
        <f>'KY_Cost by Plant Acct P8 (REG)'!F83</f>
        <v>-917939.39</v>
      </c>
      <c r="G83" s="88"/>
      <c r="H83" s="14">
        <f>'KY_Cost by Plant Acct P8 (REG)'!H83</f>
        <v>-4924909.4000000004</v>
      </c>
      <c r="I83" s="88"/>
      <c r="J83" s="14">
        <f t="shared" si="12"/>
        <v>-2171019.2900000005</v>
      </c>
      <c r="K83" s="88"/>
      <c r="L83" s="14">
        <f t="shared" si="13"/>
        <v>335428186.69</v>
      </c>
      <c r="N83" s="15">
        <f>'KY_Res by Plant Acct P16(REG)'!R263</f>
        <v>-175741363.19</v>
      </c>
      <c r="P83" s="15">
        <f t="shared" si="14"/>
        <v>159686823.5</v>
      </c>
    </row>
    <row r="84" spans="1:17" x14ac:dyDescent="0.2">
      <c r="A84" s="3" t="s">
        <v>216</v>
      </c>
      <c r="B84" s="14">
        <f>'KY_Cost by Plant Acct P8 (REG)'!B84+'KY_Cost by Plant Acct P8 (REG)'!B173</f>
        <v>0</v>
      </c>
      <c r="C84" s="88"/>
      <c r="D84" s="14">
        <f>'KY_Cost by Plant Acct P8 (REG)'!D84+'KY_Cost by Plant Acct P8 (REG)'!D173</f>
        <v>0</v>
      </c>
      <c r="E84" s="88"/>
      <c r="F84" s="14">
        <f>'KY_Cost by Plant Acct P8 (REG)'!F84+'KY_Cost by Plant Acct P8 (REG)'!F173</f>
        <v>0</v>
      </c>
      <c r="G84" s="88"/>
      <c r="H84" s="14">
        <f>'KY_Cost by Plant Acct P8 (REG)'!H84+'KY_Cost by Plant Acct P8 (REG)'!H173</f>
        <v>0</v>
      </c>
      <c r="I84" s="88"/>
      <c r="J84" s="14">
        <f t="shared" si="12"/>
        <v>0</v>
      </c>
      <c r="K84" s="88"/>
      <c r="L84" s="14">
        <f t="shared" si="13"/>
        <v>0</v>
      </c>
      <c r="N84" s="15">
        <f>'KY_Res by Plant Acct P16(REG)'!R272</f>
        <v>0</v>
      </c>
      <c r="P84" s="15">
        <f t="shared" si="14"/>
        <v>0</v>
      </c>
    </row>
    <row r="85" spans="1:17" x14ac:dyDescent="0.2">
      <c r="A85" s="3" t="s">
        <v>217</v>
      </c>
      <c r="B85" s="14">
        <f>'KY_Cost by Plant Acct P8 (REG)'!B85+'KY_Cost by Plant Acct P8 (REG)'!B174</f>
        <v>3789043791.29</v>
      </c>
      <c r="C85" s="88"/>
      <c r="D85" s="14">
        <f>'KY_Cost by Plant Acct P8 (REG)'!D85+'KY_Cost by Plant Acct P8 (REG)'!D174</f>
        <v>158237843.05000001</v>
      </c>
      <c r="E85" s="88"/>
      <c r="F85" s="14">
        <f>'KY_Cost by Plant Acct P8 (REG)'!F85</f>
        <v>-10563333.779999999</v>
      </c>
      <c r="G85" s="88"/>
      <c r="H85" s="14">
        <f>'KY_Cost by Plant Acct P8 (REG)'!H85+'KY_Cost by Plant Acct P8 (REG)'!H174</f>
        <v>4982726.8600000003</v>
      </c>
      <c r="I85" s="88"/>
      <c r="J85" s="14">
        <f t="shared" si="12"/>
        <v>152657236.13000003</v>
      </c>
      <c r="K85" s="88"/>
      <c r="L85" s="14">
        <f t="shared" si="13"/>
        <v>3941701027.4200001</v>
      </c>
      <c r="N85" s="15">
        <f>'KY_Res by Plant Acct P16(REG)'!R324</f>
        <v>-1111662726.3200002</v>
      </c>
      <c r="P85" s="15">
        <f t="shared" si="14"/>
        <v>2830038301.0999999</v>
      </c>
    </row>
    <row r="86" spans="1:17" x14ac:dyDescent="0.2">
      <c r="A86" s="3" t="s">
        <v>218</v>
      </c>
      <c r="B86" s="14">
        <f>'KY_Cost by Plant Acct P8 (REG)'!B86</f>
        <v>0</v>
      </c>
      <c r="C86" s="88"/>
      <c r="D86" s="14">
        <f>'KY_Cost by Plant Acct P8 (REG)'!D86</f>
        <v>0</v>
      </c>
      <c r="E86" s="88"/>
      <c r="F86" s="14">
        <f>'KY_Cost by Plant Acct P8 (REG)'!F86</f>
        <v>0</v>
      </c>
      <c r="G86" s="88"/>
      <c r="H86" s="14">
        <f>'KY_Cost by Plant Acct P8 (REG)'!H86</f>
        <v>0</v>
      </c>
      <c r="I86" s="88"/>
      <c r="J86" s="14">
        <f t="shared" si="12"/>
        <v>0</v>
      </c>
      <c r="K86" s="88"/>
      <c r="L86" s="14">
        <f t="shared" si="13"/>
        <v>0</v>
      </c>
      <c r="N86" s="15">
        <f>'KY_Res by Plant Acct P16(REG)'!R335</f>
        <v>0</v>
      </c>
      <c r="P86" s="15">
        <f t="shared" si="14"/>
        <v>0</v>
      </c>
    </row>
    <row r="87" spans="1:17" x14ac:dyDescent="0.2">
      <c r="A87" s="3" t="s">
        <v>219</v>
      </c>
      <c r="B87" s="14">
        <f>'KY_Cost by Plant Acct P8 (REG)'!B87+'KY_Cost by Plant Acct P8 (REG)'!B175</f>
        <v>329047128.63999993</v>
      </c>
      <c r="C87" s="88"/>
      <c r="D87" s="14">
        <f>'KY_Cost by Plant Acct P8 (REG)'!D87+'KY_Cost by Plant Acct P8 (REG)'!D175</f>
        <v>7372416.04</v>
      </c>
      <c r="E87" s="88"/>
      <c r="F87" s="14">
        <f>'KY_Cost by Plant Acct P8 (REG)'!F87</f>
        <v>-513877.9</v>
      </c>
      <c r="G87" s="88"/>
      <c r="H87" s="14">
        <f>'KY_Cost by Plant Acct P8 (REG)'!H87</f>
        <v>0</v>
      </c>
      <c r="I87" s="88"/>
      <c r="J87" s="14">
        <f t="shared" si="12"/>
        <v>6858538.1399999997</v>
      </c>
      <c r="K87" s="88"/>
      <c r="L87" s="14">
        <f t="shared" si="13"/>
        <v>335905666.77999991</v>
      </c>
      <c r="N87" s="15">
        <f>'KY_Res by Plant Acct P16(REG)'!R351</f>
        <v>-166320490.67999998</v>
      </c>
      <c r="P87" s="15">
        <f t="shared" si="14"/>
        <v>169585176.09999993</v>
      </c>
    </row>
    <row r="88" spans="1:17" x14ac:dyDescent="0.2">
      <c r="A88" s="3" t="s">
        <v>220</v>
      </c>
      <c r="B88" s="14">
        <f>'KY_Cost by Plant Acct P8 (REG)'!B88</f>
        <v>0</v>
      </c>
      <c r="C88" s="88"/>
      <c r="D88" s="14">
        <f>'KY_Cost by Plant Acct P8 (REG)'!D88</f>
        <v>0</v>
      </c>
      <c r="E88" s="88"/>
      <c r="F88" s="14">
        <f>'KY_Cost by Plant Acct P8 (REG)'!F88</f>
        <v>0</v>
      </c>
      <c r="G88" s="88"/>
      <c r="H88" s="14">
        <f>'KY_Cost by Plant Acct P8 (REG)'!H88</f>
        <v>0</v>
      </c>
      <c r="I88" s="88"/>
      <c r="J88" s="14">
        <f t="shared" si="12"/>
        <v>0</v>
      </c>
      <c r="K88" s="88"/>
      <c r="L88" s="14">
        <f t="shared" si="13"/>
        <v>0</v>
      </c>
      <c r="N88" s="15">
        <f>'KY_Res by Plant Acct P16(REG)'!R352</f>
        <v>0</v>
      </c>
      <c r="P88" s="15">
        <f t="shared" si="14"/>
        <v>0</v>
      </c>
    </row>
    <row r="89" spans="1:17" x14ac:dyDescent="0.2">
      <c r="A89" s="3" t="s">
        <v>221</v>
      </c>
      <c r="B89" s="14">
        <f>'KY_Cost by Plant Acct P8 (REG)'!B89+'KY_Cost by Plant Acct P8 (REG)'!B176</f>
        <v>221412504.41999999</v>
      </c>
      <c r="C89" s="88"/>
      <c r="D89" s="14">
        <f>'KY_Cost by Plant Acct P8 (REG)'!D89+'KY_Cost by Plant Acct P8 (REG)'!D176</f>
        <v>733224.95000000007</v>
      </c>
      <c r="E89" s="88"/>
      <c r="F89" s="14">
        <f>'KY_Cost by Plant Acct P8 (REG)'!F89</f>
        <v>-248391.82</v>
      </c>
      <c r="G89" s="88"/>
      <c r="H89" s="14">
        <f>'KY_Cost by Plant Acct P8 (REG)'!H89</f>
        <v>0</v>
      </c>
      <c r="I89" s="88"/>
      <c r="J89" s="14">
        <f t="shared" si="12"/>
        <v>484833.13000000006</v>
      </c>
      <c r="K89" s="88"/>
      <c r="L89" s="14">
        <f t="shared" si="13"/>
        <v>221897337.54999998</v>
      </c>
      <c r="N89" s="15">
        <f>'KY_Res by Plant Acct P16(REG)'!R388</f>
        <v>-104624959.48999999</v>
      </c>
      <c r="P89" s="15">
        <f t="shared" si="14"/>
        <v>117272378.05999999</v>
      </c>
    </row>
    <row r="90" spans="1:17" x14ac:dyDescent="0.2">
      <c r="A90" s="3" t="s">
        <v>222</v>
      </c>
      <c r="B90" s="14">
        <f>'KY_Cost by Plant Acct P8 (REG)'!B90</f>
        <v>0</v>
      </c>
      <c r="C90" s="88"/>
      <c r="D90" s="14">
        <f>'KY_Cost by Plant Acct P8 (REG)'!D90</f>
        <v>0</v>
      </c>
      <c r="E90" s="88"/>
      <c r="F90" s="14">
        <f>'KY_Cost by Plant Acct P8 (REG)'!F90</f>
        <v>0</v>
      </c>
      <c r="G90" s="88"/>
      <c r="H90" s="14">
        <f>'KY_Cost by Plant Acct P8 (REG)'!H90</f>
        <v>0</v>
      </c>
      <c r="I90" s="88"/>
      <c r="J90" s="14">
        <f t="shared" si="12"/>
        <v>0</v>
      </c>
      <c r="K90" s="88"/>
      <c r="L90" s="14">
        <f t="shared" si="13"/>
        <v>0</v>
      </c>
      <c r="N90" s="15">
        <f>'KY_Res by Plant Acct P16(REG)'!R398</f>
        <v>0</v>
      </c>
      <c r="P90" s="15">
        <f t="shared" si="14"/>
        <v>0</v>
      </c>
    </row>
    <row r="91" spans="1:17" x14ac:dyDescent="0.2">
      <c r="A91" s="3" t="s">
        <v>223</v>
      </c>
      <c r="B91" s="14">
        <f>'KY_Cost by Plant Acct P8 (REG)'!B91+'KY_Cost by Plant Acct P8 (REG)'!B177</f>
        <v>36265518.899999999</v>
      </c>
      <c r="C91" s="88"/>
      <c r="D91" s="17">
        <f>'KY_Cost by Plant Acct P8 (REG)'!D91+'KY_Cost by Plant Acct P8 (REG)'!D177</f>
        <v>1190929.94</v>
      </c>
      <c r="E91" s="89"/>
      <c r="F91" s="17">
        <f>'KY_Cost by Plant Acct P8 (REG)'!F91</f>
        <v>-482747.26</v>
      </c>
      <c r="G91" s="89"/>
      <c r="H91" s="17">
        <f>'KY_Cost by Plant Acct P8 (REG)'!H91</f>
        <v>-57817.46</v>
      </c>
      <c r="I91" s="89"/>
      <c r="J91" s="17">
        <f t="shared" si="12"/>
        <v>650365.22</v>
      </c>
      <c r="K91" s="89"/>
      <c r="L91" s="17">
        <f t="shared" si="13"/>
        <v>36915884.119999997</v>
      </c>
      <c r="M91" s="59"/>
      <c r="N91" s="60">
        <f>'KY_Res by Plant Acct P16(REG)'!R417</f>
        <v>-16204760.220000003</v>
      </c>
      <c r="O91" s="59"/>
      <c r="P91" s="60">
        <f t="shared" si="14"/>
        <v>20711123.899999995</v>
      </c>
      <c r="Q91" s="59"/>
    </row>
    <row r="92" spans="1:17" x14ac:dyDescent="0.2">
      <c r="A92" s="3" t="s">
        <v>224</v>
      </c>
      <c r="B92" s="17">
        <f>'KY_Cost by Plant Acct P8 (REG)'!B92</f>
        <v>329221435.25999999</v>
      </c>
      <c r="C92" s="89"/>
      <c r="D92" s="17">
        <f>'KY_Cost by Plant Acct P8 (REG)'!D92</f>
        <v>0</v>
      </c>
      <c r="E92" s="89"/>
      <c r="F92" s="17">
        <f>'KY_Cost by Plant Acct P8 (REG)'!F92</f>
        <v>-2172751.56</v>
      </c>
      <c r="G92" s="89"/>
      <c r="H92" s="17">
        <f>'KY_Cost by Plant Acct P8 (REG)'!H92</f>
        <v>-299395427.20000005</v>
      </c>
      <c r="I92" s="89"/>
      <c r="J92" s="17">
        <f t="shared" si="12"/>
        <v>-301568178.76000005</v>
      </c>
      <c r="K92" s="89"/>
      <c r="L92" s="17">
        <f t="shared" si="13"/>
        <v>27653256.49999994</v>
      </c>
      <c r="M92" s="59"/>
      <c r="N92" s="60">
        <f>'KY_Res by Plant Acct P16(REG)'!R418</f>
        <v>-2815947.9499999881</v>
      </c>
      <c r="O92" s="59"/>
      <c r="P92" s="60">
        <f t="shared" si="14"/>
        <v>24837308.549999952</v>
      </c>
      <c r="Q92" s="59"/>
    </row>
    <row r="93" spans="1:17" x14ac:dyDescent="0.2">
      <c r="A93" s="3" t="s">
        <v>225</v>
      </c>
      <c r="B93" s="17">
        <f>'KY_Cost by Plant Acct P8 (REG)'!B93</f>
        <v>0</v>
      </c>
      <c r="C93" s="89"/>
      <c r="D93" s="17">
        <f>'KY_Cost by Plant Acct P8 (REG)'!D93</f>
        <v>0</v>
      </c>
      <c r="E93" s="89"/>
      <c r="F93" s="17">
        <f>'KY_Cost by Plant Acct P8 (REG)'!F93</f>
        <v>0</v>
      </c>
      <c r="G93" s="89"/>
      <c r="H93" s="17">
        <f>'KY_Cost by Plant Acct P8 (REG)'!H93</f>
        <v>220491458.15000004</v>
      </c>
      <c r="I93" s="89"/>
      <c r="J93" s="17">
        <f t="shared" si="12"/>
        <v>220491458.15000004</v>
      </c>
      <c r="K93" s="89"/>
      <c r="L93" s="17">
        <f t="shared" si="13"/>
        <v>220491458.15000004</v>
      </c>
      <c r="N93" s="60">
        <f>'KY_Res by Plant Acct P16(REG)'!R419</f>
        <v>-90540910.780000001</v>
      </c>
      <c r="P93" s="60">
        <f t="shared" si="14"/>
        <v>129950547.37000003</v>
      </c>
    </row>
    <row r="94" spans="1:17" x14ac:dyDescent="0.2">
      <c r="B94" s="18">
        <f>SUM(B82:B93)</f>
        <v>5065547786.9099998</v>
      </c>
      <c r="C94" s="91"/>
      <c r="D94" s="18">
        <f>SUM(D82:D93)</f>
        <v>171480335.91999999</v>
      </c>
      <c r="E94" s="91"/>
      <c r="F94" s="18">
        <f>SUM(F82:F93)</f>
        <v>-14899041.710000001</v>
      </c>
      <c r="G94" s="91"/>
      <c r="H94" s="18">
        <f>SUM(H82:H93)</f>
        <v>-79169657.889999986</v>
      </c>
      <c r="I94" s="91"/>
      <c r="J94" s="18">
        <f>SUM(J82:J93)</f>
        <v>77411636.319999993</v>
      </c>
      <c r="K94" s="91"/>
      <c r="L94" s="18">
        <f>SUM(L82:L93)</f>
        <v>5142959423.2299995</v>
      </c>
      <c r="M94" s="77"/>
      <c r="N94" s="18">
        <f>SUM(N82:N93)</f>
        <v>-1667911158.6300004</v>
      </c>
      <c r="O94" s="77"/>
      <c r="P94" s="18">
        <f>SUM(P82:P93)</f>
        <v>3475048264.5999994</v>
      </c>
    </row>
    <row r="95" spans="1:17" x14ac:dyDescent="0.2">
      <c r="B95" s="17"/>
      <c r="C95" s="89"/>
      <c r="D95" s="17"/>
      <c r="E95" s="89"/>
      <c r="F95" s="17"/>
      <c r="G95" s="89"/>
      <c r="H95" s="17"/>
      <c r="I95" s="89"/>
      <c r="J95" s="17"/>
      <c r="K95" s="89"/>
      <c r="L95" s="17"/>
    </row>
    <row r="96" spans="1:17" x14ac:dyDescent="0.2">
      <c r="A96" s="12" t="s">
        <v>18</v>
      </c>
      <c r="B96" s="17"/>
      <c r="C96" s="89"/>
      <c r="D96" s="17"/>
      <c r="E96" s="89"/>
      <c r="F96" s="17"/>
      <c r="G96" s="89"/>
      <c r="H96" s="17"/>
      <c r="I96" s="89"/>
      <c r="J96" s="17"/>
      <c r="K96" s="89"/>
      <c r="L96" s="17"/>
    </row>
    <row r="97" spans="1:16" x14ac:dyDescent="0.2">
      <c r="A97" s="3" t="s">
        <v>227</v>
      </c>
      <c r="B97" s="17">
        <f>'KY_Cost by Plant Acct P8 (REG)'!B97+'TN_Cost by Plant Acct P12 (REG)'!B26+'VA_Cost by Plant Acct P10 (REG)'!B46+'KY_Cost by Plant Acct P8 (REG)'!B181</f>
        <v>29428995.299999997</v>
      </c>
      <c r="C97" s="89"/>
      <c r="D97" s="17">
        <f>'KY_Cost by Plant Acct P8 (REG)'!D97+'TN_Cost by Plant Acct P12 (REG)'!D26+'VA_Cost by Plant Acct P10 (REG)'!D46+'KY_Cost by Plant Acct P8 (REG)'!D181</f>
        <v>100844.38</v>
      </c>
      <c r="E97" s="89"/>
      <c r="F97" s="17">
        <f>'KY_Cost by Plant Acct P8 (REG)'!F97+'TN_Cost by Plant Acct P12 (REG)'!F26+'VA_Cost by Plant Acct P10 (REG)'!F46+'KY_Cost by Plant Acct P8 (REG)'!F181</f>
        <v>0</v>
      </c>
      <c r="G97" s="89"/>
      <c r="H97" s="17">
        <f>'KY_Cost by Plant Acct P8 (REG)'!H97+'TN_Cost by Plant Acct P12 (REG)'!H26+'VA_Cost by Plant Acct P10 (REG)'!H46+'KY_Cost by Plant Acct P8 (REG)'!H181</f>
        <v>0</v>
      </c>
      <c r="I97" s="89"/>
      <c r="J97" s="17">
        <f t="shared" ref="J97:J110" si="15">H97+F97+D97</f>
        <v>100844.38</v>
      </c>
      <c r="K97" s="89"/>
      <c r="L97" s="17">
        <f t="shared" ref="L97:L110" si="16">J97+B97</f>
        <v>29529839.679999996</v>
      </c>
      <c r="N97" s="15">
        <f>'KY_Res by Plant Acct P16(REG)'!R423+'KY_Res by Plant Acct P16(REG)'!R424+'VA_Res by Plant Acct P17(REG)'!R44+'TN_Res by Plant Acct P18(REG)'!R24</f>
        <v>-17326777.960000001</v>
      </c>
      <c r="P97" s="15">
        <f t="shared" ref="P97:P110" si="17">L97+N97</f>
        <v>12203061.719999995</v>
      </c>
    </row>
    <row r="98" spans="1:16" x14ac:dyDescent="0.2">
      <c r="A98" s="3" t="s">
        <v>228</v>
      </c>
      <c r="B98" s="17">
        <f>'KY_Cost by Plant Acct P8 (REG)'!B98+'KY_Cost by Plant Acct P8 (REG)'!B182+'VA_Cost by Plant Acct P10 (REG)'!B47</f>
        <v>2360270.0699999998</v>
      </c>
      <c r="C98" s="89"/>
      <c r="D98" s="17">
        <f>'KY_Cost by Plant Acct P8 (REG)'!D98+'KY_Cost by Plant Acct P8 (REG)'!D182+'VA_Cost by Plant Acct P10 (REG)'!D47</f>
        <v>0</v>
      </c>
      <c r="E98" s="89"/>
      <c r="F98" s="17">
        <f>'KY_Cost by Plant Acct P8 (REG)'!F98+'VA_Cost by Plant Acct P10 (REG)'!F47</f>
        <v>0</v>
      </c>
      <c r="G98" s="89"/>
      <c r="H98" s="17">
        <f>'KY_Cost by Plant Acct P8 (REG)'!H98+'KY_Cost by Plant Acct P8 (REG)'!H182+'VA_Cost by Plant Acct P10 (REG)'!H47</f>
        <v>0</v>
      </c>
      <c r="I98" s="89"/>
      <c r="J98" s="17">
        <f t="shared" si="15"/>
        <v>0</v>
      </c>
      <c r="K98" s="89"/>
      <c r="L98" s="17">
        <f t="shared" si="16"/>
        <v>2360270.0699999998</v>
      </c>
      <c r="N98" s="15">
        <f>'KY_Res by Plant Acct P16(REG)'!R425</f>
        <v>0</v>
      </c>
      <c r="P98" s="15">
        <f t="shared" si="17"/>
        <v>2360270.0699999998</v>
      </c>
    </row>
    <row r="99" spans="1:16" x14ac:dyDescent="0.2">
      <c r="A99" s="3" t="s">
        <v>229</v>
      </c>
      <c r="B99" s="17">
        <f>'KY_Cost by Plant Acct P8 (REG)'!B99+'KY_Cost by Plant Acct P8 (REG)'!B183+'VA_Cost by Plant Acct P10 (REG)'!B48+'VA_Cost by Plant Acct P10 (REG)'!B81</f>
        <v>25314463.820000004</v>
      </c>
      <c r="C99" s="89"/>
      <c r="D99" s="17">
        <f>'KY_Cost by Plant Acct P8 (REG)'!D99+'KY_Cost by Plant Acct P8 (REG)'!D183+'VA_Cost by Plant Acct P10 (REG)'!D48+'VA_Cost by Plant Acct P10 (REG)'!D81</f>
        <v>3709634.1500000004</v>
      </c>
      <c r="E99" s="89"/>
      <c r="F99" s="17">
        <f>'KY_Cost by Plant Acct P8 (REG)'!F99+'VA_Cost by Plant Acct P10 (REG)'!F48</f>
        <v>-173522.9</v>
      </c>
      <c r="G99" s="89"/>
      <c r="H99" s="17">
        <f>'KY_Cost by Plant Acct P8 (REG)'!H99+'KY_Cost by Plant Acct P8 (REG)'!H183+'VA_Cost by Plant Acct P10 (REG)'!H48+'VA_Cost by Plant Acct P10 (REG)'!H81</f>
        <v>-4946.97</v>
      </c>
      <c r="I99" s="89"/>
      <c r="J99" s="17">
        <f t="shared" si="15"/>
        <v>3531164.2800000003</v>
      </c>
      <c r="K99" s="89"/>
      <c r="L99" s="17">
        <f t="shared" si="16"/>
        <v>28845628.100000005</v>
      </c>
      <c r="N99" s="15">
        <f>'KY_Res by Plant Acct P16(REG)'!R426+'KY_Res by Plant Acct P16(REG)'!R427+'VA_Res by Plant Acct P17(REG)'!R45+'KY_Res by Plant Acct P16(REG)'!R428</f>
        <v>-6862861.5800000001</v>
      </c>
      <c r="P99" s="15">
        <f t="shared" si="17"/>
        <v>21982766.520000003</v>
      </c>
    </row>
    <row r="100" spans="1:16" x14ac:dyDescent="0.2">
      <c r="A100" s="3" t="s">
        <v>230</v>
      </c>
      <c r="B100" s="17">
        <f>'KY_Cost by Plant Acct P8 (REG)'!B100</f>
        <v>193226.00999999992</v>
      </c>
      <c r="C100" s="89"/>
      <c r="D100" s="17">
        <f>'KY_Cost by Plant Acct P8 (REG)'!D100</f>
        <v>0</v>
      </c>
      <c r="E100" s="89"/>
      <c r="F100" s="17">
        <f>'KY_Cost by Plant Acct P8 (REG)'!F100</f>
        <v>0</v>
      </c>
      <c r="G100" s="89"/>
      <c r="H100" s="17">
        <f>'KY_Cost by Plant Acct P8 (REG)'!H100</f>
        <v>0</v>
      </c>
      <c r="I100" s="89"/>
      <c r="J100" s="17">
        <f t="shared" si="15"/>
        <v>0</v>
      </c>
      <c r="K100" s="89"/>
      <c r="L100" s="17">
        <f t="shared" si="16"/>
        <v>193226.00999999992</v>
      </c>
      <c r="N100" s="15">
        <f>'KY_Res by Plant Acct P16(REG)'!R429</f>
        <v>-75023.19</v>
      </c>
      <c r="P100" s="15">
        <f t="shared" si="17"/>
        <v>118202.81999999992</v>
      </c>
    </row>
    <row r="101" spans="1:16" x14ac:dyDescent="0.2">
      <c r="A101" s="3" t="s">
        <v>231</v>
      </c>
      <c r="B101" s="17">
        <f>'KY_Cost by Plant Acct P8 (REG)'!B101+'KY_Cost by Plant Acct P8 (REG)'!B184+'VA_Cost by Plant Acct P10 (REG)'!B49+'VA_Cost by Plant Acct P10 (REG)'!B82</f>
        <v>257735637.26999998</v>
      </c>
      <c r="C101" s="89"/>
      <c r="D101" s="17">
        <f>'KY_Cost by Plant Acct P8 (REG)'!D101+'KY_Cost by Plant Acct P8 (REG)'!D184+'VA_Cost by Plant Acct P10 (REG)'!D49+'VA_Cost by Plant Acct P10 (REG)'!D82</f>
        <v>22389817.490000002</v>
      </c>
      <c r="E101" s="89"/>
      <c r="F101" s="17">
        <f>'KY_Cost by Plant Acct P8 (REG)'!F101+'VA_Cost by Plant Acct P10 (REG)'!F49</f>
        <v>-2173668.85</v>
      </c>
      <c r="G101" s="89"/>
      <c r="H101" s="17">
        <f>'KY_Cost by Plant Acct P8 (REG)'!H101+'KY_Cost by Plant Acct P8 (REG)'!H184+'VA_Cost by Plant Acct P10 (REG)'!H49+'VA_Cost by Plant Acct P10 (REG)'!H82</f>
        <v>210324.99</v>
      </c>
      <c r="I101" s="89"/>
      <c r="J101" s="17">
        <f t="shared" si="15"/>
        <v>20426473.630000003</v>
      </c>
      <c r="K101" s="89"/>
      <c r="L101" s="17">
        <f t="shared" si="16"/>
        <v>278162110.89999998</v>
      </c>
      <c r="N101" s="15">
        <f>'KY_Res by Plant Acct P16(REG)'!R430+'KY_Res by Plant Acct P16(REG)'!R431+'VA_Res by Plant Acct P17(REG)'!R46</f>
        <v>-71403710.279999971</v>
      </c>
      <c r="P101" s="15">
        <f t="shared" si="17"/>
        <v>206758400.62</v>
      </c>
    </row>
    <row r="102" spans="1:16" x14ac:dyDescent="0.2">
      <c r="A102" s="3" t="s">
        <v>232</v>
      </c>
      <c r="B102" s="17">
        <f>'KY_Cost by Plant Acct P8 (REG)'!B102</f>
        <v>0</v>
      </c>
      <c r="C102" s="89"/>
      <c r="D102" s="17">
        <f>'KY_Cost by Plant Acct P8 (REG)'!D102</f>
        <v>0</v>
      </c>
      <c r="E102" s="89"/>
      <c r="F102" s="17">
        <f>'KY_Cost by Plant Acct P8 (REG)'!F102</f>
        <v>0</v>
      </c>
      <c r="G102" s="89"/>
      <c r="H102" s="17">
        <f>'KY_Cost by Plant Acct P8 (REG)'!H102</f>
        <v>0</v>
      </c>
      <c r="I102" s="89"/>
      <c r="J102" s="17">
        <f t="shared" si="15"/>
        <v>0</v>
      </c>
      <c r="K102" s="89"/>
      <c r="L102" s="17">
        <f t="shared" si="16"/>
        <v>0</v>
      </c>
      <c r="N102" s="15">
        <f>'KY_Res by Plant Acct P16(REG)'!R432</f>
        <v>-1.1641532182693481E-10</v>
      </c>
      <c r="P102" s="15">
        <f t="shared" si="17"/>
        <v>-1.1641532182693481E-10</v>
      </c>
    </row>
    <row r="103" spans="1:16" x14ac:dyDescent="0.2">
      <c r="A103" s="3" t="s">
        <v>233</v>
      </c>
      <c r="B103" s="17">
        <f>'KY_Cost by Plant Acct P8 (REG)'!B103+'KY_Cost by Plant Acct P8 (REG)'!B185</f>
        <v>6568060.2699999996</v>
      </c>
      <c r="C103" s="89"/>
      <c r="D103" s="17">
        <f>'KY_Cost by Plant Acct P8 (REG)'!D103+'KY_Cost by Plant Acct P8 (REG)'!D185</f>
        <v>0</v>
      </c>
      <c r="E103" s="89"/>
      <c r="F103" s="17">
        <f>'KY_Cost by Plant Acct P8 (REG)'!F103+'KY_Cost by Plant Acct P8 (REG)'!F185</f>
        <v>-26900.38</v>
      </c>
      <c r="G103" s="89"/>
      <c r="H103" s="17">
        <f>'KY_Cost by Plant Acct P8 (REG)'!H103+'KY_Cost by Plant Acct P8 (REG)'!H185</f>
        <v>0</v>
      </c>
      <c r="I103" s="89"/>
      <c r="J103" s="17">
        <f t="shared" si="15"/>
        <v>-26900.38</v>
      </c>
      <c r="K103" s="89"/>
      <c r="L103" s="17">
        <f t="shared" si="16"/>
        <v>6541159.8899999997</v>
      </c>
      <c r="N103" s="15">
        <f>'KY_Res by Plant Acct P16(REG)'!R433</f>
        <v>-9686201.4800000004</v>
      </c>
      <c r="P103" s="15">
        <f t="shared" si="17"/>
        <v>-3145041.5900000008</v>
      </c>
    </row>
    <row r="104" spans="1:16" x14ac:dyDescent="0.2">
      <c r="A104" s="3" t="s">
        <v>234</v>
      </c>
      <c r="B104" s="17">
        <f>'KY_Cost by Plant Acct P8 (REG)'!B104+'VA_Cost by Plant Acct P10 (REG)'!B50+'KY_Cost by Plant Acct P8 (REG)'!B186</f>
        <v>76403298.639999986</v>
      </c>
      <c r="C104" s="89"/>
      <c r="D104" s="17">
        <f>'KY_Cost by Plant Acct P8 (REG)'!D104+'VA_Cost by Plant Acct P10 (REG)'!D50+'KY_Cost by Plant Acct P8 (REG)'!D186</f>
        <v>87546.33</v>
      </c>
      <c r="E104" s="89"/>
      <c r="F104" s="17">
        <f>'KY_Cost by Plant Acct P8 (REG)'!F104+'VA_Cost by Plant Acct P10 (REG)'!F50</f>
        <v>-32164.05</v>
      </c>
      <c r="G104" s="89"/>
      <c r="H104" s="17">
        <f>'KY_Cost by Plant Acct P8 (REG)'!H104+'VA_Cost by Plant Acct P10 (REG)'!H50+'KY_Cost by Plant Acct P8 (REG)'!H186</f>
        <v>0</v>
      </c>
      <c r="I104" s="89"/>
      <c r="J104" s="17">
        <f t="shared" si="15"/>
        <v>55382.28</v>
      </c>
      <c r="K104" s="89"/>
      <c r="L104" s="17">
        <f t="shared" si="16"/>
        <v>76458680.919999987</v>
      </c>
      <c r="N104" s="15">
        <f>'KY_Res by Plant Acct P16(REG)'!R436+'VA_Res by Plant Acct P17(REG)'!R47</f>
        <v>-50144404.949999988</v>
      </c>
      <c r="P104" s="15">
        <f t="shared" si="17"/>
        <v>26314275.969999999</v>
      </c>
    </row>
    <row r="105" spans="1:16" x14ac:dyDescent="0.2">
      <c r="A105" s="3" t="s">
        <v>235</v>
      </c>
      <c r="B105" s="17">
        <f>'KY_Cost by Plant Acct P8 (REG)'!B105+'KY_Cost by Plant Acct P8 (REG)'!B187+'TN_Cost by Plant Acct P12 (REG)'!B27+'VA_Cost by Plant Acct P10 (REG)'!B51+'VA_Cost by Plant Acct P10 (REG)'!B83</f>
        <v>228799845.74000001</v>
      </c>
      <c r="C105" s="89"/>
      <c r="D105" s="17">
        <f>'KY_Cost by Plant Acct P8 (REG)'!D105+'KY_Cost by Plant Acct P8 (REG)'!D187+'TN_Cost by Plant Acct P12 (REG)'!D27+'VA_Cost by Plant Acct P10 (REG)'!D51+'VA_Cost by Plant Acct P10 (REG)'!D83</f>
        <v>40359789.130000003</v>
      </c>
      <c r="E105" s="89"/>
      <c r="F105" s="17">
        <f>'KY_Cost by Plant Acct P8 (REG)'!F105+'TN_Cost by Plant Acct P12 (REG)'!F27+'VA_Cost by Plant Acct P10 (REG)'!F51</f>
        <v>-2739978.1199999996</v>
      </c>
      <c r="G105" s="89"/>
      <c r="H105" s="17">
        <f>'KY_Cost by Plant Acct P8 (REG)'!H105+'KY_Cost by Plant Acct P8 (REG)'!H187+'TN_Cost by Plant Acct P12 (REG)'!H27+'VA_Cost by Plant Acct P10 (REG)'!H51+'VA_Cost by Plant Acct P10 (REG)'!H83</f>
        <v>-136459.46</v>
      </c>
      <c r="I105" s="89"/>
      <c r="J105" s="17">
        <f t="shared" si="15"/>
        <v>37483351.550000004</v>
      </c>
      <c r="K105" s="89"/>
      <c r="L105" s="17">
        <f t="shared" si="16"/>
        <v>266283197.29000002</v>
      </c>
      <c r="N105" s="15">
        <f>'KY_Res by Plant Acct P16(REG)'!R440+'VA_Res by Plant Acct P17(REG)'!R48+'TN_Res by Plant Acct P18(REG)'!R25</f>
        <v>-72085316.189999998</v>
      </c>
      <c r="P105" s="15">
        <f t="shared" si="17"/>
        <v>194197881.10000002</v>
      </c>
    </row>
    <row r="106" spans="1:16" x14ac:dyDescent="0.2">
      <c r="A106" s="3" t="s">
        <v>236</v>
      </c>
      <c r="B106" s="17">
        <f>'KY_Cost by Plant Acct P8 (REG)'!B106+'KY_Cost by Plant Acct P8 (REG)'!B188+'TN_Cost by Plant Acct P12 (REG)'!B28+'VA_Cost by Plant Acct P10 (REG)'!B52+'VA_Cost by Plant Acct P10 (REG)'!B84</f>
        <v>178542714.22</v>
      </c>
      <c r="C106" s="89"/>
      <c r="D106" s="17">
        <f>'KY_Cost by Plant Acct P8 (REG)'!D106+'KY_Cost by Plant Acct P8 (REG)'!D188+'TN_Cost by Plant Acct P12 (REG)'!D28+'VA_Cost by Plant Acct P10 (REG)'!D52+'VA_Cost by Plant Acct P10 (REG)'!D84</f>
        <v>8019150.3800000008</v>
      </c>
      <c r="E106" s="89"/>
      <c r="F106" s="17">
        <f>'KY_Cost by Plant Acct P8 (REG)'!F106+'TN_Cost by Plant Acct P12 (REG)'!F28+'VA_Cost by Plant Acct P10 (REG)'!F52</f>
        <v>-2153781.9</v>
      </c>
      <c r="G106" s="89"/>
      <c r="H106" s="17">
        <f>'KY_Cost by Plant Acct P8 (REG)'!H106+'KY_Cost by Plant Acct P8 (REG)'!H188+'TN_Cost by Plant Acct P12 (REG)'!H28+'VA_Cost by Plant Acct P10 (REG)'!H52+'VA_Cost by Plant Acct P10 (REG)'!H84</f>
        <v>0</v>
      </c>
      <c r="I106" s="89"/>
      <c r="J106" s="17">
        <f t="shared" si="15"/>
        <v>5865368.4800000004</v>
      </c>
      <c r="K106" s="89"/>
      <c r="L106" s="17">
        <f t="shared" si="16"/>
        <v>184408082.69999999</v>
      </c>
      <c r="N106" s="15">
        <f>'KY_Res by Plant Acct P16(REG)'!R441+'KY_Res by Plant Acct P16(REG)'!R444+'VA_Res by Plant Acct P17(REG)'!R49+'TN_Res by Plant Acct P18(REG)'!R26</f>
        <v>-113270750.91999999</v>
      </c>
      <c r="P106" s="15">
        <f t="shared" si="17"/>
        <v>71137331.780000001</v>
      </c>
    </row>
    <row r="107" spans="1:16" x14ac:dyDescent="0.2">
      <c r="A107" s="3" t="s">
        <v>237</v>
      </c>
      <c r="B107" s="17">
        <f>'KY_Cost by Plant Acct P8 (REG)'!B107</f>
        <v>448760.26</v>
      </c>
      <c r="C107" s="89"/>
      <c r="D107" s="17">
        <f>'KY_Cost by Plant Acct P8 (REG)'!D107</f>
        <v>0</v>
      </c>
      <c r="E107" s="89"/>
      <c r="F107" s="17">
        <f>'KY_Cost by Plant Acct P8 (REG)'!F107</f>
        <v>0</v>
      </c>
      <c r="G107" s="89"/>
      <c r="H107" s="17">
        <f>'KY_Cost by Plant Acct P8 (REG)'!H107</f>
        <v>0</v>
      </c>
      <c r="I107" s="89"/>
      <c r="J107" s="17">
        <f t="shared" si="15"/>
        <v>0</v>
      </c>
      <c r="K107" s="89"/>
      <c r="L107" s="17">
        <f t="shared" si="16"/>
        <v>448760.26</v>
      </c>
      <c r="N107" s="15">
        <f>'KY_Res by Plant Acct P16(REG)'!R445+'VA_Res by Plant Acct P17(REG)'!R50</f>
        <v>-239832.58999999997</v>
      </c>
      <c r="P107" s="15">
        <f t="shared" si="17"/>
        <v>208927.67000000004</v>
      </c>
    </row>
    <row r="108" spans="1:16" x14ac:dyDescent="0.2">
      <c r="A108" s="3" t="s">
        <v>238</v>
      </c>
      <c r="B108" s="17">
        <f>'KY_Cost by Plant Acct P8 (REG)'!B108+'KY_Cost by Plant Acct P8 (REG)'!B189</f>
        <v>1173303.32</v>
      </c>
      <c r="C108" s="17">
        <f>'KY_Cost by Plant Acct P8 (REG)'!C108+'KY_Cost by Plant Acct P8 (REG)'!C189</f>
        <v>0</v>
      </c>
      <c r="D108" s="17">
        <f>'KY_Cost by Plant Acct P8 (REG)'!D108+'KY_Cost by Plant Acct P8 (REG)'!D189</f>
        <v>1730.09</v>
      </c>
      <c r="E108" s="17">
        <f>'KY_Cost by Plant Acct P8 (REG)'!E108+'KY_Cost by Plant Acct P8 (REG)'!E189</f>
        <v>0</v>
      </c>
      <c r="F108" s="17">
        <f>'KY_Cost by Plant Acct P8 (REG)'!F108+'KY_Cost by Plant Acct P8 (REG)'!F189</f>
        <v>-2412.09</v>
      </c>
      <c r="G108" s="17">
        <f>'KY_Cost by Plant Acct P8 (REG)'!G108+'KY_Cost by Plant Acct P8 (REG)'!G189</f>
        <v>0</v>
      </c>
      <c r="H108" s="17">
        <f>'KY_Cost by Plant Acct P8 (REG)'!H108+'KY_Cost by Plant Acct P8 (REG)'!H189</f>
        <v>-54177.15</v>
      </c>
      <c r="I108" s="89"/>
      <c r="J108" s="17">
        <f t="shared" si="15"/>
        <v>-54859.150000000009</v>
      </c>
      <c r="K108" s="89"/>
      <c r="L108" s="17">
        <f>J108+B108</f>
        <v>1118444.1700000002</v>
      </c>
      <c r="N108" s="15">
        <f>'KY_Res by Plant Acct P16(REG)'!R446+'VA_Res by Plant Acct P17(REG)'!R51</f>
        <v>-961757.24000000011</v>
      </c>
      <c r="P108" s="15">
        <f t="shared" si="17"/>
        <v>156686.93000000005</v>
      </c>
    </row>
    <row r="109" spans="1:16" x14ac:dyDescent="0.2">
      <c r="A109" s="3" t="s">
        <v>239</v>
      </c>
      <c r="B109" s="17">
        <f>'KY_Cost by Plant Acct P8 (REG)'!B109</f>
        <v>52117.709999999985</v>
      </c>
      <c r="C109" s="17">
        <f>'KY_Cost by Plant Acct P8 (REG)'!C109</f>
        <v>0</v>
      </c>
      <c r="D109" s="17">
        <f>'KY_Cost by Plant Acct P8 (REG)'!D109</f>
        <v>0</v>
      </c>
      <c r="E109" s="89"/>
      <c r="F109" s="17">
        <f>'KY_Cost by Plant Acct P8 (REG)'!F109</f>
        <v>0</v>
      </c>
      <c r="G109" s="89"/>
      <c r="H109" s="17">
        <f>'KY_Cost by Plant Acct P8 (REG)'!H109</f>
        <v>32711.919999999998</v>
      </c>
      <c r="I109" s="89"/>
      <c r="J109" s="17">
        <f t="shared" si="15"/>
        <v>32711.919999999998</v>
      </c>
      <c r="K109" s="89"/>
      <c r="L109" s="17">
        <f t="shared" si="16"/>
        <v>84829.629999999976</v>
      </c>
      <c r="N109" s="15">
        <f>'KY_Res by Plant Acct P16(REG)'!R447</f>
        <v>-4894.1000000000004</v>
      </c>
      <c r="P109" s="15">
        <f t="shared" si="17"/>
        <v>79935.52999999997</v>
      </c>
    </row>
    <row r="110" spans="1:16" x14ac:dyDescent="0.2">
      <c r="A110" s="3" t="s">
        <v>240</v>
      </c>
      <c r="B110" s="16">
        <f>'KY_Cost by Plant Acct P8 (REG)'!B110</f>
        <v>361332.92</v>
      </c>
      <c r="C110" s="89"/>
      <c r="D110" s="16">
        <f>'KY_Cost by Plant Acct P8 (REG)'!D110</f>
        <v>0</v>
      </c>
      <c r="E110" s="89"/>
      <c r="F110" s="16">
        <f>'KY_Cost by Plant Acct P8 (REG)'!F110</f>
        <v>0</v>
      </c>
      <c r="G110" s="89"/>
      <c r="H110" s="16">
        <f>'KY_Cost by Plant Acct P8 (REG)'!H110</f>
        <v>122519.28</v>
      </c>
      <c r="I110" s="89"/>
      <c r="J110" s="16">
        <f t="shared" si="15"/>
        <v>122519.28</v>
      </c>
      <c r="K110" s="89"/>
      <c r="L110" s="16">
        <f t="shared" si="16"/>
        <v>483852.19999999995</v>
      </c>
      <c r="N110" s="90">
        <f>'KY_Res by Plant Acct P16(REG)'!R448</f>
        <v>-48810.01</v>
      </c>
      <c r="P110" s="90">
        <f t="shared" si="17"/>
        <v>435042.18999999994</v>
      </c>
    </row>
    <row r="111" spans="1:16" x14ac:dyDescent="0.2">
      <c r="B111" s="17">
        <f>SUM(B97:B110)</f>
        <v>807382025.54999995</v>
      </c>
      <c r="C111" s="89"/>
      <c r="D111" s="17">
        <f>SUM(D97:D110)</f>
        <v>74668511.950000003</v>
      </c>
      <c r="E111" s="89"/>
      <c r="F111" s="17">
        <f>SUM(F97:F110)</f>
        <v>-7302428.2899999991</v>
      </c>
      <c r="G111" s="89"/>
      <c r="H111" s="17">
        <f>SUM(H97:H110)</f>
        <v>169972.61</v>
      </c>
      <c r="I111" s="89"/>
      <c r="J111" s="17">
        <f>SUM(J97:J110)</f>
        <v>67536056.270000011</v>
      </c>
      <c r="K111" s="89"/>
      <c r="L111" s="17">
        <f>SUM(L97:L110)</f>
        <v>874918081.81999993</v>
      </c>
      <c r="N111" s="17">
        <f>SUM(N97:N110)</f>
        <v>-342110340.48999995</v>
      </c>
      <c r="P111" s="17">
        <f>SUM(P97:P110)</f>
        <v>532807741.32999998</v>
      </c>
    </row>
    <row r="112" spans="1:16" x14ac:dyDescent="0.2">
      <c r="B112" s="17"/>
      <c r="C112" s="88"/>
      <c r="D112" s="17"/>
      <c r="E112" s="88"/>
      <c r="F112" s="17"/>
      <c r="G112" s="88"/>
      <c r="H112" s="17"/>
      <c r="I112" s="88"/>
      <c r="J112" s="17"/>
      <c r="K112" s="88"/>
      <c r="L112" s="17"/>
    </row>
    <row r="113" spans="1:16" x14ac:dyDescent="0.2">
      <c r="C113" s="88"/>
      <c r="E113" s="88"/>
      <c r="G113" s="88"/>
      <c r="I113" s="88"/>
      <c r="K113" s="88"/>
    </row>
    <row r="114" spans="1:16" ht="13.5" thickBot="1" x14ac:dyDescent="0.25">
      <c r="A114" s="12" t="s">
        <v>3232</v>
      </c>
      <c r="B114" s="78">
        <f>B111+B94+B79+B65+B58+B47+B27</f>
        <v>8814348304.9899979</v>
      </c>
      <c r="C114" s="89"/>
      <c r="D114" s="78">
        <f>D111+D94+D79+D65+D58+D47+D27</f>
        <v>410270093.53000009</v>
      </c>
      <c r="E114" s="89"/>
      <c r="F114" s="78">
        <f>F111+F94+F79+F65+F58+F47+F27</f>
        <v>-60891331.049999997</v>
      </c>
      <c r="G114" s="89"/>
      <c r="H114" s="78">
        <f>H111+H94+H79+H65+H58+H47+H27</f>
        <v>-78719772.749999985</v>
      </c>
      <c r="I114" s="89"/>
      <c r="J114" s="78">
        <f>J111+J94+J79+J65+J58+J47+J27</f>
        <v>270658989.73000002</v>
      </c>
      <c r="K114" s="89"/>
      <c r="L114" s="78">
        <f>L111+L94+L79+L65+L58+L47+L27</f>
        <v>9085007294.7199993</v>
      </c>
      <c r="N114" s="78">
        <f>N111+N94+N79+N65+N58+N47+N27</f>
        <v>-3077374056.9500008</v>
      </c>
      <c r="P114" s="78">
        <f>P111+P94+P79+P65+P58+P47+P27</f>
        <v>6007633237.7699995</v>
      </c>
    </row>
    <row r="115" spans="1:16" ht="13.5" thickTop="1" x14ac:dyDescent="0.2">
      <c r="A115" s="12"/>
      <c r="B115" s="17"/>
      <c r="C115" s="89"/>
      <c r="D115" s="17"/>
      <c r="E115" s="89"/>
      <c r="F115" s="17"/>
      <c r="G115" s="89"/>
      <c r="H115" s="17"/>
      <c r="I115" s="89"/>
      <c r="J115" s="17"/>
      <c r="K115" s="89"/>
      <c r="L115" s="17"/>
    </row>
    <row r="116" spans="1:16" x14ac:dyDescent="0.2">
      <c r="B116" s="14">
        <f>+B114-'TOTAL_PIS COST SPLITS-P6 (REG)'!B193</f>
        <v>0</v>
      </c>
      <c r="C116" s="88"/>
      <c r="E116" s="88"/>
      <c r="G116" s="88"/>
      <c r="I116" s="88"/>
      <c r="K116" s="88"/>
    </row>
    <row r="117" spans="1:16" x14ac:dyDescent="0.2">
      <c r="C117" s="88"/>
      <c r="E117" s="88"/>
      <c r="G117" s="88"/>
      <c r="I117" s="88"/>
      <c r="K117" s="88"/>
    </row>
    <row r="118" spans="1:16" x14ac:dyDescent="0.2">
      <c r="C118" s="88"/>
      <c r="E118" s="88"/>
      <c r="G118" s="88"/>
      <c r="I118" s="88"/>
      <c r="K118" s="88"/>
    </row>
    <row r="119" spans="1:16" x14ac:dyDescent="0.2">
      <c r="C119" s="88"/>
      <c r="E119" s="88"/>
      <c r="G119" s="88"/>
      <c r="I119" s="88"/>
      <c r="K119" s="88"/>
    </row>
    <row r="120" spans="1:16" x14ac:dyDescent="0.2">
      <c r="C120" s="88"/>
      <c r="E120" s="88"/>
      <c r="G120" s="88"/>
      <c r="I120" s="88"/>
      <c r="K120" s="88"/>
    </row>
    <row r="121" spans="1:16" x14ac:dyDescent="0.2">
      <c r="C121" s="88"/>
      <c r="E121" s="88"/>
      <c r="G121" s="88"/>
      <c r="I121" s="88"/>
      <c r="K121" s="88"/>
    </row>
    <row r="122" spans="1:16" x14ac:dyDescent="0.2">
      <c r="C122" s="88"/>
      <c r="E122" s="88"/>
      <c r="G122" s="88"/>
      <c r="I122" s="88"/>
      <c r="K122" s="88"/>
    </row>
    <row r="123" spans="1:16" x14ac:dyDescent="0.2">
      <c r="C123" s="88"/>
      <c r="E123" s="88"/>
      <c r="G123" s="88"/>
      <c r="I123" s="88"/>
      <c r="K123" s="88"/>
    </row>
    <row r="124" spans="1:16" x14ac:dyDescent="0.2">
      <c r="C124" s="88"/>
      <c r="E124" s="88"/>
      <c r="G124" s="88"/>
      <c r="I124" s="88"/>
      <c r="K124" s="88"/>
    </row>
    <row r="125" spans="1:16" x14ac:dyDescent="0.2">
      <c r="C125" s="88"/>
      <c r="E125" s="88"/>
      <c r="G125" s="88"/>
      <c r="I125" s="88"/>
      <c r="K125" s="88"/>
    </row>
    <row r="126" spans="1:16" x14ac:dyDescent="0.2">
      <c r="C126" s="13"/>
      <c r="E126" s="13"/>
      <c r="G126" s="13"/>
      <c r="I126" s="13"/>
      <c r="K126" s="13"/>
    </row>
    <row r="127" spans="1:16" x14ac:dyDescent="0.2">
      <c r="C127" s="13"/>
      <c r="E127" s="13"/>
      <c r="G127" s="13"/>
      <c r="I127" s="13"/>
      <c r="K127" s="13"/>
    </row>
    <row r="128" spans="1:16" x14ac:dyDescent="0.2">
      <c r="C128" s="13"/>
      <c r="E128" s="13"/>
      <c r="G128" s="13"/>
      <c r="I128" s="13"/>
      <c r="K128" s="13"/>
    </row>
    <row r="129" spans="3:11" x14ac:dyDescent="0.2">
      <c r="C129" s="13"/>
      <c r="E129" s="13"/>
      <c r="G129" s="13"/>
      <c r="I129" s="13"/>
      <c r="K129" s="13"/>
    </row>
    <row r="130" spans="3:11" x14ac:dyDescent="0.2">
      <c r="C130" s="13"/>
      <c r="E130" s="13"/>
      <c r="G130" s="13"/>
      <c r="I130" s="13"/>
      <c r="K130" s="13"/>
    </row>
    <row r="131" spans="3:11" x14ac:dyDescent="0.2">
      <c r="C131" s="13"/>
      <c r="E131" s="13"/>
      <c r="G131" s="13"/>
      <c r="I131" s="13"/>
      <c r="K131" s="13"/>
    </row>
    <row r="132" spans="3:11" x14ac:dyDescent="0.2">
      <c r="C132" s="13"/>
      <c r="E132" s="13"/>
      <c r="G132" s="13"/>
      <c r="I132" s="13"/>
      <c r="K132" s="13"/>
    </row>
    <row r="133" spans="3:11" x14ac:dyDescent="0.2">
      <c r="C133" s="13"/>
      <c r="E133" s="13"/>
      <c r="G133" s="13"/>
      <c r="I133" s="13"/>
      <c r="K133" s="13"/>
    </row>
    <row r="134" spans="3:11" x14ac:dyDescent="0.2">
      <c r="C134" s="13"/>
      <c r="E134" s="13"/>
      <c r="G134" s="13"/>
      <c r="I134" s="13"/>
      <c r="K134" s="13"/>
    </row>
    <row r="135" spans="3:11" x14ac:dyDescent="0.2">
      <c r="C135" s="13"/>
      <c r="E135" s="13"/>
      <c r="G135" s="13"/>
      <c r="I135" s="13"/>
      <c r="K135" s="13"/>
    </row>
    <row r="136" spans="3:11" x14ac:dyDescent="0.2">
      <c r="C136" s="13"/>
      <c r="E136" s="13"/>
      <c r="G136" s="13"/>
      <c r="I136" s="13"/>
      <c r="K136" s="13"/>
    </row>
    <row r="137" spans="3:11" x14ac:dyDescent="0.2">
      <c r="C137" s="13"/>
      <c r="E137" s="13"/>
      <c r="G137" s="13"/>
      <c r="I137" s="13"/>
      <c r="K137" s="13"/>
    </row>
    <row r="138" spans="3:11" x14ac:dyDescent="0.2">
      <c r="C138" s="13"/>
      <c r="E138" s="13"/>
      <c r="G138" s="13"/>
      <c r="I138" s="13"/>
      <c r="K138" s="13"/>
    </row>
    <row r="139" spans="3:11" x14ac:dyDescent="0.2">
      <c r="C139" s="13"/>
      <c r="E139" s="13"/>
      <c r="G139" s="13"/>
      <c r="I139" s="13"/>
      <c r="K139" s="13"/>
    </row>
    <row r="140" spans="3:11" x14ac:dyDescent="0.2">
      <c r="C140" s="13"/>
      <c r="E140" s="13"/>
      <c r="G140" s="13"/>
      <c r="I140" s="13"/>
      <c r="K140" s="13"/>
    </row>
    <row r="141" spans="3:11" x14ac:dyDescent="0.2">
      <c r="C141" s="13"/>
      <c r="E141" s="13"/>
      <c r="G141" s="13"/>
      <c r="I141" s="13"/>
      <c r="K141" s="13"/>
    </row>
    <row r="142" spans="3:11" x14ac:dyDescent="0.2">
      <c r="C142" s="13"/>
      <c r="E142" s="13"/>
      <c r="G142" s="13"/>
      <c r="I142" s="13"/>
      <c r="K142" s="13"/>
    </row>
    <row r="143" spans="3:11" x14ac:dyDescent="0.2">
      <c r="C143" s="13"/>
      <c r="E143" s="13"/>
      <c r="G143" s="13"/>
      <c r="I143" s="13"/>
      <c r="K143" s="13"/>
    </row>
    <row r="144" spans="3:11" x14ac:dyDescent="0.2">
      <c r="C144" s="13"/>
      <c r="E144" s="13"/>
      <c r="G144" s="13"/>
      <c r="I144" s="13"/>
      <c r="K144" s="13"/>
    </row>
    <row r="145" spans="3:11" x14ac:dyDescent="0.2">
      <c r="C145" s="13"/>
      <c r="E145" s="13"/>
      <c r="G145" s="13"/>
      <c r="I145" s="13"/>
      <c r="K145" s="13"/>
    </row>
    <row r="146" spans="3:11" x14ac:dyDescent="0.2">
      <c r="C146" s="13"/>
      <c r="E146" s="13"/>
      <c r="G146" s="13"/>
      <c r="I146" s="13"/>
      <c r="K146" s="13"/>
    </row>
    <row r="147" spans="3:11" x14ac:dyDescent="0.2">
      <c r="C147" s="13"/>
      <c r="E147" s="13"/>
      <c r="G147" s="13"/>
      <c r="I147" s="13"/>
      <c r="K147" s="13"/>
    </row>
    <row r="148" spans="3:11" x14ac:dyDescent="0.2">
      <c r="C148" s="13"/>
      <c r="E148" s="13"/>
      <c r="G148" s="13"/>
      <c r="I148" s="13"/>
      <c r="K148" s="13"/>
    </row>
    <row r="149" spans="3:11" x14ac:dyDescent="0.2">
      <c r="C149" s="13"/>
      <c r="E149" s="13"/>
      <c r="G149" s="13"/>
      <c r="I149" s="13"/>
      <c r="K149" s="13"/>
    </row>
    <row r="150" spans="3:11" x14ac:dyDescent="0.2">
      <c r="C150" s="13"/>
      <c r="E150" s="13"/>
      <c r="G150" s="13"/>
      <c r="I150" s="13"/>
      <c r="K150" s="13"/>
    </row>
    <row r="151" spans="3:11" x14ac:dyDescent="0.2">
      <c r="C151" s="13"/>
      <c r="E151" s="13"/>
      <c r="G151" s="13"/>
      <c r="I151" s="13"/>
      <c r="K151" s="13"/>
    </row>
    <row r="152" spans="3:11" x14ac:dyDescent="0.2">
      <c r="C152" s="13"/>
      <c r="E152" s="13"/>
      <c r="G152" s="13"/>
      <c r="I152" s="13"/>
      <c r="K152" s="13"/>
    </row>
    <row r="153" spans="3:11" x14ac:dyDescent="0.2">
      <c r="C153" s="13"/>
      <c r="E153" s="13"/>
      <c r="G153" s="13"/>
      <c r="I153" s="13"/>
      <c r="K153" s="13"/>
    </row>
    <row r="154" spans="3:11" x14ac:dyDescent="0.2">
      <c r="C154" s="13"/>
      <c r="E154" s="13"/>
      <c r="G154" s="13"/>
      <c r="I154" s="13"/>
      <c r="K154" s="13"/>
    </row>
    <row r="155" spans="3:11" x14ac:dyDescent="0.2">
      <c r="C155" s="13"/>
      <c r="E155" s="13"/>
      <c r="G155" s="13"/>
      <c r="I155" s="13"/>
      <c r="K155" s="13"/>
    </row>
    <row r="156" spans="3:11" x14ac:dyDescent="0.2">
      <c r="C156" s="13"/>
      <c r="E156" s="13"/>
      <c r="G156" s="13"/>
      <c r="I156" s="13"/>
      <c r="K156" s="13"/>
    </row>
    <row r="157" spans="3:11" x14ac:dyDescent="0.2">
      <c r="C157" s="13"/>
      <c r="E157" s="13"/>
      <c r="G157" s="13"/>
      <c r="I157" s="13"/>
      <c r="K157" s="13"/>
    </row>
    <row r="158" spans="3:11" x14ac:dyDescent="0.2">
      <c r="C158" s="13"/>
      <c r="E158" s="13"/>
      <c r="G158" s="13"/>
      <c r="I158" s="13"/>
      <c r="K158" s="13"/>
    </row>
    <row r="159" spans="3:11" x14ac:dyDescent="0.2">
      <c r="C159" s="13"/>
      <c r="E159" s="13"/>
      <c r="G159" s="13"/>
      <c r="I159" s="13"/>
      <c r="K159" s="13"/>
    </row>
    <row r="160" spans="3:11" x14ac:dyDescent="0.2">
      <c r="C160" s="13"/>
      <c r="E160" s="13"/>
      <c r="G160" s="13"/>
      <c r="I160" s="13"/>
      <c r="K160" s="13"/>
    </row>
    <row r="161" spans="3:11" x14ac:dyDescent="0.2">
      <c r="C161" s="13"/>
      <c r="E161" s="13"/>
      <c r="G161" s="13"/>
      <c r="I161" s="13"/>
      <c r="K161" s="13"/>
    </row>
    <row r="162" spans="3:11" x14ac:dyDescent="0.2">
      <c r="C162" s="13"/>
      <c r="E162" s="13"/>
      <c r="G162" s="13"/>
      <c r="I162" s="13"/>
      <c r="K162" s="13"/>
    </row>
    <row r="163" spans="3:11" x14ac:dyDescent="0.2">
      <c r="C163" s="13"/>
      <c r="E163" s="13"/>
      <c r="G163" s="13"/>
      <c r="I163" s="13"/>
      <c r="K163" s="13"/>
    </row>
    <row r="164" spans="3:11" x14ac:dyDescent="0.2">
      <c r="C164" s="13"/>
      <c r="E164" s="13"/>
      <c r="G164" s="13"/>
      <c r="I164" s="13"/>
      <c r="K164" s="13"/>
    </row>
    <row r="165" spans="3:11" x14ac:dyDescent="0.2">
      <c r="C165" s="13"/>
      <c r="E165" s="13"/>
      <c r="G165" s="13"/>
      <c r="I165" s="13"/>
      <c r="K165" s="13"/>
    </row>
    <row r="166" spans="3:11" x14ac:dyDescent="0.2">
      <c r="C166" s="13"/>
      <c r="E166" s="13"/>
      <c r="G166" s="13"/>
      <c r="I166" s="13"/>
      <c r="K166" s="13"/>
    </row>
    <row r="167" spans="3:11" x14ac:dyDescent="0.2">
      <c r="C167" s="13"/>
      <c r="E167" s="13"/>
      <c r="G167" s="13"/>
      <c r="I167" s="13"/>
      <c r="K167" s="13"/>
    </row>
    <row r="168" spans="3:11" x14ac:dyDescent="0.2">
      <c r="C168" s="13"/>
      <c r="E168" s="13"/>
      <c r="G168" s="13"/>
      <c r="I168" s="13"/>
      <c r="K168" s="13"/>
    </row>
    <row r="169" spans="3:11" x14ac:dyDescent="0.2">
      <c r="C169" s="13"/>
      <c r="E169" s="13"/>
      <c r="G169" s="13"/>
      <c r="I169" s="13"/>
      <c r="K169" s="13"/>
    </row>
    <row r="170" spans="3:11" x14ac:dyDescent="0.2">
      <c r="C170" s="13"/>
      <c r="E170" s="13"/>
      <c r="G170" s="13"/>
      <c r="I170" s="13"/>
      <c r="K170" s="13"/>
    </row>
    <row r="171" spans="3:11" x14ac:dyDescent="0.2">
      <c r="C171" s="13"/>
      <c r="E171" s="13"/>
      <c r="G171" s="13"/>
      <c r="I171" s="13"/>
      <c r="K171" s="13"/>
    </row>
    <row r="172" spans="3:11" x14ac:dyDescent="0.2">
      <c r="C172" s="13"/>
      <c r="E172" s="13"/>
      <c r="G172" s="13"/>
      <c r="I172" s="13"/>
      <c r="K172" s="13"/>
    </row>
    <row r="173" spans="3:11" x14ac:dyDescent="0.2">
      <c r="C173" s="13"/>
      <c r="E173" s="13"/>
      <c r="G173" s="13"/>
      <c r="I173" s="13"/>
      <c r="K173" s="13"/>
    </row>
    <row r="174" spans="3:11" x14ac:dyDescent="0.2">
      <c r="C174" s="13"/>
      <c r="E174" s="13"/>
      <c r="G174" s="13"/>
      <c r="I174" s="13"/>
      <c r="K174" s="13"/>
    </row>
    <row r="175" spans="3:11" x14ac:dyDescent="0.2">
      <c r="C175" s="13"/>
      <c r="E175" s="13"/>
      <c r="G175" s="13"/>
      <c r="I175" s="13"/>
      <c r="K175" s="13"/>
    </row>
    <row r="176" spans="3:11" x14ac:dyDescent="0.2">
      <c r="C176" s="13"/>
      <c r="E176" s="13"/>
      <c r="G176" s="13"/>
      <c r="I176" s="13"/>
      <c r="K176" s="13"/>
    </row>
    <row r="177" spans="3:11" x14ac:dyDescent="0.2">
      <c r="C177" s="13"/>
      <c r="E177" s="13"/>
      <c r="G177" s="13"/>
      <c r="I177" s="13"/>
      <c r="K177" s="13"/>
    </row>
    <row r="178" spans="3:11" x14ac:dyDescent="0.2">
      <c r="C178" s="13"/>
      <c r="E178" s="13"/>
      <c r="G178" s="13"/>
      <c r="I178" s="13"/>
      <c r="K178" s="13"/>
    </row>
    <row r="179" spans="3:11" x14ac:dyDescent="0.2">
      <c r="C179" s="13"/>
      <c r="E179" s="13"/>
      <c r="G179" s="13"/>
      <c r="I179" s="13"/>
      <c r="K179" s="13"/>
    </row>
    <row r="180" spans="3:11" x14ac:dyDescent="0.2">
      <c r="C180" s="13"/>
      <c r="E180" s="13"/>
      <c r="G180" s="13"/>
      <c r="I180" s="13"/>
      <c r="K180" s="13"/>
    </row>
    <row r="181" spans="3:11" x14ac:dyDescent="0.2">
      <c r="C181" s="13"/>
      <c r="E181" s="13"/>
      <c r="G181" s="13"/>
      <c r="I181" s="13"/>
      <c r="K181" s="13"/>
    </row>
    <row r="182" spans="3:11" x14ac:dyDescent="0.2">
      <c r="C182" s="13"/>
      <c r="E182" s="13"/>
      <c r="G182" s="13"/>
      <c r="I182" s="13"/>
      <c r="K182" s="13"/>
    </row>
    <row r="183" spans="3:11" x14ac:dyDescent="0.2">
      <c r="C183" s="13"/>
      <c r="E183" s="13"/>
      <c r="G183" s="13"/>
      <c r="I183" s="13"/>
      <c r="K183" s="13"/>
    </row>
    <row r="184" spans="3:11" x14ac:dyDescent="0.2">
      <c r="C184" s="13"/>
      <c r="E184" s="13"/>
      <c r="G184" s="13"/>
      <c r="I184" s="13"/>
      <c r="K184" s="13"/>
    </row>
    <row r="185" spans="3:11" x14ac:dyDescent="0.2">
      <c r="C185" s="13"/>
      <c r="E185" s="13"/>
      <c r="G185" s="13"/>
      <c r="I185" s="13"/>
      <c r="K185" s="13"/>
    </row>
    <row r="186" spans="3:11" x14ac:dyDescent="0.2">
      <c r="C186" s="13"/>
      <c r="E186" s="13"/>
      <c r="G186" s="13"/>
      <c r="I186" s="13"/>
      <c r="K186" s="13"/>
    </row>
    <row r="187" spans="3:11" x14ac:dyDescent="0.2">
      <c r="C187" s="13"/>
      <c r="E187" s="13"/>
      <c r="G187" s="13"/>
      <c r="I187" s="13"/>
      <c r="K187" s="13"/>
    </row>
    <row r="188" spans="3:11" x14ac:dyDescent="0.2">
      <c r="C188" s="13"/>
      <c r="E188" s="13"/>
      <c r="G188" s="13"/>
      <c r="I188" s="13"/>
      <c r="K188" s="13"/>
    </row>
    <row r="189" spans="3:11" x14ac:dyDescent="0.2">
      <c r="C189" s="13"/>
      <c r="E189" s="13"/>
      <c r="G189" s="13"/>
      <c r="I189" s="13"/>
      <c r="K189" s="13"/>
    </row>
    <row r="190" spans="3:11" x14ac:dyDescent="0.2">
      <c r="C190" s="13"/>
      <c r="E190" s="13"/>
      <c r="G190" s="13"/>
      <c r="I190" s="13"/>
      <c r="K190" s="13"/>
    </row>
    <row r="191" spans="3:11" x14ac:dyDescent="0.2">
      <c r="C191" s="13"/>
      <c r="E191" s="13"/>
      <c r="G191" s="13"/>
      <c r="I191" s="13"/>
      <c r="K191" s="13"/>
    </row>
  </sheetData>
  <mergeCells count="3">
    <mergeCell ref="A1:P1"/>
    <mergeCell ref="A2:P2"/>
    <mergeCell ref="A3:P3"/>
  </mergeCells>
  <printOptions horizontalCentered="1"/>
  <pageMargins left="0.75" right="0.75" top="1" bottom="1" header="0.5" footer="0.5"/>
  <pageSetup scale="67" fitToHeight="0" orientation="landscape" r:id="rId1"/>
  <headerFooter alignWithMargins="0">
    <oddFooter>&amp;R&amp;"Times New Roman,Bold"&amp;12Case No. 2018-00295
Attachment 6 to Response to US DOD-2 Question No. 7   
Page &amp;P of &amp;N
Garrett</oddFooter>
  </headerFooter>
  <rowBreaks count="2" manualBreakCount="2">
    <brk id="48" max="16383" man="1"/>
    <brk id="80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0"/>
  <sheetViews>
    <sheetView workbookViewId="0">
      <selection sqref="A1:R1"/>
    </sheetView>
  </sheetViews>
  <sheetFormatPr defaultRowHeight="12.75" x14ac:dyDescent="0.2"/>
  <cols>
    <col min="1" max="1" width="51.42578125" style="3" bestFit="1" customWidth="1"/>
    <col min="2" max="2" width="17.7109375" style="14" customWidth="1"/>
    <col min="3" max="3" width="1.7109375" style="3" customWidth="1"/>
    <col min="4" max="4" width="17.7109375" style="14" customWidth="1"/>
    <col min="5" max="5" width="1.7109375" style="3" customWidth="1"/>
    <col min="6" max="6" width="17.7109375" style="14" customWidth="1"/>
    <col min="7" max="7" width="1.7109375" style="3" customWidth="1"/>
    <col min="8" max="8" width="17.7109375" style="14" customWidth="1"/>
    <col min="9" max="9" width="1.7109375" style="3" customWidth="1"/>
    <col min="10" max="10" width="17.7109375" style="14" customWidth="1"/>
    <col min="11" max="11" width="1.7109375" style="3" customWidth="1"/>
    <col min="12" max="12" width="17.7109375" style="14" customWidth="1"/>
    <col min="13" max="13" width="1.85546875" style="3" customWidth="1"/>
    <col min="14" max="16384" width="9.140625" style="3"/>
  </cols>
  <sheetData>
    <row r="1" spans="1:13" s="86" customFormat="1" ht="15.75" x14ac:dyDescent="0.25">
      <c r="A1" s="154" t="s">
        <v>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</row>
    <row r="2" spans="1:13" s="86" customFormat="1" ht="15.75" x14ac:dyDescent="0.25">
      <c r="A2" s="154" t="s">
        <v>3241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</row>
    <row r="3" spans="1:13" x14ac:dyDescent="0.2">
      <c r="A3" s="144" t="str">
        <f>'KU_Summary - Cost - P1 (REG)'!A3:N3</f>
        <v>DECEMBER 2016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</row>
    <row r="4" spans="1:13" x14ac:dyDescent="0.2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</row>
    <row r="5" spans="1:13" x14ac:dyDescent="0.2">
      <c r="A5" s="87"/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</row>
    <row r="6" spans="1:13" x14ac:dyDescent="0.2">
      <c r="B6" s="25" t="s">
        <v>2</v>
      </c>
      <c r="H6" s="25" t="s">
        <v>3</v>
      </c>
      <c r="L6" s="25" t="s">
        <v>4</v>
      </c>
    </row>
    <row r="7" spans="1:13" x14ac:dyDescent="0.2">
      <c r="A7" s="12" t="s">
        <v>3242</v>
      </c>
      <c r="B7" s="10" t="s">
        <v>5</v>
      </c>
      <c r="D7" s="10" t="s">
        <v>6</v>
      </c>
      <c r="F7" s="10" t="s">
        <v>7</v>
      </c>
      <c r="H7" s="10" t="s">
        <v>8</v>
      </c>
      <c r="J7" s="10" t="s">
        <v>9</v>
      </c>
      <c r="L7" s="10" t="s">
        <v>5</v>
      </c>
    </row>
    <row r="8" spans="1:13" x14ac:dyDescent="0.2">
      <c r="A8" s="12" t="s">
        <v>3243</v>
      </c>
      <c r="B8" s="11"/>
      <c r="D8" s="11"/>
      <c r="F8" s="11"/>
      <c r="H8" s="11"/>
      <c r="J8" s="11"/>
      <c r="L8" s="11"/>
    </row>
    <row r="9" spans="1:13" x14ac:dyDescent="0.2">
      <c r="A9" s="12" t="s">
        <v>12</v>
      </c>
    </row>
    <row r="10" spans="1:13" x14ac:dyDescent="0.2">
      <c r="A10" s="3" t="s">
        <v>153</v>
      </c>
      <c r="B10" s="14">
        <f>'KY_Cost by Plant Acct P8 (REG)'!B11+'VA_Cost by Plant Acct P10 (REG)'!B11+'TN_Cost by Plant Acct P12 (REG)'!B11</f>
        <v>2168929.31</v>
      </c>
      <c r="C10" s="88"/>
      <c r="D10" s="14">
        <f>'KY_Cost by Plant Acct P8 (REG)'!D11+'VA_Cost by Plant Acct P10 (REG)'!D11+'TN_Cost by Plant Acct P12 (REG)'!D11</f>
        <v>0</v>
      </c>
      <c r="E10" s="88"/>
      <c r="F10" s="14">
        <f>'KY_Cost by Plant Acct P8 (REG)'!F11+'VA_Cost by Plant Acct P10 (REG)'!F11+'TN_Cost by Plant Acct P12 (REG)'!F11</f>
        <v>0</v>
      </c>
      <c r="G10" s="88"/>
      <c r="H10" s="14">
        <f>'KY_Cost by Plant Acct P8 (REG)'!H11+'VA_Cost by Plant Acct P10 (REG)'!H11+'TN_Cost by Plant Acct P12 (REG)'!H11</f>
        <v>0</v>
      </c>
      <c r="I10" s="88"/>
      <c r="J10" s="14">
        <f t="shared" ref="J10:J25" si="0">H10+F10+D10</f>
        <v>0</v>
      </c>
      <c r="K10" s="88"/>
      <c r="L10" s="14">
        <f t="shared" ref="L10:L25" si="1">J10+B10</f>
        <v>2168929.31</v>
      </c>
    </row>
    <row r="11" spans="1:13" x14ac:dyDescent="0.2">
      <c r="A11" s="3" t="s">
        <v>154</v>
      </c>
      <c r="B11" s="14">
        <f>'KY_Cost by Plant Acct P8 (REG)'!B12+'VA_Cost by Plant Acct P10 (REG)'!B12+'TN_Cost by Plant Acct P12 (REG)'!B12</f>
        <v>5673927.9500000011</v>
      </c>
      <c r="C11" s="88"/>
      <c r="D11" s="14">
        <f>'KY_Cost by Plant Acct P8 (REG)'!D12+'VA_Cost by Plant Acct P10 (REG)'!D12+'TN_Cost by Plant Acct P12 (REG)'!D12</f>
        <v>0</v>
      </c>
      <c r="E11" s="88"/>
      <c r="F11" s="14">
        <f>'KY_Cost by Plant Acct P8 (REG)'!F12+'VA_Cost by Plant Acct P10 (REG)'!F12+'TN_Cost by Plant Acct P12 (REG)'!F12</f>
        <v>0</v>
      </c>
      <c r="G11" s="88"/>
      <c r="H11" s="14">
        <f>'KY_Cost by Plant Acct P8 (REG)'!H12+'VA_Cost by Plant Acct P10 (REG)'!H12+'TN_Cost by Plant Acct P12 (REG)'!H12</f>
        <v>-113882.25</v>
      </c>
      <c r="I11" s="88"/>
      <c r="J11" s="14">
        <f t="shared" si="0"/>
        <v>-113882.25</v>
      </c>
      <c r="K11" s="88"/>
      <c r="L11" s="14">
        <f t="shared" si="1"/>
        <v>5560045.7000000011</v>
      </c>
    </row>
    <row r="12" spans="1:13" x14ac:dyDescent="0.2">
      <c r="A12" s="3" t="s">
        <v>155</v>
      </c>
      <c r="B12" s="14">
        <f>'KY_Cost by Plant Acct P8 (REG)'!B13+'VA_Cost by Plant Acct P10 (REG)'!B13+'TN_Cost by Plant Acct P12 (REG)'!B13</f>
        <v>10549673.100000001</v>
      </c>
      <c r="C12" s="88"/>
      <c r="D12" s="14">
        <f>'KY_Cost by Plant Acct P8 (REG)'!D13+'VA_Cost by Plant Acct P10 (REG)'!D13+'TN_Cost by Plant Acct P12 (REG)'!D13</f>
        <v>361513.55</v>
      </c>
      <c r="E12" s="88"/>
      <c r="F12" s="14">
        <f>'KY_Cost by Plant Acct P8 (REG)'!F13+'VA_Cost by Plant Acct P10 (REG)'!F13+'TN_Cost by Plant Acct P12 (REG)'!F13</f>
        <v>-15317.6</v>
      </c>
      <c r="G12" s="88"/>
      <c r="H12" s="14">
        <f>'KY_Cost by Plant Acct P8 (REG)'!H13+'VA_Cost by Plant Acct P10 (REG)'!H13+'TN_Cost by Plant Acct P12 (REG)'!H13</f>
        <v>4946.97</v>
      </c>
      <c r="I12" s="88"/>
      <c r="J12" s="14">
        <f t="shared" si="0"/>
        <v>351142.92</v>
      </c>
      <c r="K12" s="88"/>
      <c r="L12" s="14">
        <f t="shared" si="1"/>
        <v>10900816.020000001</v>
      </c>
    </row>
    <row r="13" spans="1:13" x14ac:dyDescent="0.2">
      <c r="A13" s="3" t="s">
        <v>156</v>
      </c>
      <c r="B13" s="14">
        <f>'KY_Cost by Plant Acct P8 (REG)'!B14+'VA_Cost by Plant Acct P10 (REG)'!B14+'TN_Cost by Plant Acct P12 (REG)'!B14</f>
        <v>170726930.67000002</v>
      </c>
      <c r="C13" s="88"/>
      <c r="D13" s="14">
        <f>'KY_Cost by Plant Acct P8 (REG)'!D14+'VA_Cost by Plant Acct P10 (REG)'!D14+'TN_Cost by Plant Acct P12 (REG)'!D14</f>
        <v>6003512.21</v>
      </c>
      <c r="E13" s="88"/>
      <c r="F13" s="14">
        <f>'KY_Cost by Plant Acct P8 (REG)'!F14+'VA_Cost by Plant Acct P10 (REG)'!F14+'TN_Cost by Plant Acct P12 (REG)'!F14</f>
        <v>-899151.6</v>
      </c>
      <c r="G13" s="88"/>
      <c r="H13" s="14">
        <f>'KY_Cost by Plant Acct P8 (REG)'!H14+'VA_Cost by Plant Acct P10 (REG)'!H14+'TN_Cost by Plant Acct P12 (REG)'!H14</f>
        <v>-41616.53</v>
      </c>
      <c r="I13" s="88"/>
      <c r="J13" s="14">
        <f t="shared" si="0"/>
        <v>5062744.08</v>
      </c>
      <c r="K13" s="88"/>
      <c r="L13" s="14">
        <f t="shared" si="1"/>
        <v>175789674.75000003</v>
      </c>
    </row>
    <row r="14" spans="1:13" x14ac:dyDescent="0.2">
      <c r="A14" s="3" t="s">
        <v>157</v>
      </c>
      <c r="B14" s="14">
        <f>'KY_Cost by Plant Acct P8 (REG)'!B15+'VA_Cost by Plant Acct P10 (REG)'!B15+'TN_Cost by Plant Acct P12 (REG)'!B15</f>
        <v>347272288.67000002</v>
      </c>
      <c r="C14" s="88"/>
      <c r="D14" s="14">
        <f>'KY_Cost by Plant Acct P8 (REG)'!D15+'VA_Cost by Plant Acct P10 (REG)'!D15+'TN_Cost by Plant Acct P12 (REG)'!D15</f>
        <v>17546048.73</v>
      </c>
      <c r="E14" s="88"/>
      <c r="F14" s="14">
        <f>'KY_Cost by Plant Acct P8 (REG)'!F15+'VA_Cost by Plant Acct P10 (REG)'!F15+'TN_Cost by Plant Acct P12 (REG)'!F15</f>
        <v>-1629782.06</v>
      </c>
      <c r="G14" s="88"/>
      <c r="H14" s="14">
        <f>'KY_Cost by Plant Acct P8 (REG)'!H15+'VA_Cost by Plant Acct P10 (REG)'!H15+'TN_Cost by Plant Acct P12 (REG)'!H15</f>
        <v>0</v>
      </c>
      <c r="I14" s="88"/>
      <c r="J14" s="14">
        <f t="shared" si="0"/>
        <v>15916266.67</v>
      </c>
      <c r="K14" s="88"/>
      <c r="L14" s="14">
        <f t="shared" si="1"/>
        <v>363188555.34000003</v>
      </c>
    </row>
    <row r="15" spans="1:13" x14ac:dyDescent="0.2">
      <c r="A15" s="3" t="s">
        <v>158</v>
      </c>
      <c r="B15" s="14">
        <f>'KY_Cost by Plant Acct P8 (REG)'!B16+'VA_Cost by Plant Acct P10 (REG)'!B16+'TN_Cost by Plant Acct P12 (REG)'!B16</f>
        <v>329003165.38000005</v>
      </c>
      <c r="C15" s="88"/>
      <c r="D15" s="14">
        <f>'KY_Cost by Plant Acct P8 (REG)'!D16+'VA_Cost by Plant Acct P10 (REG)'!D16+'TN_Cost by Plant Acct P12 (REG)'!D16</f>
        <v>20679706.309999999</v>
      </c>
      <c r="E15" s="88"/>
      <c r="F15" s="14">
        <f>'KY_Cost by Plant Acct P8 (REG)'!F16+'VA_Cost by Plant Acct P10 (REG)'!F16+'TN_Cost by Plant Acct P12 (REG)'!F16</f>
        <v>-9797419.1699999999</v>
      </c>
      <c r="G15" s="88"/>
      <c r="H15" s="14">
        <f>'KY_Cost by Plant Acct P8 (REG)'!H16+'VA_Cost by Plant Acct P10 (REG)'!H16+'TN_Cost by Plant Acct P12 (REG)'!H16</f>
        <v>21928.15</v>
      </c>
      <c r="I15" s="88"/>
      <c r="J15" s="14">
        <f t="shared" si="0"/>
        <v>10904215.289999999</v>
      </c>
      <c r="K15" s="88"/>
      <c r="L15" s="14">
        <f t="shared" si="1"/>
        <v>339907380.67000008</v>
      </c>
    </row>
    <row r="16" spans="1:13" x14ac:dyDescent="0.2">
      <c r="A16" s="3" t="s">
        <v>159</v>
      </c>
      <c r="B16" s="14">
        <f>'KY_Cost by Plant Acct P8 (REG)'!B17+'TN_Cost by Plant Acct P12 (REG)'!B17</f>
        <v>1879519.1699999997</v>
      </c>
      <c r="C16" s="88"/>
      <c r="D16" s="14">
        <f>'KY_Cost by Plant Acct P8 (REG)'!D17+'TN_Cost by Plant Acct P12 (REG)'!D17</f>
        <v>312042.18</v>
      </c>
      <c r="E16" s="88"/>
      <c r="F16" s="14">
        <f>'KY_Cost by Plant Acct P8 (REG)'!F17+'TN_Cost by Plant Acct P12 (REG)'!F17</f>
        <v>-2186.06</v>
      </c>
      <c r="G16" s="88"/>
      <c r="H16" s="14">
        <f>'KY_Cost by Plant Acct P8 (REG)'!H17+'TN_Cost by Plant Acct P12 (REG)'!H17</f>
        <v>0</v>
      </c>
      <c r="I16" s="88"/>
      <c r="J16" s="14">
        <f t="shared" si="0"/>
        <v>309856.12</v>
      </c>
      <c r="K16" s="88"/>
      <c r="L16" s="14">
        <f t="shared" si="1"/>
        <v>2189375.2899999996</v>
      </c>
    </row>
    <row r="17" spans="1:12" x14ac:dyDescent="0.2">
      <c r="A17" s="3" t="s">
        <v>160</v>
      </c>
      <c r="B17" s="14">
        <f>'KY_Cost by Plant Acct P8 (REG)'!B18+'VA_Cost by Plant Acct P10 (REG)'!B17+'TN_Cost by Plant Acct P12 (REG)'!B18</f>
        <v>175133086.37</v>
      </c>
      <c r="C17" s="88"/>
      <c r="D17" s="14">
        <f>'KY_Cost by Plant Acct P8 (REG)'!D18+'VA_Cost by Plant Acct P10 (REG)'!D17+'TN_Cost by Plant Acct P12 (REG)'!D18</f>
        <v>5977234.1000000006</v>
      </c>
      <c r="E17" s="88"/>
      <c r="F17" s="14">
        <f>'KY_Cost by Plant Acct P8 (REG)'!F18+'VA_Cost by Plant Acct P10 (REG)'!F17+'TN_Cost by Plant Acct P12 (REG)'!F18</f>
        <v>-923111.28</v>
      </c>
      <c r="G17" s="88"/>
      <c r="H17" s="14">
        <f>'KY_Cost by Plant Acct P8 (REG)'!H18+'VA_Cost by Plant Acct P10 (REG)'!H17+'TN_Cost by Plant Acct P12 (REG)'!H18</f>
        <v>0</v>
      </c>
      <c r="I17" s="88"/>
      <c r="J17" s="14">
        <f t="shared" si="0"/>
        <v>5054122.82</v>
      </c>
      <c r="K17" s="88"/>
      <c r="L17" s="14">
        <f t="shared" si="1"/>
        <v>180187209.19</v>
      </c>
    </row>
    <row r="18" spans="1:12" x14ac:dyDescent="0.2">
      <c r="A18" s="3" t="s">
        <v>161</v>
      </c>
      <c r="B18" s="14">
        <f>'KY_Cost by Plant Acct P8 (REG)'!B19+'VA_Cost by Plant Acct P10 (REG)'!B18+'TN_Cost by Plant Acct P12 (REG)'!B19</f>
        <v>306894183.30000001</v>
      </c>
      <c r="C18" s="88"/>
      <c r="D18" s="14">
        <f>'KY_Cost by Plant Acct P8 (REG)'!D19+'VA_Cost by Plant Acct P10 (REG)'!D18+'TN_Cost by Plant Acct P12 (REG)'!D19</f>
        <v>5818186.9000000004</v>
      </c>
      <c r="E18" s="88"/>
      <c r="F18" s="14">
        <f>'KY_Cost by Plant Acct P8 (REG)'!F19+'VA_Cost by Plant Acct P10 (REG)'!F18+'TN_Cost by Plant Acct P12 (REG)'!F19</f>
        <v>-1463668.85</v>
      </c>
      <c r="G18" s="88"/>
      <c r="H18" s="14">
        <f>'KY_Cost by Plant Acct P8 (REG)'!H19+'VA_Cost by Plant Acct P10 (REG)'!H18+'TN_Cost by Plant Acct P12 (REG)'!H19</f>
        <v>0</v>
      </c>
      <c r="I18" s="88"/>
      <c r="J18" s="14">
        <f t="shared" si="0"/>
        <v>4354518.0500000007</v>
      </c>
      <c r="K18" s="88"/>
      <c r="L18" s="14">
        <f t="shared" si="1"/>
        <v>311248701.35000002</v>
      </c>
    </row>
    <row r="19" spans="1:12" x14ac:dyDescent="0.2">
      <c r="A19" s="3" t="s">
        <v>162</v>
      </c>
      <c r="B19" s="14">
        <f>'KY_Cost by Plant Acct P8 (REG)'!B20+'VA_Cost by Plant Acct P10 (REG)'!B19+'TN_Cost by Plant Acct P12 (REG)'!B20</f>
        <v>94678627.709999993</v>
      </c>
      <c r="C19" s="88"/>
      <c r="D19" s="14">
        <f>'KY_Cost by Plant Acct P8 (REG)'!D20+'VA_Cost by Plant Acct P10 (REG)'!D19+'TN_Cost by Plant Acct P12 (REG)'!D20</f>
        <v>8854633.790000001</v>
      </c>
      <c r="E19" s="88"/>
      <c r="F19" s="14">
        <f>'KY_Cost by Plant Acct P8 (REG)'!F20+'VA_Cost by Plant Acct P10 (REG)'!F19+'TN_Cost by Plant Acct P12 (REG)'!F20</f>
        <v>-253089.96000000002</v>
      </c>
      <c r="G19" s="88"/>
      <c r="H19" s="14">
        <f>'KY_Cost by Plant Acct P8 (REG)'!H20+'VA_Cost by Plant Acct P10 (REG)'!H19+'TN_Cost by Plant Acct P12 (REG)'!H20</f>
        <v>0</v>
      </c>
      <c r="I19" s="88"/>
      <c r="J19" s="14">
        <f t="shared" si="0"/>
        <v>8601543.8300000001</v>
      </c>
      <c r="K19" s="88"/>
      <c r="L19" s="14">
        <f t="shared" si="1"/>
        <v>103280171.53999999</v>
      </c>
    </row>
    <row r="20" spans="1:12" x14ac:dyDescent="0.2">
      <c r="A20" s="3" t="s">
        <v>163</v>
      </c>
      <c r="B20" s="14">
        <f>'KY_Cost by Plant Acct P8 (REG)'!B21+'VA_Cost by Plant Acct P10 (REG)'!B20+'TN_Cost by Plant Acct P12 (REG)'!B21</f>
        <v>76073097.939999998</v>
      </c>
      <c r="C20" s="88"/>
      <c r="D20" s="14">
        <f>'KY_Cost by Plant Acct P8 (REG)'!D21+'VA_Cost by Plant Acct P10 (REG)'!D20+'TN_Cost by Plant Acct P12 (REG)'!D21</f>
        <v>2371542.83</v>
      </c>
      <c r="E20" s="88"/>
      <c r="F20" s="14">
        <f>'KY_Cost by Plant Acct P8 (REG)'!F21+'VA_Cost by Plant Acct P10 (REG)'!F20+'TN_Cost by Plant Acct P12 (REG)'!F21</f>
        <v>-827990.75</v>
      </c>
      <c r="G20" s="88"/>
      <c r="H20" s="14">
        <f>'KY_Cost by Plant Acct P8 (REG)'!H21+'VA_Cost by Plant Acct P10 (REG)'!H20+'TN_Cost by Plant Acct P12 (REG)'!H21</f>
        <v>0</v>
      </c>
      <c r="I20" s="88"/>
      <c r="J20" s="14">
        <f t="shared" si="0"/>
        <v>1543552.08</v>
      </c>
      <c r="K20" s="88"/>
      <c r="L20" s="14">
        <f t="shared" si="1"/>
        <v>77616650.019999996</v>
      </c>
    </row>
    <row r="21" spans="1:12" x14ac:dyDescent="0.2">
      <c r="A21" s="43" t="s">
        <v>164</v>
      </c>
      <c r="B21" s="14">
        <f>'KY_Cost by Plant Acct P8 (REG)'!B22</f>
        <v>0</v>
      </c>
      <c r="C21" s="88"/>
      <c r="D21" s="14">
        <f>'KY_Cost by Plant Acct P8 (REG)'!D22</f>
        <v>952365.7</v>
      </c>
      <c r="E21" s="88"/>
      <c r="F21" s="14">
        <f>'KY_Cost by Plant Acct P8 (REG)'!F22</f>
        <v>0</v>
      </c>
      <c r="G21" s="88"/>
      <c r="H21" s="14">
        <f>'KY_Cost by Plant Acct P8 (REG)'!H22</f>
        <v>0</v>
      </c>
      <c r="I21" s="88"/>
      <c r="J21" s="14">
        <f t="shared" si="0"/>
        <v>952365.7</v>
      </c>
      <c r="K21" s="88"/>
      <c r="L21" s="14">
        <f t="shared" si="1"/>
        <v>952365.7</v>
      </c>
    </row>
    <row r="22" spans="1:12" x14ac:dyDescent="0.2">
      <c r="A22" s="3" t="s">
        <v>165</v>
      </c>
      <c r="B22" s="14">
        <f>'KY_Cost by Plant Acct P8 (REG)'!B23+'VA_Cost by Plant Acct P10 (REG)'!B21+'TN_Cost by Plant Acct P12 (REG)'!B22</f>
        <v>17054091.739999998</v>
      </c>
      <c r="C22" s="88"/>
      <c r="D22" s="14">
        <f>'KY_Cost by Plant Acct P8 (REG)'!D23+'VA_Cost by Plant Acct P10 (REG)'!D21+'TN_Cost by Plant Acct P12 (REG)'!D22</f>
        <v>0</v>
      </c>
      <c r="E22" s="88"/>
      <c r="F22" s="14">
        <f>'KY_Cost by Plant Acct P8 (REG)'!F23+'VA_Cost by Plant Acct P10 (REG)'!F21+'TN_Cost by Plant Acct P12 (REG)'!F22</f>
        <v>3735.54</v>
      </c>
      <c r="G22" s="88"/>
      <c r="H22" s="14">
        <f>'KY_Cost by Plant Acct P8 (REG)'!H23+'VA_Cost by Plant Acct P10 (REG)'!H21+'TN_Cost by Plant Acct P12 (REG)'!H22</f>
        <v>-17057827.280000001</v>
      </c>
      <c r="I22" s="88"/>
      <c r="J22" s="14">
        <f t="shared" si="0"/>
        <v>-17054091.740000002</v>
      </c>
      <c r="K22" s="88"/>
      <c r="L22" s="14">
        <f t="shared" si="1"/>
        <v>0</v>
      </c>
    </row>
    <row r="23" spans="1:12" x14ac:dyDescent="0.2">
      <c r="A23" s="3" t="s">
        <v>166</v>
      </c>
      <c r="B23" s="14">
        <f>'KY_Cost by Plant Acct P8 (REG)'!B24+'VA_Cost by Plant Acct P10 (REG)'!B22</f>
        <v>93628537.409999996</v>
      </c>
      <c r="C23" s="89"/>
      <c r="D23" s="14">
        <f>'KY_Cost by Plant Acct P8 (REG)'!D24+'VA_Cost by Plant Acct P10 (REG)'!D22</f>
        <v>4758787.04</v>
      </c>
      <c r="E23" s="89"/>
      <c r="F23" s="14">
        <f>'KY_Cost by Plant Acct P8 (REG)'!F24+'VA_Cost by Plant Acct P10 (REG)'!F22</f>
        <v>-4610486.05</v>
      </c>
      <c r="G23" s="89"/>
      <c r="H23" s="14">
        <f>'KY_Cost by Plant Acct P8 (REG)'!H24+'VA_Cost by Plant Acct P10 (REG)'!H22</f>
        <v>17057827.280000001</v>
      </c>
      <c r="I23" s="89"/>
      <c r="J23" s="17">
        <f t="shared" si="0"/>
        <v>17206128.27</v>
      </c>
      <c r="K23" s="89"/>
      <c r="L23" s="17">
        <f t="shared" si="1"/>
        <v>110834665.67999999</v>
      </c>
    </row>
    <row r="24" spans="1:12" x14ac:dyDescent="0.2">
      <c r="A24" s="3" t="s">
        <v>167</v>
      </c>
      <c r="B24" s="17">
        <f>'KY_Cost by Plant Acct P8 (REG)'!B25</f>
        <v>285453.15999999997</v>
      </c>
      <c r="C24" s="89"/>
      <c r="D24" s="17">
        <f>'KY_Cost by Plant Acct P8 (REG)'!D25</f>
        <v>0</v>
      </c>
      <c r="E24" s="89"/>
      <c r="F24" s="17">
        <f>'KY_Cost by Plant Acct P8 (REG)'!F25</f>
        <v>-2798.53</v>
      </c>
      <c r="G24" s="89"/>
      <c r="H24" s="17">
        <f>'KY_Cost by Plant Acct P8 (REG)'!H25</f>
        <v>339491.86</v>
      </c>
      <c r="I24" s="89"/>
      <c r="J24" s="17">
        <f t="shared" si="0"/>
        <v>336693.32999999996</v>
      </c>
      <c r="K24" s="89"/>
      <c r="L24" s="17">
        <f t="shared" si="1"/>
        <v>622146.49</v>
      </c>
    </row>
    <row r="25" spans="1:12" x14ac:dyDescent="0.2">
      <c r="A25" s="73" t="s">
        <v>168</v>
      </c>
      <c r="B25" s="17">
        <f>'KY_Cost by Plant Acct P8 (REG)'!B26</f>
        <v>622242.23</v>
      </c>
      <c r="C25" s="89"/>
      <c r="D25" s="17">
        <f>'KY_Cost by Plant Acct P8 (REG)'!D26</f>
        <v>0</v>
      </c>
      <c r="E25" s="89"/>
      <c r="F25" s="17">
        <f>'KY_Cost by Plant Acct P8 (REG)'!F26</f>
        <v>0</v>
      </c>
      <c r="G25" s="89"/>
      <c r="H25" s="17">
        <f>'KY_Cost by Plant Acct P8 (REG)'!H26</f>
        <v>-550985.65</v>
      </c>
      <c r="I25" s="89"/>
      <c r="J25" s="17">
        <f t="shared" si="0"/>
        <v>-550985.65</v>
      </c>
      <c r="K25" s="89"/>
      <c r="L25" s="17">
        <f t="shared" si="1"/>
        <v>71256.579999999958</v>
      </c>
    </row>
    <row r="26" spans="1:12" x14ac:dyDescent="0.2">
      <c r="B26" s="18">
        <f>SUM(B10:B25)</f>
        <v>1631643754.1100004</v>
      </c>
      <c r="C26" s="89"/>
      <c r="D26" s="18">
        <f>SUM(D10:D25)</f>
        <v>73635573.340000004</v>
      </c>
      <c r="E26" s="89"/>
      <c r="F26" s="18">
        <f>SUM(F10:F25)</f>
        <v>-20421266.370000001</v>
      </c>
      <c r="G26" s="89"/>
      <c r="H26" s="18">
        <f>SUM(H10:H25)</f>
        <v>-340117.45000000019</v>
      </c>
      <c r="I26" s="89"/>
      <c r="J26" s="18">
        <f>SUM(J10:J25)</f>
        <v>52874189.520000003</v>
      </c>
      <c r="K26" s="89"/>
      <c r="L26" s="18">
        <f>SUM(L10:L25)</f>
        <v>1684517943.6300004</v>
      </c>
    </row>
    <row r="27" spans="1:12" x14ac:dyDescent="0.2">
      <c r="B27" s="17"/>
      <c r="C27" s="89"/>
      <c r="D27" s="17"/>
      <c r="E27" s="89"/>
      <c r="F27" s="17"/>
      <c r="G27" s="89"/>
      <c r="H27" s="17"/>
      <c r="I27" s="89"/>
      <c r="J27" s="17"/>
      <c r="K27" s="89"/>
      <c r="L27" s="17"/>
    </row>
    <row r="28" spans="1:12" x14ac:dyDescent="0.2">
      <c r="A28" s="12" t="s">
        <v>13</v>
      </c>
      <c r="B28" s="17"/>
      <c r="C28" s="89"/>
      <c r="D28" s="17"/>
      <c r="E28" s="89"/>
      <c r="F28" s="17"/>
      <c r="G28" s="89"/>
      <c r="H28" s="17"/>
      <c r="I28" s="89"/>
      <c r="J28" s="17"/>
      <c r="K28" s="89"/>
      <c r="L28" s="17"/>
    </row>
    <row r="29" spans="1:12" x14ac:dyDescent="0.2">
      <c r="A29" s="43" t="s">
        <v>170</v>
      </c>
      <c r="B29" s="14">
        <f>'KY_Cost by Plant Acct P8 (REG)'!B30+'VA_Cost by Plant Acct P10 (REG)'!B26</f>
        <v>2810081.6</v>
      </c>
      <c r="C29" s="88"/>
      <c r="D29" s="14">
        <f>'KY_Cost by Plant Acct P8 (REG)'!D30+'VA_Cost by Plant Acct P10 (REG)'!D26</f>
        <v>620034.90999999992</v>
      </c>
      <c r="E29" s="88"/>
      <c r="F29" s="14">
        <f>'KY_Cost by Plant Acct P8 (REG)'!F30+'VA_Cost by Plant Acct P10 (REG)'!F26</f>
        <v>0</v>
      </c>
      <c r="G29" s="88"/>
      <c r="H29" s="14">
        <f>'KY_Cost by Plant Acct P8 (REG)'!H30+'VA_Cost by Plant Acct P10 (REG)'!H26</f>
        <v>0</v>
      </c>
      <c r="I29" s="88"/>
      <c r="J29" s="14">
        <f>H29+F29+D29</f>
        <v>620034.90999999992</v>
      </c>
      <c r="K29" s="88"/>
      <c r="L29" s="14">
        <f t="shared" ref="L29:L45" si="2">J29+B29</f>
        <v>3430116.51</v>
      </c>
    </row>
    <row r="30" spans="1:12" x14ac:dyDescent="0.2">
      <c r="A30" s="3" t="s">
        <v>171</v>
      </c>
      <c r="B30" s="35">
        <f>'KY_Cost by Plant Acct P8 (REG)'!B31+'VA_Cost by Plant Acct P10 (REG)'!B27</f>
        <v>54211263.770000003</v>
      </c>
      <c r="C30" s="88"/>
      <c r="D30" s="35">
        <f>'KY_Cost by Plant Acct P8 (REG)'!D31+'VA_Cost by Plant Acct P10 (REG)'!D27</f>
        <v>4192575.9699999997</v>
      </c>
      <c r="E30" s="88"/>
      <c r="F30" s="35">
        <f>'KY_Cost by Plant Acct P8 (REG)'!F31+'VA_Cost by Plant Acct P10 (REG)'!F27</f>
        <v>-676963.61</v>
      </c>
      <c r="G30" s="88"/>
      <c r="H30" s="35">
        <f>'KY_Cost by Plant Acct P8 (REG)'!H31+'VA_Cost by Plant Acct P10 (REG)'!H27</f>
        <v>46914.46</v>
      </c>
      <c r="I30" s="88"/>
      <c r="J30" s="14">
        <f>H30+F30+D30</f>
        <v>3562526.82</v>
      </c>
      <c r="K30" s="88"/>
      <c r="L30" s="14">
        <f t="shared" si="2"/>
        <v>57773790.590000004</v>
      </c>
    </row>
    <row r="31" spans="1:12" x14ac:dyDescent="0.2">
      <c r="A31" s="3" t="s">
        <v>172</v>
      </c>
      <c r="B31" s="14">
        <f>'KY_Cost by Plant Acct P8 (REG)'!B32+'VA_Cost by Plant Acct P10 (REG)'!B28</f>
        <v>528658.33000000007</v>
      </c>
      <c r="C31" s="88"/>
      <c r="D31" s="14">
        <f>'KY_Cost by Plant Acct P8 (REG)'!D32+'VA_Cost by Plant Acct P10 (REG)'!D28</f>
        <v>0</v>
      </c>
      <c r="E31" s="88"/>
      <c r="F31" s="14">
        <f>'KY_Cost by Plant Acct P8 (REG)'!F32+'VA_Cost by Plant Acct P10 (REG)'!F28</f>
        <v>0</v>
      </c>
      <c r="G31" s="88"/>
      <c r="H31" s="14">
        <f>'KY_Cost by Plant Acct P8 (REG)'!H32+'VA_Cost by Plant Acct P10 (REG)'!H28</f>
        <v>-46914.46</v>
      </c>
      <c r="I31" s="88"/>
      <c r="J31" s="14">
        <f>H31+F31+D31</f>
        <v>-46914.46</v>
      </c>
      <c r="K31" s="88"/>
      <c r="L31" s="14">
        <f t="shared" si="2"/>
        <v>481743.87000000005</v>
      </c>
    </row>
    <row r="32" spans="1:12" x14ac:dyDescent="0.2">
      <c r="A32" s="3" t="s">
        <v>173</v>
      </c>
      <c r="B32" s="14">
        <f>'KY_Cost by Plant Acct P8 (REG)'!B33+'VA_Cost by Plant Acct P10 (REG)'!B29</f>
        <v>9782010.620000001</v>
      </c>
      <c r="C32" s="88"/>
      <c r="D32" s="14">
        <f>'KY_Cost by Plant Acct P8 (REG)'!D33+'VA_Cost by Plant Acct P10 (REG)'!D29</f>
        <v>977161.68</v>
      </c>
      <c r="E32" s="88"/>
      <c r="F32" s="14">
        <f>'KY_Cost by Plant Acct P8 (REG)'!F33+'VA_Cost by Plant Acct P10 (REG)'!F29</f>
        <v>-1071054.3600000001</v>
      </c>
      <c r="G32" s="88"/>
      <c r="H32" s="14">
        <f>'KY_Cost by Plant Acct P8 (REG)'!H33+'VA_Cost by Plant Acct P10 (REG)'!H29</f>
        <v>0</v>
      </c>
      <c r="I32" s="88"/>
      <c r="J32" s="14">
        <f t="shared" ref="J32:J45" si="3">H32+F32+D32</f>
        <v>-93892.680000000051</v>
      </c>
      <c r="K32" s="88"/>
      <c r="L32" s="14">
        <f t="shared" si="2"/>
        <v>9688117.9400000013</v>
      </c>
    </row>
    <row r="33" spans="1:12" x14ac:dyDescent="0.2">
      <c r="A33" s="3" t="s">
        <v>174</v>
      </c>
      <c r="B33" s="14">
        <f>'VA_Cost by Plant Acct P10 (REG)'!B30+'KY_Cost by Plant Acct P8 (REG)'!B34</f>
        <v>21885619.819999997</v>
      </c>
      <c r="C33" s="88"/>
      <c r="D33" s="14">
        <f>'KY_Cost by Plant Acct P8 (REG)'!D34+'VA_Cost by Plant Acct P10 (REG)'!D30</f>
        <v>4080141.77</v>
      </c>
      <c r="E33" s="88"/>
      <c r="F33" s="14">
        <f>'KY_Cost by Plant Acct P8 (REG)'!F34+'VA_Cost by Plant Acct P10 (REG)'!F30</f>
        <v>-4236675.62</v>
      </c>
      <c r="G33" s="88"/>
      <c r="H33" s="14">
        <f>'KY_Cost by Plant Acct P8 (REG)'!H34</f>
        <v>0</v>
      </c>
      <c r="I33" s="88"/>
      <c r="J33" s="14">
        <f t="shared" si="3"/>
        <v>-156533.85000000009</v>
      </c>
      <c r="K33" s="88"/>
      <c r="L33" s="14">
        <f t="shared" si="2"/>
        <v>21729085.969999995</v>
      </c>
    </row>
    <row r="34" spans="1:12" x14ac:dyDescent="0.2">
      <c r="A34" s="3" t="s">
        <v>175</v>
      </c>
      <c r="B34" s="14">
        <f>'KY_Cost by Plant Acct P8 (REG)'!B35</f>
        <v>0</v>
      </c>
      <c r="C34" s="88"/>
      <c r="D34" s="14">
        <f>'KY_Cost by Plant Acct P8 (REG)'!D35</f>
        <v>0</v>
      </c>
      <c r="E34" s="88"/>
      <c r="F34" s="14">
        <f>'KY_Cost by Plant Acct P8 (REG)'!F35</f>
        <v>0</v>
      </c>
      <c r="G34" s="88"/>
      <c r="H34" s="14">
        <f>'KY_Cost by Plant Acct P8 (REG)'!H35</f>
        <v>0</v>
      </c>
      <c r="I34" s="88"/>
      <c r="J34" s="14">
        <f t="shared" si="3"/>
        <v>0</v>
      </c>
      <c r="K34" s="88"/>
      <c r="L34" s="14">
        <f t="shared" si="2"/>
        <v>0</v>
      </c>
    </row>
    <row r="35" spans="1:12" x14ac:dyDescent="0.2">
      <c r="A35" s="3" t="s">
        <v>176</v>
      </c>
      <c r="B35" s="14">
        <f>'KY_Cost by Plant Acct P8 (REG)'!B36</f>
        <v>6443079.9900000002</v>
      </c>
      <c r="C35" s="88"/>
      <c r="D35" s="14">
        <f>'KY_Cost by Plant Acct P8 (REG)'!D36</f>
        <v>1178646.49</v>
      </c>
      <c r="E35" s="88"/>
      <c r="F35" s="14">
        <f>'KY_Cost by Plant Acct P8 (REG)'!F36</f>
        <v>-3267500.19</v>
      </c>
      <c r="G35" s="88"/>
      <c r="H35" s="14">
        <f>'KY_Cost by Plant Acct P8 (REG)'!H36</f>
        <v>0</v>
      </c>
      <c r="I35" s="88"/>
      <c r="J35" s="14">
        <f t="shared" si="3"/>
        <v>-2088853.7</v>
      </c>
      <c r="K35" s="88"/>
      <c r="L35" s="14">
        <f t="shared" si="2"/>
        <v>4354226.29</v>
      </c>
    </row>
    <row r="36" spans="1:12" x14ac:dyDescent="0.2">
      <c r="A36" s="3" t="s">
        <v>177</v>
      </c>
      <c r="B36" s="14">
        <f>'KY_Cost by Plant Acct P8 (REG)'!B37+'VA_Cost by Plant Acct P10 (REG)'!B31</f>
        <v>1080256.709999999</v>
      </c>
      <c r="C36" s="88"/>
      <c r="D36" s="14">
        <f>'KY_Cost by Plant Acct P8 (REG)'!D37+'VA_Cost by Plant Acct P10 (REG)'!D31</f>
        <v>397777.47</v>
      </c>
      <c r="E36" s="88"/>
      <c r="F36" s="14">
        <f>'KY_Cost by Plant Acct P8 (REG)'!F37+'VA_Cost by Plant Acct P10 (REG)'!F31</f>
        <v>-158179.93</v>
      </c>
      <c r="G36" s="88"/>
      <c r="H36" s="14">
        <f>'KY_Cost by Plant Acct P8 (REG)'!H37+'VA_Cost by Plant Acct P10 (REG)'!H31</f>
        <v>19403.82</v>
      </c>
      <c r="I36" s="88"/>
      <c r="J36" s="14">
        <f t="shared" si="3"/>
        <v>259001.36</v>
      </c>
      <c r="K36" s="88"/>
      <c r="L36" s="14">
        <f t="shared" si="2"/>
        <v>1339258.0699999989</v>
      </c>
    </row>
    <row r="37" spans="1:12" x14ac:dyDescent="0.2">
      <c r="A37" s="3" t="s">
        <v>178</v>
      </c>
      <c r="B37" s="14">
        <f>'KY_Cost by Plant Acct P8 (REG)'!B38</f>
        <v>4496087.6400000006</v>
      </c>
      <c r="C37" s="88"/>
      <c r="D37" s="14">
        <f>'KY_Cost by Plant Acct P8 (REG)'!D38</f>
        <v>1456562.63</v>
      </c>
      <c r="E37" s="88"/>
      <c r="F37" s="14">
        <f>'KY_Cost by Plant Acct P8 (REG)'!F38</f>
        <v>-108408.86</v>
      </c>
      <c r="G37" s="88"/>
      <c r="H37" s="14">
        <f>'KY_Cost by Plant Acct P8 (REG)'!H38</f>
        <v>-19403.82</v>
      </c>
      <c r="I37" s="88"/>
      <c r="J37" s="14">
        <f>H37+F37+D37</f>
        <v>1328749.95</v>
      </c>
      <c r="K37" s="88"/>
      <c r="L37" s="14">
        <f>J37+B37</f>
        <v>5824837.5900000008</v>
      </c>
    </row>
    <row r="38" spans="1:12" x14ac:dyDescent="0.2">
      <c r="A38" s="3" t="s">
        <v>179</v>
      </c>
      <c r="B38" s="14">
        <f>'KY_Cost by Plant Acct P8 (REG)'!B39+'VA_Cost by Plant Acct P10 (REG)'!B32</f>
        <v>905832.21</v>
      </c>
      <c r="C38" s="88"/>
      <c r="D38" s="14">
        <f>'KY_Cost by Plant Acct P8 (REG)'!D39+'VA_Cost by Plant Acct P10 (REG)'!D32</f>
        <v>5138.58</v>
      </c>
      <c r="E38" s="88"/>
      <c r="F38" s="14">
        <f>'KY_Cost by Plant Acct P8 (REG)'!F39+'VA_Cost by Plant Acct P10 (REG)'!F32</f>
        <v>0</v>
      </c>
      <c r="G38" s="88"/>
      <c r="H38" s="14">
        <f>'KY_Cost by Plant Acct P8 (REG)'!H39+'VA_Cost by Plant Acct P10 (REG)'!H32</f>
        <v>0</v>
      </c>
      <c r="I38" s="88"/>
      <c r="J38" s="14">
        <f t="shared" si="3"/>
        <v>5138.58</v>
      </c>
      <c r="K38" s="88"/>
      <c r="L38" s="14">
        <f t="shared" si="2"/>
        <v>910970.78999999992</v>
      </c>
    </row>
    <row r="39" spans="1:12" x14ac:dyDescent="0.2">
      <c r="A39" s="3" t="s">
        <v>180</v>
      </c>
      <c r="B39" s="14">
        <f>'KY_Cost by Plant Acct P8 (REG)'!B40+'VA_Cost by Plant Acct P10 (REG)'!B33</f>
        <v>11742064.390000001</v>
      </c>
      <c r="C39" s="88"/>
      <c r="D39" s="14">
        <f>'KY_Cost by Plant Acct P8 (REG)'!D40+'VA_Cost by Plant Acct P10 (REG)'!D33</f>
        <v>775847.92</v>
      </c>
      <c r="E39" s="88"/>
      <c r="F39" s="14">
        <f>'KY_Cost by Plant Acct P8 (REG)'!F40+'VA_Cost by Plant Acct P10 (REG)'!F33</f>
        <v>-104279.68000000001</v>
      </c>
      <c r="G39" s="88"/>
      <c r="H39" s="14">
        <f>'KY_Cost by Plant Acct P8 (REG)'!H40+'VA_Cost by Plant Acct P10 (REG)'!H33</f>
        <v>0</v>
      </c>
      <c r="I39" s="88"/>
      <c r="J39" s="14">
        <f t="shared" si="3"/>
        <v>671568.24</v>
      </c>
      <c r="K39" s="88"/>
      <c r="L39" s="14">
        <f t="shared" si="2"/>
        <v>12413632.630000001</v>
      </c>
    </row>
    <row r="40" spans="1:12" x14ac:dyDescent="0.2">
      <c r="A40" s="3" t="s">
        <v>181</v>
      </c>
      <c r="B40" s="14">
        <f>'KY_Cost by Plant Acct P8 (REG)'!B41+'VA_Cost by Plant Acct P10 (REG)'!B34</f>
        <v>0</v>
      </c>
      <c r="C40" s="88"/>
      <c r="D40" s="14">
        <f>'KY_Cost by Plant Acct P8 (REG)'!D41+'VA_Cost by Plant Acct P10 (REG)'!D34</f>
        <v>0</v>
      </c>
      <c r="E40" s="88"/>
      <c r="F40" s="14">
        <f>'KY_Cost by Plant Acct P8 (REG)'!F41+'VA_Cost by Plant Acct P10 (REG)'!F34</f>
        <v>0</v>
      </c>
      <c r="G40" s="88"/>
      <c r="H40" s="14">
        <f>'KY_Cost by Plant Acct P8 (REG)'!H41+'VA_Cost by Plant Acct P10 (REG)'!H34</f>
        <v>0</v>
      </c>
      <c r="I40" s="88"/>
      <c r="J40" s="14">
        <f t="shared" si="3"/>
        <v>0</v>
      </c>
      <c r="K40" s="88"/>
      <c r="L40" s="14">
        <f t="shared" si="2"/>
        <v>0</v>
      </c>
    </row>
    <row r="41" spans="1:12" x14ac:dyDescent="0.2">
      <c r="A41" s="3" t="s">
        <v>3238</v>
      </c>
      <c r="B41" s="14">
        <f>'KY_Cost by Plant Acct P8 (REG)'!B42+'VA_Cost by Plant Acct P10 (REG)'!B35</f>
        <v>2278514.6</v>
      </c>
      <c r="C41" s="88"/>
      <c r="D41" s="14">
        <f>'KY_Cost by Plant Acct P8 (REG)'!D42+'VA_Cost by Plant Acct P10 (REG)'!D35</f>
        <v>139877.92000000001</v>
      </c>
      <c r="E41" s="88"/>
      <c r="F41" s="14">
        <f>'KY_Cost by Plant Acct P8 (REG)'!F42</f>
        <v>0</v>
      </c>
      <c r="G41" s="88"/>
      <c r="H41" s="14">
        <f>'KY_Cost by Plant Acct P8 (REG)'!H42</f>
        <v>0</v>
      </c>
      <c r="I41" s="88"/>
      <c r="J41" s="14">
        <f t="shared" si="3"/>
        <v>139877.92000000001</v>
      </c>
      <c r="K41" s="88"/>
      <c r="L41" s="14">
        <f t="shared" si="2"/>
        <v>2418392.52</v>
      </c>
    </row>
    <row r="42" spans="1:12" x14ac:dyDescent="0.2">
      <c r="A42" s="3" t="s">
        <v>3239</v>
      </c>
      <c r="B42" s="14">
        <f>'KY_Cost by Plant Acct P8 (REG)'!B43+'VA_Cost by Plant Acct P10 (REG)'!B36</f>
        <v>25051194.529999997</v>
      </c>
      <c r="C42" s="88"/>
      <c r="D42" s="14">
        <f>'KY_Cost by Plant Acct P8 (REG)'!D43+'VA_Cost by Plant Acct P10 (REG)'!D36</f>
        <v>2470356.75</v>
      </c>
      <c r="E42" s="88"/>
      <c r="F42" s="14">
        <f>'KY_Cost by Plant Acct P8 (REG)'!F43+'VA_Cost by Plant Acct P10 (REG)'!F36</f>
        <v>-641341.51</v>
      </c>
      <c r="G42" s="88"/>
      <c r="H42" s="14">
        <f>'KY_Cost by Plant Acct P8 (REG)'!H43+'VA_Cost by Plant Acct P10 (REG)'!H36</f>
        <v>0</v>
      </c>
      <c r="I42" s="88"/>
      <c r="J42" s="14">
        <f t="shared" si="3"/>
        <v>1829015.24</v>
      </c>
      <c r="K42" s="88"/>
      <c r="L42" s="14">
        <f t="shared" si="2"/>
        <v>26880209.769999996</v>
      </c>
    </row>
    <row r="43" spans="1:12" x14ac:dyDescent="0.2">
      <c r="A43" s="3" t="s">
        <v>3240</v>
      </c>
      <c r="B43" s="14">
        <f>'KY_Cost by Plant Acct P8 (REG)'!B44+'VA_Cost by Plant Acct P10 (REG)'!B37</f>
        <v>17256778.230000004</v>
      </c>
      <c r="C43" s="88"/>
      <c r="D43" s="14">
        <f>'KY_Cost by Plant Acct P8 (REG)'!D44+'VA_Cost by Plant Acct P10 (REG)'!D37</f>
        <v>1814128.65</v>
      </c>
      <c r="E43" s="88"/>
      <c r="F43" s="14">
        <f>'KY_Cost by Plant Acct P8 (REG)'!F44+'VA_Cost by Plant Acct P10 (REG)'!F37</f>
        <v>-823769.21</v>
      </c>
      <c r="G43" s="88"/>
      <c r="H43" s="14">
        <f>'KY_Cost by Plant Acct P8 (REG)'!H44+'VA_Cost by Plant Acct P10 (REG)'!H37</f>
        <v>0</v>
      </c>
      <c r="I43" s="88"/>
      <c r="J43" s="14">
        <f t="shared" si="3"/>
        <v>990359.44</v>
      </c>
      <c r="K43" s="88"/>
      <c r="L43" s="14">
        <f t="shared" si="2"/>
        <v>18247137.670000006</v>
      </c>
    </row>
    <row r="44" spans="1:12" x14ac:dyDescent="0.2">
      <c r="A44" s="3" t="s">
        <v>185</v>
      </c>
      <c r="B44" s="14">
        <f>'KY_Cost by Plant Acct P8 (REG)'!B45+'VA_Cost by Plant Acct P10 (REG)'!B38</f>
        <v>5614692.8399999999</v>
      </c>
      <c r="C44" s="88"/>
      <c r="D44" s="14">
        <f>'KY_Cost by Plant Acct P8 (REG)'!D45+'VA_Cost by Plant Acct P10 (REG)'!D38</f>
        <v>1512780</v>
      </c>
      <c r="E44" s="88"/>
      <c r="F44" s="14">
        <f>'KY_Cost by Plant Acct P8 (REG)'!F45+'VA_Cost by Plant Acct P10 (REG)'!F38</f>
        <v>-438990.26</v>
      </c>
      <c r="G44" s="88"/>
      <c r="H44" s="14">
        <f>'KY_Cost by Plant Acct P8 (REG)'!H45+'VA_Cost by Plant Acct P10 (REG)'!H38</f>
        <v>0</v>
      </c>
      <c r="I44" s="88"/>
      <c r="J44" s="14">
        <f t="shared" si="3"/>
        <v>1073789.74</v>
      </c>
      <c r="K44" s="88"/>
      <c r="L44" s="14">
        <f t="shared" si="2"/>
        <v>6688482.5800000001</v>
      </c>
    </row>
    <row r="45" spans="1:12" x14ac:dyDescent="0.2">
      <c r="A45" s="3" t="s">
        <v>186</v>
      </c>
      <c r="B45" s="16">
        <f>'KY_Cost by Plant Acct P8 (REG)'!B46+'VA_Cost by Plant Acct P10 (REG)'!B38</f>
        <v>0</v>
      </c>
      <c r="C45" s="89"/>
      <c r="D45" s="16">
        <f>'KY_Cost by Plant Acct P8 (REG)'!D46+'VA_Cost by Plant Acct P10 (REG)'!D38</f>
        <v>0</v>
      </c>
      <c r="E45" s="89"/>
      <c r="F45" s="16">
        <f>'KY_Cost by Plant Acct P8 (REG)'!F46+'VA_Cost by Plant Acct P10 (REG)'!F38</f>
        <v>0</v>
      </c>
      <c r="G45" s="89"/>
      <c r="H45" s="16">
        <f>'KY_Cost by Plant Acct P8 (REG)'!H46+'VA_Cost by Plant Acct P10 (REG)'!H38</f>
        <v>0</v>
      </c>
      <c r="I45" s="89"/>
      <c r="J45" s="16">
        <f t="shared" si="3"/>
        <v>0</v>
      </c>
      <c r="K45" s="89"/>
      <c r="L45" s="16">
        <f t="shared" si="2"/>
        <v>0</v>
      </c>
    </row>
    <row r="46" spans="1:12" x14ac:dyDescent="0.2">
      <c r="B46" s="17">
        <f>SUM(B29:B45)</f>
        <v>164086135.28</v>
      </c>
      <c r="C46" s="89"/>
      <c r="D46" s="17">
        <f>SUM(D29:D45)</f>
        <v>19621030.740000002</v>
      </c>
      <c r="E46" s="89"/>
      <c r="F46" s="17">
        <f>SUM(F29:F45)</f>
        <v>-11527163.229999999</v>
      </c>
      <c r="G46" s="89"/>
      <c r="H46" s="17">
        <f>SUM(H29:H45)</f>
        <v>0</v>
      </c>
      <c r="I46" s="89"/>
      <c r="J46" s="17">
        <f>SUM(J29:J45)</f>
        <v>8093867.5099999998</v>
      </c>
      <c r="K46" s="89"/>
      <c r="L46" s="17">
        <f>SUM(L29:L45)</f>
        <v>172180002.79000002</v>
      </c>
    </row>
    <row r="47" spans="1:12" x14ac:dyDescent="0.2">
      <c r="B47" s="17"/>
      <c r="C47" s="89"/>
      <c r="D47" s="17"/>
      <c r="E47" s="89"/>
      <c r="F47" s="17"/>
      <c r="G47" s="89"/>
      <c r="H47" s="17"/>
      <c r="I47" s="89"/>
      <c r="J47" s="17"/>
      <c r="K47" s="89"/>
      <c r="L47" s="17"/>
    </row>
    <row r="48" spans="1:12" x14ac:dyDescent="0.2">
      <c r="A48" s="12" t="s">
        <v>14</v>
      </c>
      <c r="B48" s="17"/>
      <c r="C48" s="89"/>
      <c r="D48" s="17"/>
      <c r="E48" s="89"/>
      <c r="F48" s="17"/>
      <c r="G48" s="89"/>
      <c r="H48" s="17"/>
      <c r="I48" s="89"/>
      <c r="J48" s="17"/>
      <c r="K48" s="89"/>
      <c r="L48" s="17"/>
    </row>
    <row r="49" spans="1:12" x14ac:dyDescent="0.2">
      <c r="A49" s="43" t="s">
        <v>188</v>
      </c>
      <c r="B49" s="17">
        <f>'KY_Cost by Plant Acct P8 (REG)'!B50</f>
        <v>879311.47</v>
      </c>
      <c r="C49" s="89"/>
      <c r="D49" s="17">
        <f>'KY_Cost by Plant Acct P8 (REG)'!D50</f>
        <v>0</v>
      </c>
      <c r="E49" s="89"/>
      <c r="F49" s="17">
        <f>'KY_Cost by Plant Acct P8 (REG)'!F50</f>
        <v>0</v>
      </c>
      <c r="G49" s="89"/>
      <c r="H49" s="17">
        <f>'KY_Cost by Plant Acct P8 (REG)'!H50</f>
        <v>0</v>
      </c>
      <c r="I49" s="89"/>
      <c r="J49" s="17">
        <f t="shared" ref="J49:J56" si="4">H49+F49+D49</f>
        <v>0</v>
      </c>
      <c r="K49" s="89"/>
      <c r="L49" s="17">
        <f t="shared" ref="L49:L56" si="5">J49+B49</f>
        <v>879311.47</v>
      </c>
    </row>
    <row r="50" spans="1:12" x14ac:dyDescent="0.2">
      <c r="A50" s="3" t="s">
        <v>189</v>
      </c>
      <c r="B50" s="17">
        <f>'KY_Cost by Plant Acct P8 (REG)'!B51</f>
        <v>827602.64000000013</v>
      </c>
      <c r="C50" s="89"/>
      <c r="D50" s="17">
        <f>'KY_Cost by Plant Acct P8 (REG)'!D51</f>
        <v>2174143.44</v>
      </c>
      <c r="E50" s="89"/>
      <c r="F50" s="17">
        <f>'KY_Cost by Plant Acct P8 (REG)'!F51</f>
        <v>-2355.54</v>
      </c>
      <c r="G50" s="89"/>
      <c r="H50" s="17">
        <f>'KY_Cost by Plant Acct P8 (REG)'!H51</f>
        <v>0</v>
      </c>
      <c r="I50" s="89"/>
      <c r="J50" s="17">
        <f t="shared" si="4"/>
        <v>2171787.9</v>
      </c>
      <c r="K50" s="89"/>
      <c r="L50" s="17">
        <f t="shared" si="5"/>
        <v>2999390.54</v>
      </c>
    </row>
    <row r="51" spans="1:12" x14ac:dyDescent="0.2">
      <c r="A51" s="3" t="s">
        <v>190</v>
      </c>
      <c r="B51" s="17">
        <f>'KY_Cost by Plant Acct P8 (REG)'!B52</f>
        <v>21850674.220000003</v>
      </c>
      <c r="C51" s="89"/>
      <c r="D51" s="17">
        <f>'KY_Cost by Plant Acct P8 (REG)'!D52</f>
        <v>34972.15</v>
      </c>
      <c r="E51" s="89"/>
      <c r="F51" s="17">
        <f>'KY_Cost by Plant Acct P8 (REG)'!F52</f>
        <v>0</v>
      </c>
      <c r="G51" s="89"/>
      <c r="H51" s="17">
        <f>'KY_Cost by Plant Acct P8 (REG)'!H52</f>
        <v>0</v>
      </c>
      <c r="I51" s="89"/>
      <c r="J51" s="17">
        <f t="shared" si="4"/>
        <v>34972.15</v>
      </c>
      <c r="K51" s="89"/>
      <c r="L51" s="17">
        <f t="shared" si="5"/>
        <v>21885646.370000001</v>
      </c>
    </row>
    <row r="52" spans="1:12" x14ac:dyDescent="0.2">
      <c r="A52" s="3" t="s">
        <v>191</v>
      </c>
      <c r="B52" s="17">
        <f>'KY_Cost by Plant Acct P8 (REG)'!B53</f>
        <v>13732503.48</v>
      </c>
      <c r="C52" s="89"/>
      <c r="D52" s="17">
        <f>'KY_Cost by Plant Acct P8 (REG)'!D53</f>
        <v>327078.36</v>
      </c>
      <c r="E52" s="89"/>
      <c r="F52" s="17">
        <f>'KY_Cost by Plant Acct P8 (REG)'!F53</f>
        <v>-12840.26</v>
      </c>
      <c r="G52" s="89"/>
      <c r="H52" s="17">
        <f>'KY_Cost by Plant Acct P8 (REG)'!H53</f>
        <v>0</v>
      </c>
      <c r="I52" s="89"/>
      <c r="J52" s="17">
        <f t="shared" si="4"/>
        <v>314238.09999999998</v>
      </c>
      <c r="K52" s="89"/>
      <c r="L52" s="17">
        <f t="shared" si="5"/>
        <v>14046741.58</v>
      </c>
    </row>
    <row r="53" spans="1:12" x14ac:dyDescent="0.2">
      <c r="A53" s="3" t="s">
        <v>192</v>
      </c>
      <c r="B53" s="17">
        <f>'KY_Cost by Plant Acct P8 (REG)'!B54</f>
        <v>1321688.77</v>
      </c>
      <c r="C53" s="89"/>
      <c r="D53" s="17">
        <f>'KY_Cost by Plant Acct P8 (REG)'!D54</f>
        <v>40896.019999999997</v>
      </c>
      <c r="E53" s="89"/>
      <c r="F53" s="17">
        <f>'KY_Cost by Plant Acct P8 (REG)'!F54</f>
        <v>0</v>
      </c>
      <c r="G53" s="89"/>
      <c r="H53" s="17">
        <f>'KY_Cost by Plant Acct P8 (REG)'!H54</f>
        <v>0</v>
      </c>
      <c r="I53" s="89"/>
      <c r="J53" s="17">
        <f t="shared" si="4"/>
        <v>40896.019999999997</v>
      </c>
      <c r="K53" s="89"/>
      <c r="L53" s="17">
        <f t="shared" si="5"/>
        <v>1362584.79</v>
      </c>
    </row>
    <row r="54" spans="1:12" x14ac:dyDescent="0.2">
      <c r="A54" s="3" t="s">
        <v>193</v>
      </c>
      <c r="B54" s="17">
        <f>'KY_Cost by Plant Acct P8 (REG)'!B55</f>
        <v>316946.74</v>
      </c>
      <c r="C54" s="89"/>
      <c r="D54" s="17">
        <f>'KY_Cost by Plant Acct P8 (REG)'!D55</f>
        <v>0</v>
      </c>
      <c r="E54" s="89"/>
      <c r="F54" s="17">
        <f>'KY_Cost by Plant Acct P8 (REG)'!F55</f>
        <v>0</v>
      </c>
      <c r="G54" s="89"/>
      <c r="H54" s="17">
        <f>'KY_Cost by Plant Acct P8 (REG)'!H55</f>
        <v>0</v>
      </c>
      <c r="I54" s="89"/>
      <c r="J54" s="17">
        <f t="shared" si="4"/>
        <v>0</v>
      </c>
      <c r="K54" s="89"/>
      <c r="L54" s="17">
        <f t="shared" si="5"/>
        <v>316946.74</v>
      </c>
    </row>
    <row r="55" spans="1:12" x14ac:dyDescent="0.2">
      <c r="A55" s="3" t="s">
        <v>194</v>
      </c>
      <c r="B55" s="17">
        <f>'KY_Cost by Plant Acct P8 (REG)'!B56</f>
        <v>225715.78999999998</v>
      </c>
      <c r="C55" s="89"/>
      <c r="D55" s="17">
        <f>'KY_Cost by Plant Acct P8 (REG)'!D56</f>
        <v>8793.34</v>
      </c>
      <c r="E55" s="89"/>
      <c r="F55" s="17">
        <f>'KY_Cost by Plant Acct P8 (REG)'!F56</f>
        <v>0</v>
      </c>
      <c r="G55" s="89"/>
      <c r="H55" s="17">
        <f>'KY_Cost by Plant Acct P8 (REG)'!H56</f>
        <v>0</v>
      </c>
      <c r="I55" s="89"/>
      <c r="J55" s="17">
        <f t="shared" si="4"/>
        <v>8793.34</v>
      </c>
      <c r="K55" s="89"/>
      <c r="L55" s="17">
        <f t="shared" si="5"/>
        <v>234509.12999999998</v>
      </c>
    </row>
    <row r="56" spans="1:12" x14ac:dyDescent="0.2">
      <c r="A56" s="3" t="s">
        <v>195</v>
      </c>
      <c r="B56" s="16">
        <f>'KY_Cost by Plant Acct P8 (REG)'!B57</f>
        <v>274310.54000000004</v>
      </c>
      <c r="C56" s="89"/>
      <c r="D56" s="16">
        <f>'KY_Cost by Plant Acct P8 (REG)'!D57</f>
        <v>0</v>
      </c>
      <c r="E56" s="89"/>
      <c r="F56" s="16">
        <f>'KY_Cost by Plant Acct P8 (REG)'!F57</f>
        <v>-86482.34</v>
      </c>
      <c r="G56" s="89"/>
      <c r="H56" s="16">
        <f>'KY_Cost by Plant Acct P8 (REG)'!H57</f>
        <v>457959.79</v>
      </c>
      <c r="I56" s="89"/>
      <c r="J56" s="16">
        <f t="shared" si="4"/>
        <v>371477.44999999995</v>
      </c>
      <c r="K56" s="89"/>
      <c r="L56" s="16">
        <f t="shared" si="5"/>
        <v>645787.99</v>
      </c>
    </row>
    <row r="57" spans="1:12" x14ac:dyDescent="0.2">
      <c r="B57" s="17">
        <f>SUM(B49:B56)</f>
        <v>39428753.650000006</v>
      </c>
      <c r="C57" s="89"/>
      <c r="D57" s="17">
        <f>SUM(D49:D56)</f>
        <v>2585883.3099999996</v>
      </c>
      <c r="E57" s="89"/>
      <c r="F57" s="17">
        <f>SUM(F49:F56)</f>
        <v>-101678.14</v>
      </c>
      <c r="G57" s="89"/>
      <c r="H57" s="17">
        <f>SUM(H49:H56)</f>
        <v>457959.79</v>
      </c>
      <c r="I57" s="89"/>
      <c r="J57" s="17">
        <f>SUM(J49:J56)</f>
        <v>2942164.96</v>
      </c>
      <c r="K57" s="89"/>
      <c r="L57" s="17">
        <f>SUM(L49:L56)</f>
        <v>42370918.610000007</v>
      </c>
    </row>
    <row r="58" spans="1:12" x14ac:dyDescent="0.2">
      <c r="B58" s="17"/>
      <c r="C58" s="89"/>
      <c r="D58" s="17"/>
      <c r="E58" s="89"/>
      <c r="F58" s="17"/>
      <c r="G58" s="89"/>
      <c r="H58" s="17"/>
      <c r="I58" s="89"/>
      <c r="J58" s="17"/>
      <c r="K58" s="89"/>
      <c r="L58" s="17"/>
    </row>
    <row r="59" spans="1:12" x14ac:dyDescent="0.2">
      <c r="A59" s="12" t="s">
        <v>15</v>
      </c>
      <c r="B59" s="17"/>
      <c r="C59" s="89"/>
      <c r="D59" s="17"/>
      <c r="E59" s="89"/>
      <c r="F59" s="17"/>
      <c r="G59" s="89"/>
      <c r="H59" s="17"/>
      <c r="I59" s="89"/>
      <c r="J59" s="17"/>
      <c r="K59" s="89"/>
      <c r="L59" s="17"/>
    </row>
    <row r="60" spans="1:12" x14ac:dyDescent="0.2">
      <c r="A60" s="43" t="s">
        <v>197</v>
      </c>
      <c r="B60" s="17">
        <f>'KY_Cost by Plant Acct P8 (REG)'!B61+'VA_Cost by Plant Acct P10 (REG)'!B42</f>
        <v>44455.58</v>
      </c>
      <c r="C60" s="89"/>
      <c r="D60" s="17">
        <f>'KY_Cost by Plant Acct P8 (REG)'!D61+'VA_Cost by Plant Acct P10 (REG)'!D42</f>
        <v>0</v>
      </c>
      <c r="E60" s="89"/>
      <c r="F60" s="17">
        <f>'KY_Cost by Plant Acct P8 (REG)'!F61+'VA_Cost by Plant Acct P10 (REG)'!F42</f>
        <v>0</v>
      </c>
      <c r="G60" s="89"/>
      <c r="H60" s="17">
        <f>'KY_Cost by Plant Acct P8 (REG)'!H61+'VA_Cost by Plant Acct P10 (REG)'!H42</f>
        <v>0</v>
      </c>
      <c r="I60" s="89"/>
      <c r="J60" s="17">
        <f>H60+F60+D60</f>
        <v>0</v>
      </c>
      <c r="K60" s="89"/>
      <c r="L60" s="17">
        <f>J60+B60</f>
        <v>44455.58</v>
      </c>
    </row>
    <row r="61" spans="1:12" x14ac:dyDescent="0.2">
      <c r="A61" s="3" t="s">
        <v>198</v>
      </c>
      <c r="B61" s="17">
        <f>'KY_Cost by Plant Acct P8 (REG)'!B62</f>
        <v>55918.829999999994</v>
      </c>
      <c r="C61" s="89"/>
      <c r="D61" s="17">
        <f>'KY_Cost by Plant Acct P8 (REG)'!D62</f>
        <v>0</v>
      </c>
      <c r="E61" s="89"/>
      <c r="F61" s="17">
        <f>'KY_Cost by Plant Acct P8 (REG)'!F62</f>
        <v>0</v>
      </c>
      <c r="G61" s="89"/>
      <c r="H61" s="17">
        <f>'KY_Cost by Plant Acct P8 (REG)'!H62</f>
        <v>0</v>
      </c>
      <c r="I61" s="89"/>
      <c r="J61" s="17">
        <f>H61+F61+D61</f>
        <v>0</v>
      </c>
      <c r="K61" s="89"/>
      <c r="L61" s="17">
        <f>J61+B61</f>
        <v>55918.829999999994</v>
      </c>
    </row>
    <row r="62" spans="1:12" x14ac:dyDescent="0.2">
      <c r="A62" s="3" t="s">
        <v>199</v>
      </c>
      <c r="B62" s="17">
        <f>'KY_Cost by Plant Acct P8 (REG)'!B63</f>
        <v>40521476.659999996</v>
      </c>
      <c r="C62" s="89"/>
      <c r="D62" s="17">
        <f>'KY_Cost by Plant Acct P8 (REG)'!D63</f>
        <v>14107204.210000001</v>
      </c>
      <c r="E62" s="89"/>
      <c r="F62" s="17">
        <f>'KY_Cost by Plant Acct P8 (REG)'!F63</f>
        <v>-5795318.9000000004</v>
      </c>
      <c r="G62" s="89"/>
      <c r="H62" s="17">
        <f>'KY_Cost by Plant Acct P8 (REG)'!H63</f>
        <v>0</v>
      </c>
      <c r="I62" s="89"/>
      <c r="J62" s="17">
        <f>H62+F62+D62</f>
        <v>8311885.3100000005</v>
      </c>
      <c r="K62" s="89"/>
      <c r="L62" s="17">
        <f>J62+B62</f>
        <v>48833361.969999999</v>
      </c>
    </row>
    <row r="63" spans="1:12" x14ac:dyDescent="0.2">
      <c r="A63" s="3" t="s">
        <v>200</v>
      </c>
      <c r="B63" s="16">
        <f>'KY_Cost by Plant Acct P8 (REG)'!B64</f>
        <v>41045494.530000001</v>
      </c>
      <c r="C63" s="89"/>
      <c r="D63" s="16">
        <f>'KY_Cost by Plant Acct P8 (REG)'!D64</f>
        <v>0</v>
      </c>
      <c r="E63" s="89"/>
      <c r="F63" s="16">
        <f>'KY_Cost by Plant Acct P8 (REG)'!F64</f>
        <v>0</v>
      </c>
      <c r="G63" s="89"/>
      <c r="H63" s="16">
        <f>'KY_Cost by Plant Acct P8 (REG)'!H64</f>
        <v>0</v>
      </c>
      <c r="I63" s="89"/>
      <c r="J63" s="16">
        <f>H63+F63+D63</f>
        <v>0</v>
      </c>
      <c r="K63" s="89"/>
      <c r="L63" s="16">
        <f>J63+B63</f>
        <v>41045494.530000001</v>
      </c>
    </row>
    <row r="64" spans="1:12" x14ac:dyDescent="0.2">
      <c r="B64" s="17">
        <f>SUM(B60:B63)</f>
        <v>81667345.599999994</v>
      </c>
      <c r="C64" s="89"/>
      <c r="D64" s="17">
        <f>SUM(D60:D63)</f>
        <v>14107204.210000001</v>
      </c>
      <c r="E64" s="89"/>
      <c r="F64" s="17">
        <f>SUM(F60:F63)</f>
        <v>-5795318.9000000004</v>
      </c>
      <c r="G64" s="89"/>
      <c r="H64" s="17">
        <f>SUM(H60:H63)</f>
        <v>0</v>
      </c>
      <c r="I64" s="89"/>
      <c r="J64" s="17">
        <f>SUM(J60:J63)</f>
        <v>8311885.3100000005</v>
      </c>
      <c r="K64" s="89"/>
      <c r="L64" s="17">
        <f>SUM(L60:L63)</f>
        <v>89979230.909999996</v>
      </c>
    </row>
    <row r="65" spans="1:12" x14ac:dyDescent="0.2">
      <c r="B65" s="17"/>
      <c r="C65" s="89"/>
      <c r="D65" s="17"/>
      <c r="E65" s="89"/>
      <c r="F65" s="17"/>
      <c r="G65" s="89"/>
      <c r="H65" s="17"/>
      <c r="I65" s="89"/>
      <c r="J65" s="17"/>
      <c r="K65" s="89"/>
      <c r="L65" s="17"/>
    </row>
    <row r="66" spans="1:12" x14ac:dyDescent="0.2">
      <c r="A66" s="12" t="s">
        <v>16</v>
      </c>
      <c r="B66" s="17"/>
      <c r="C66" s="89"/>
      <c r="D66" s="17"/>
      <c r="E66" s="89"/>
      <c r="F66" s="17"/>
      <c r="G66" s="89"/>
      <c r="H66" s="17"/>
      <c r="I66" s="89"/>
      <c r="J66" s="17"/>
      <c r="K66" s="89"/>
      <c r="L66" s="17"/>
    </row>
    <row r="67" spans="1:12" x14ac:dyDescent="0.2">
      <c r="A67" s="3" t="s">
        <v>202</v>
      </c>
      <c r="B67" s="17">
        <f>'KY_Cost by Plant Acct P8 (REG)'!B68</f>
        <v>176409.31</v>
      </c>
      <c r="C67" s="89"/>
      <c r="D67" s="17">
        <f>'KY_Cost by Plant Acct P8 (REG)'!D68</f>
        <v>0</v>
      </c>
      <c r="E67" s="89"/>
      <c r="F67" s="17">
        <f>'KY_Cost by Plant Acct P8 (REG)'!F68</f>
        <v>0</v>
      </c>
      <c r="G67" s="89"/>
      <c r="H67" s="17">
        <f>'KY_Cost by Plant Acct P8 (REG)'!H68</f>
        <v>0</v>
      </c>
      <c r="I67" s="89"/>
      <c r="J67" s="17">
        <f t="shared" ref="J67:J77" si="6">H67+F67+D67</f>
        <v>0</v>
      </c>
      <c r="K67" s="89"/>
      <c r="L67" s="17">
        <f t="shared" ref="L67:L77" si="7">J67+B67</f>
        <v>176409.31</v>
      </c>
    </row>
    <row r="68" spans="1:12" x14ac:dyDescent="0.2">
      <c r="A68" s="3" t="s">
        <v>203</v>
      </c>
      <c r="B68" s="17">
        <f>'KY_Cost by Plant Acct P8 (REG)'!B69</f>
        <v>135099.01999999999</v>
      </c>
      <c r="C68" s="89"/>
      <c r="D68" s="17">
        <f>'KY_Cost by Plant Acct P8 (REG)'!D69</f>
        <v>0</v>
      </c>
      <c r="E68" s="89"/>
      <c r="F68" s="17">
        <f>'KY_Cost by Plant Acct P8 (REG)'!F69</f>
        <v>0</v>
      </c>
      <c r="G68" s="89"/>
      <c r="H68" s="17">
        <f>'KY_Cost by Plant Acct P8 (REG)'!H69</f>
        <v>162070.19</v>
      </c>
      <c r="I68" s="89"/>
      <c r="J68" s="17">
        <f t="shared" si="6"/>
        <v>162070.19</v>
      </c>
      <c r="K68" s="89"/>
      <c r="L68" s="17">
        <f t="shared" si="7"/>
        <v>297169.20999999996</v>
      </c>
    </row>
    <row r="69" spans="1:12" x14ac:dyDescent="0.2">
      <c r="A69" s="3" t="s">
        <v>204</v>
      </c>
      <c r="B69" s="17">
        <f>'KY_Cost by Plant Acct P8 (REG)'!B70</f>
        <v>35960294.000000007</v>
      </c>
      <c r="C69" s="89"/>
      <c r="D69" s="17">
        <f>'KY_Cost by Plant Acct P8 (REG)'!D70</f>
        <v>48252750.960000001</v>
      </c>
      <c r="E69" s="89"/>
      <c r="F69" s="17">
        <f>'KY_Cost by Plant Acct P8 (REG)'!F70</f>
        <v>-95642.86</v>
      </c>
      <c r="G69" s="89"/>
      <c r="H69" s="17">
        <f>'KY_Cost by Plant Acct P8 (REG)'!H70</f>
        <v>0</v>
      </c>
      <c r="I69" s="89"/>
      <c r="J69" s="17">
        <f t="shared" si="6"/>
        <v>48157108.100000001</v>
      </c>
      <c r="K69" s="89"/>
      <c r="L69" s="17">
        <f t="shared" si="7"/>
        <v>84117402.100000009</v>
      </c>
    </row>
    <row r="70" spans="1:12" x14ac:dyDescent="0.2">
      <c r="A70" s="3" t="s">
        <v>205</v>
      </c>
      <c r="B70" s="17">
        <f>'KY_Cost by Plant Acct P8 (REG)'!B71</f>
        <v>25066352.619999997</v>
      </c>
      <c r="C70" s="89"/>
      <c r="D70" s="17">
        <f>'KY_Cost by Plant Acct P8 (REG)'!D71</f>
        <v>29756564.559999999</v>
      </c>
      <c r="E70" s="89"/>
      <c r="F70" s="17">
        <f>'KY_Cost by Plant Acct P8 (REG)'!F71</f>
        <v>0</v>
      </c>
      <c r="G70" s="89"/>
      <c r="H70" s="17">
        <f>'KY_Cost by Plant Acct P8 (REG)'!H71</f>
        <v>0</v>
      </c>
      <c r="I70" s="89"/>
      <c r="J70" s="17">
        <f t="shared" si="6"/>
        <v>29756564.559999999</v>
      </c>
      <c r="K70" s="89"/>
      <c r="L70" s="17">
        <f t="shared" si="7"/>
        <v>54822917.179999992</v>
      </c>
    </row>
    <row r="71" spans="1:12" x14ac:dyDescent="0.2">
      <c r="A71" s="3" t="s">
        <v>206</v>
      </c>
      <c r="B71" s="17">
        <f>'KY_Cost by Plant Acct P8 (REG)'!B72</f>
        <v>0</v>
      </c>
      <c r="C71" s="89"/>
      <c r="D71" s="17">
        <f>'KY_Cost by Plant Acct P8 (REG)'!D72</f>
        <v>0</v>
      </c>
      <c r="E71" s="89"/>
      <c r="F71" s="17">
        <f>'KY_Cost by Plant Acct P8 (REG)'!F72</f>
        <v>0</v>
      </c>
      <c r="G71" s="89"/>
      <c r="H71" s="17">
        <f>'KY_Cost by Plant Acct P8 (REG)'!H72</f>
        <v>0</v>
      </c>
      <c r="I71" s="89"/>
      <c r="J71" s="17">
        <f t="shared" si="6"/>
        <v>0</v>
      </c>
      <c r="K71" s="89"/>
      <c r="L71" s="17">
        <f t="shared" si="7"/>
        <v>0</v>
      </c>
    </row>
    <row r="72" spans="1:12" x14ac:dyDescent="0.2">
      <c r="A72" s="3" t="s">
        <v>207</v>
      </c>
      <c r="B72" s="17">
        <f>'KY_Cost by Plant Acct P8 (REG)'!B73</f>
        <v>375881804.71999997</v>
      </c>
      <c r="C72" s="89"/>
      <c r="D72" s="17">
        <f>'KY_Cost by Plant Acct P8 (REG)'!D73</f>
        <v>263497643.53</v>
      </c>
      <c r="E72" s="89"/>
      <c r="F72" s="17">
        <f>'KY_Cost by Plant Acct P8 (REG)'!F73</f>
        <v>-85818.98</v>
      </c>
      <c r="G72" s="89"/>
      <c r="H72" s="17">
        <f>'KY_Cost by Plant Acct P8 (REG)'!H73</f>
        <v>0</v>
      </c>
      <c r="I72" s="89"/>
      <c r="J72" s="17">
        <f t="shared" si="6"/>
        <v>263411824.55000001</v>
      </c>
      <c r="K72" s="89"/>
      <c r="L72" s="17">
        <f t="shared" si="7"/>
        <v>639293629.26999998</v>
      </c>
    </row>
    <row r="73" spans="1:12" x14ac:dyDescent="0.2">
      <c r="A73" s="3" t="s">
        <v>208</v>
      </c>
      <c r="B73" s="17">
        <f>'KY_Cost by Plant Acct P8 (REG)'!B74</f>
        <v>59118733.289999999</v>
      </c>
      <c r="C73" s="89"/>
      <c r="D73" s="17">
        <f>'KY_Cost by Plant Acct P8 (REG)'!D74</f>
        <v>57987087.030000001</v>
      </c>
      <c r="E73" s="89"/>
      <c r="F73" s="17">
        <f>'KY_Cost by Plant Acct P8 (REG)'!F74</f>
        <v>-432616.31</v>
      </c>
      <c r="G73" s="89"/>
      <c r="H73" s="17">
        <f>'KY_Cost by Plant Acct P8 (REG)'!H74</f>
        <v>0</v>
      </c>
      <c r="I73" s="89"/>
      <c r="J73" s="17">
        <f t="shared" si="6"/>
        <v>57554470.719999999</v>
      </c>
      <c r="K73" s="89"/>
      <c r="L73" s="17">
        <f t="shared" si="7"/>
        <v>116673204.00999999</v>
      </c>
    </row>
    <row r="74" spans="1:12" x14ac:dyDescent="0.2">
      <c r="A74" s="3" t="s">
        <v>209</v>
      </c>
      <c r="B74" s="17">
        <f>'KY_Cost by Plant Acct P8 (REG)'!B75</f>
        <v>46764572.86999999</v>
      </c>
      <c r="C74" s="89"/>
      <c r="D74" s="17">
        <f>'KY_Cost by Plant Acct P8 (REG)'!D75</f>
        <v>18990740.93</v>
      </c>
      <c r="E74" s="89"/>
      <c r="F74" s="17">
        <f>'KY_Cost by Plant Acct P8 (REG)'!F75</f>
        <v>-115501.18</v>
      </c>
      <c r="G74" s="89"/>
      <c r="H74" s="17">
        <f>'KY_Cost by Plant Acct P8 (REG)'!H75</f>
        <v>0</v>
      </c>
      <c r="I74" s="89"/>
      <c r="J74" s="17">
        <f t="shared" si="6"/>
        <v>18875239.75</v>
      </c>
      <c r="K74" s="89"/>
      <c r="L74" s="17">
        <f t="shared" si="7"/>
        <v>65639812.61999999</v>
      </c>
    </row>
    <row r="75" spans="1:12" x14ac:dyDescent="0.2">
      <c r="A75" s="3" t="s">
        <v>210</v>
      </c>
      <c r="B75" s="17">
        <f>'KY_Cost by Plant Acct P8 (REG)'!B76</f>
        <v>0</v>
      </c>
      <c r="C75" s="89"/>
      <c r="D75" s="17">
        <f>'KY_Cost by Plant Acct P8 (REG)'!D76</f>
        <v>0</v>
      </c>
      <c r="E75" s="89"/>
      <c r="F75" s="17">
        <f>'KY_Cost by Plant Acct P8 (REG)'!F76</f>
        <v>0</v>
      </c>
      <c r="G75" s="89"/>
      <c r="H75" s="17">
        <f>'KY_Cost by Plant Acct P8 (REG)'!H76</f>
        <v>0</v>
      </c>
      <c r="I75" s="89"/>
      <c r="J75" s="17">
        <f t="shared" si="6"/>
        <v>0</v>
      </c>
      <c r="K75" s="89"/>
      <c r="L75" s="17">
        <f t="shared" si="7"/>
        <v>0</v>
      </c>
    </row>
    <row r="76" spans="1:12" x14ac:dyDescent="0.2">
      <c r="A76" s="3" t="s">
        <v>211</v>
      </c>
      <c r="B76" s="17">
        <f>'KY_Cost by Plant Acct P8 (REG)'!B77</f>
        <v>5510229.8299999991</v>
      </c>
      <c r="C76" s="89"/>
      <c r="D76" s="17">
        <f>'KY_Cost by Plant Acct P8 (REG)'!D77</f>
        <v>3182054.65</v>
      </c>
      <c r="E76" s="89"/>
      <c r="F76" s="17">
        <f>'KY_Cost by Plant Acct P8 (REG)'!F77</f>
        <v>-114855.08</v>
      </c>
      <c r="G76" s="89"/>
      <c r="H76" s="17">
        <f>'KY_Cost by Plant Acct P8 (REG)'!H77</f>
        <v>0</v>
      </c>
      <c r="I76" s="89"/>
      <c r="J76" s="17">
        <f t="shared" si="6"/>
        <v>3067199.57</v>
      </c>
      <c r="K76" s="89"/>
      <c r="L76" s="17">
        <f t="shared" si="7"/>
        <v>8577429.3999999985</v>
      </c>
    </row>
    <row r="77" spans="1:12" x14ac:dyDescent="0.2">
      <c r="A77" s="3" t="s">
        <v>212</v>
      </c>
      <c r="B77" s="16">
        <f>'KY_Cost by Plant Acct P8 (REG)'!B78</f>
        <v>403344.09</v>
      </c>
      <c r="C77" s="89"/>
      <c r="D77" s="16">
        <f>'KY_Cost by Plant Acct P8 (REG)'!D78</f>
        <v>0</v>
      </c>
      <c r="E77" s="89"/>
      <c r="F77" s="16">
        <f>'KY_Cost by Plant Acct P8 (REG)'!F78</f>
        <v>0</v>
      </c>
      <c r="G77" s="89"/>
      <c r="H77" s="16">
        <f>'KY_Cost by Plant Acct P8 (REG)'!H78</f>
        <v>0</v>
      </c>
      <c r="I77" s="89"/>
      <c r="J77" s="16">
        <f t="shared" si="6"/>
        <v>0</v>
      </c>
      <c r="K77" s="89"/>
      <c r="L77" s="16">
        <f t="shared" si="7"/>
        <v>403344.09</v>
      </c>
    </row>
    <row r="78" spans="1:12" x14ac:dyDescent="0.2">
      <c r="B78" s="17">
        <f>SUM(B67:B77)</f>
        <v>549016839.75</v>
      </c>
      <c r="C78" s="89"/>
      <c r="D78" s="17">
        <f>SUM(D67:D77)</f>
        <v>421666841.66000003</v>
      </c>
      <c r="E78" s="89"/>
      <c r="F78" s="17">
        <f>SUM(F67:F77)</f>
        <v>-844434.41</v>
      </c>
      <c r="G78" s="89"/>
      <c r="H78" s="17">
        <f>SUM(H67:H77)</f>
        <v>162070.19</v>
      </c>
      <c r="I78" s="89"/>
      <c r="J78" s="17">
        <f>SUM(J67:J77)</f>
        <v>420984477.44</v>
      </c>
      <c r="K78" s="89"/>
      <c r="L78" s="17">
        <f>SUM(L67:L77)</f>
        <v>970001317.18999994</v>
      </c>
    </row>
    <row r="79" spans="1:12" x14ac:dyDescent="0.2">
      <c r="B79" s="17"/>
      <c r="C79" s="89"/>
      <c r="D79" s="17"/>
      <c r="E79" s="89"/>
      <c r="F79" s="17"/>
      <c r="G79" s="89"/>
      <c r="H79" s="17"/>
      <c r="I79" s="89"/>
      <c r="J79" s="17"/>
      <c r="K79" s="89"/>
      <c r="L79" s="17"/>
    </row>
    <row r="80" spans="1:12" x14ac:dyDescent="0.2">
      <c r="A80" s="12" t="s">
        <v>17</v>
      </c>
      <c r="C80" s="88"/>
      <c r="E80" s="88"/>
      <c r="G80" s="88"/>
      <c r="I80" s="88"/>
      <c r="K80" s="88"/>
    </row>
    <row r="81" spans="1:12" x14ac:dyDescent="0.2">
      <c r="A81" s="3" t="s">
        <v>214</v>
      </c>
      <c r="B81" s="14">
        <f>'KY_Cost by Plant Acct P8 (REG)'!B82</f>
        <v>12551905.149999999</v>
      </c>
      <c r="C81" s="88"/>
      <c r="D81" s="14">
        <f>'KY_Cost by Plant Acct P8 (REG)'!D82</f>
        <v>0</v>
      </c>
      <c r="E81" s="88"/>
      <c r="F81" s="14">
        <f>'KY_Cost by Plant Acct P8 (REG)'!F82</f>
        <v>0</v>
      </c>
      <c r="G81" s="88"/>
      <c r="H81" s="14">
        <f>'KY_Cost by Plant Acct P8 (REG)'!H82</f>
        <v>-265688.83999999997</v>
      </c>
      <c r="I81" s="88"/>
      <c r="J81" s="14">
        <f t="shared" ref="J81:J92" si="8">H81+F81+D81</f>
        <v>-265688.83999999997</v>
      </c>
      <c r="K81" s="88"/>
      <c r="L81" s="14">
        <f t="shared" ref="L81:L92" si="9">J81+B81</f>
        <v>12286216.309999999</v>
      </c>
    </row>
    <row r="82" spans="1:12" x14ac:dyDescent="0.2">
      <c r="A82" s="3" t="s">
        <v>215</v>
      </c>
      <c r="B82" s="14">
        <f>'KY_Cost by Plant Acct P8 (REG)'!B83</f>
        <v>322230556.84000003</v>
      </c>
      <c r="C82" s="88"/>
      <c r="D82" s="14">
        <f>'KY_Cost by Plant Acct P8 (REG)'!D83</f>
        <v>4553485.3499999996</v>
      </c>
      <c r="E82" s="88"/>
      <c r="F82" s="14">
        <f>'KY_Cost by Plant Acct P8 (REG)'!F83</f>
        <v>-917939.39</v>
      </c>
      <c r="G82" s="88"/>
      <c r="H82" s="14">
        <f>'KY_Cost by Plant Acct P8 (REG)'!H83</f>
        <v>-4924909.4000000004</v>
      </c>
      <c r="I82" s="88"/>
      <c r="J82" s="14">
        <f t="shared" si="8"/>
        <v>-1289363.4400000004</v>
      </c>
      <c r="K82" s="88"/>
      <c r="L82" s="14">
        <f t="shared" si="9"/>
        <v>320941193.40000004</v>
      </c>
    </row>
    <row r="83" spans="1:12" x14ac:dyDescent="0.2">
      <c r="A83" s="3" t="s">
        <v>216</v>
      </c>
      <c r="B83" s="14">
        <f>'KY_Cost by Plant Acct P8 (REG)'!B84</f>
        <v>0</v>
      </c>
      <c r="C83" s="88"/>
      <c r="D83" s="14">
        <f>'KY_Cost by Plant Acct P8 (REG)'!D84</f>
        <v>0</v>
      </c>
      <c r="E83" s="88"/>
      <c r="F83" s="14">
        <f>'KY_Cost by Plant Acct P8 (REG)'!F84</f>
        <v>0</v>
      </c>
      <c r="G83" s="88"/>
      <c r="H83" s="14">
        <f>'KY_Cost by Plant Acct P8 (REG)'!H84</f>
        <v>0</v>
      </c>
      <c r="I83" s="88"/>
      <c r="J83" s="14">
        <f t="shared" si="8"/>
        <v>0</v>
      </c>
      <c r="K83" s="88"/>
      <c r="L83" s="14">
        <f t="shared" si="9"/>
        <v>0</v>
      </c>
    </row>
    <row r="84" spans="1:12" x14ac:dyDescent="0.2">
      <c r="A84" s="3" t="s">
        <v>217</v>
      </c>
      <c r="B84" s="14">
        <f>'KY_Cost by Plant Acct P8 (REG)'!B85</f>
        <v>2762481599.6700001</v>
      </c>
      <c r="C84" s="88"/>
      <c r="D84" s="14">
        <f>'KY_Cost by Plant Acct P8 (REG)'!D85</f>
        <v>50822482.170000002</v>
      </c>
      <c r="E84" s="88"/>
      <c r="F84" s="14">
        <f>'KY_Cost by Plant Acct P8 (REG)'!F85</f>
        <v>-10563333.779999999</v>
      </c>
      <c r="G84" s="88"/>
      <c r="H84" s="14">
        <f>'KY_Cost by Plant Acct P8 (REG)'!H85</f>
        <v>4982726.8600000003</v>
      </c>
      <c r="I84" s="88"/>
      <c r="J84" s="14">
        <f t="shared" si="8"/>
        <v>45241875.25</v>
      </c>
      <c r="K84" s="88"/>
      <c r="L84" s="14">
        <f t="shared" si="9"/>
        <v>2807723474.9200001</v>
      </c>
    </row>
    <row r="85" spans="1:12" x14ac:dyDescent="0.2">
      <c r="A85" s="3" t="s">
        <v>218</v>
      </c>
      <c r="B85" s="14">
        <f>'KY_Cost by Plant Acct P8 (REG)'!B86</f>
        <v>0</v>
      </c>
      <c r="C85" s="88"/>
      <c r="D85" s="14">
        <f>'KY_Cost by Plant Acct P8 (REG)'!D86</f>
        <v>0</v>
      </c>
      <c r="E85" s="88"/>
      <c r="F85" s="14">
        <f>'KY_Cost by Plant Acct P8 (REG)'!F86</f>
        <v>0</v>
      </c>
      <c r="G85" s="88"/>
      <c r="H85" s="14">
        <f>'KY_Cost by Plant Acct P8 (REG)'!H86</f>
        <v>0</v>
      </c>
      <c r="I85" s="88"/>
      <c r="J85" s="14">
        <f t="shared" si="8"/>
        <v>0</v>
      </c>
      <c r="K85" s="88"/>
      <c r="L85" s="14">
        <f t="shared" si="9"/>
        <v>0</v>
      </c>
    </row>
    <row r="86" spans="1:12" x14ac:dyDescent="0.2">
      <c r="A86" s="3" t="s">
        <v>219</v>
      </c>
      <c r="B86" s="14">
        <f>'KY_Cost by Plant Acct P8 (REG)'!B87</f>
        <v>323577906.63999993</v>
      </c>
      <c r="C86" s="88"/>
      <c r="D86" s="14">
        <f>'KY_Cost by Plant Acct P8 (REG)'!D87</f>
        <v>7060528.5899999999</v>
      </c>
      <c r="E86" s="88"/>
      <c r="F86" s="14">
        <f>'KY_Cost by Plant Acct P8 (REG)'!F87</f>
        <v>-513877.9</v>
      </c>
      <c r="G86" s="88"/>
      <c r="H86" s="14">
        <f>'KY_Cost by Plant Acct P8 (REG)'!H87</f>
        <v>0</v>
      </c>
      <c r="I86" s="88"/>
      <c r="J86" s="14">
        <f t="shared" si="8"/>
        <v>6546650.6899999995</v>
      </c>
      <c r="K86" s="88"/>
      <c r="L86" s="14">
        <f t="shared" si="9"/>
        <v>330124557.32999992</v>
      </c>
    </row>
    <row r="87" spans="1:12" x14ac:dyDescent="0.2">
      <c r="A87" s="3" t="s">
        <v>220</v>
      </c>
      <c r="B87" s="14">
        <f>'KY_Cost by Plant Acct P8 (REG)'!B88</f>
        <v>0</v>
      </c>
      <c r="C87" s="88"/>
      <c r="D87" s="14">
        <f>'KY_Cost by Plant Acct P8 (REG)'!D88</f>
        <v>0</v>
      </c>
      <c r="E87" s="88"/>
      <c r="F87" s="14">
        <f>'KY_Cost by Plant Acct P8 (REG)'!F88</f>
        <v>0</v>
      </c>
      <c r="G87" s="88"/>
      <c r="H87" s="14">
        <f>'KY_Cost by Plant Acct P8 (REG)'!H88</f>
        <v>0</v>
      </c>
      <c r="I87" s="88"/>
      <c r="J87" s="14">
        <f t="shared" si="8"/>
        <v>0</v>
      </c>
      <c r="K87" s="88"/>
      <c r="L87" s="14">
        <f t="shared" si="9"/>
        <v>0</v>
      </c>
    </row>
    <row r="88" spans="1:12" x14ac:dyDescent="0.2">
      <c r="A88" s="3" t="s">
        <v>221</v>
      </c>
      <c r="B88" s="14">
        <f>'KY_Cost by Plant Acct P8 (REG)'!B89</f>
        <v>210432077.97999999</v>
      </c>
      <c r="C88" s="88"/>
      <c r="D88" s="14">
        <f>'KY_Cost by Plant Acct P8 (REG)'!D89</f>
        <v>1366608.35</v>
      </c>
      <c r="E88" s="88"/>
      <c r="F88" s="14">
        <f>'KY_Cost by Plant Acct P8 (REG)'!F89</f>
        <v>-248391.82</v>
      </c>
      <c r="G88" s="88"/>
      <c r="H88" s="14">
        <f>'KY_Cost by Plant Acct P8 (REG)'!H89</f>
        <v>0</v>
      </c>
      <c r="I88" s="88"/>
      <c r="J88" s="14">
        <f t="shared" si="8"/>
        <v>1118216.53</v>
      </c>
      <c r="K88" s="88"/>
      <c r="L88" s="14">
        <f t="shared" si="9"/>
        <v>211550294.50999999</v>
      </c>
    </row>
    <row r="89" spans="1:12" x14ac:dyDescent="0.2">
      <c r="A89" s="3" t="s">
        <v>222</v>
      </c>
      <c r="B89" s="14">
        <f>'KY_Cost by Plant Acct P8 (REG)'!B90</f>
        <v>0</v>
      </c>
      <c r="C89" s="88"/>
      <c r="D89" s="14">
        <f>'KY_Cost by Plant Acct P8 (REG)'!D90</f>
        <v>0</v>
      </c>
      <c r="E89" s="88"/>
      <c r="F89" s="14">
        <f>'KY_Cost by Plant Acct P8 (REG)'!F90</f>
        <v>0</v>
      </c>
      <c r="G89" s="88"/>
      <c r="H89" s="14">
        <f>'KY_Cost by Plant Acct P8 (REG)'!H90</f>
        <v>0</v>
      </c>
      <c r="I89" s="88"/>
      <c r="J89" s="14">
        <f t="shared" si="8"/>
        <v>0</v>
      </c>
      <c r="K89" s="88"/>
      <c r="L89" s="14">
        <f t="shared" si="9"/>
        <v>0</v>
      </c>
    </row>
    <row r="90" spans="1:12" x14ac:dyDescent="0.2">
      <c r="A90" s="3" t="s">
        <v>223</v>
      </c>
      <c r="B90" s="14">
        <f>'KY_Cost by Plant Acct P8 (REG)'!B91</f>
        <v>32653132.629999999</v>
      </c>
      <c r="C90" s="88"/>
      <c r="D90" s="14">
        <f>'KY_Cost by Plant Acct P8 (REG)'!D91</f>
        <v>1637192.15</v>
      </c>
      <c r="E90" s="88"/>
      <c r="F90" s="14">
        <f>'KY_Cost by Plant Acct P8 (REG)'!F91</f>
        <v>-482747.26</v>
      </c>
      <c r="G90" s="88"/>
      <c r="H90" s="14">
        <f>'KY_Cost by Plant Acct P8 (REG)'!H91</f>
        <v>-57817.46</v>
      </c>
      <c r="I90" s="88"/>
      <c r="J90" s="14">
        <f t="shared" si="8"/>
        <v>1096627.43</v>
      </c>
      <c r="K90" s="88"/>
      <c r="L90" s="14">
        <f t="shared" si="9"/>
        <v>33749760.060000002</v>
      </c>
    </row>
    <row r="91" spans="1:12" x14ac:dyDescent="0.2">
      <c r="A91" s="3" t="s">
        <v>224</v>
      </c>
      <c r="B91" s="17">
        <f>'KY_Cost by Plant Acct P8 (REG)'!B92</f>
        <v>329221435.25999999</v>
      </c>
      <c r="C91" s="89"/>
      <c r="D91" s="17">
        <f>'KY_Cost by Plant Acct P8 (REG)'!D92</f>
        <v>0</v>
      </c>
      <c r="E91" s="89"/>
      <c r="F91" s="17">
        <f>'KY_Cost by Plant Acct P8 (REG)'!F92</f>
        <v>-2172751.56</v>
      </c>
      <c r="G91" s="89"/>
      <c r="H91" s="17">
        <f>'KY_Cost by Plant Acct P8 (REG)'!H92</f>
        <v>-299395427.20000005</v>
      </c>
      <c r="I91" s="89"/>
      <c r="J91" s="17">
        <f t="shared" si="8"/>
        <v>-301568178.76000005</v>
      </c>
      <c r="K91" s="89"/>
      <c r="L91" s="17">
        <f t="shared" si="9"/>
        <v>27653256.49999994</v>
      </c>
    </row>
    <row r="92" spans="1:12" x14ac:dyDescent="0.2">
      <c r="A92" s="3" t="s">
        <v>225</v>
      </c>
      <c r="B92" s="17">
        <f>'KY_Cost by Plant Acct P8 (REG)'!B93</f>
        <v>0</v>
      </c>
      <c r="C92" s="89"/>
      <c r="D92" s="17">
        <f>'KY_Cost by Plant Acct P8 (REG)'!D93</f>
        <v>0</v>
      </c>
      <c r="E92" s="89"/>
      <c r="F92" s="17">
        <f>'KY_Cost by Plant Acct P8 (REG)'!F93</f>
        <v>0</v>
      </c>
      <c r="G92" s="89"/>
      <c r="H92" s="17">
        <f>'KY_Cost by Plant Acct P8 (REG)'!H93</f>
        <v>220491458.15000004</v>
      </c>
      <c r="I92" s="89"/>
      <c r="J92" s="17">
        <f t="shared" si="8"/>
        <v>220491458.15000004</v>
      </c>
      <c r="K92" s="89"/>
      <c r="L92" s="17">
        <f t="shared" si="9"/>
        <v>220491458.15000004</v>
      </c>
    </row>
    <row r="93" spans="1:12" x14ac:dyDescent="0.2">
      <c r="B93" s="18">
        <f>SUM(B81:B92)</f>
        <v>3993148614.1700001</v>
      </c>
      <c r="C93" s="91"/>
      <c r="D93" s="18">
        <f>SUM(D81:D92)</f>
        <v>65440296.609999999</v>
      </c>
      <c r="E93" s="91"/>
      <c r="F93" s="18">
        <f>SUM(F81:F92)</f>
        <v>-14899041.710000001</v>
      </c>
      <c r="G93" s="91"/>
      <c r="H93" s="18">
        <f>SUM(H81:H92)</f>
        <v>-79169657.889999986</v>
      </c>
      <c r="I93" s="91"/>
      <c r="J93" s="18">
        <f>SUM(J81:J92)</f>
        <v>-28628402.99000001</v>
      </c>
      <c r="K93" s="91"/>
      <c r="L93" s="18">
        <f>SUM(L81:L92)</f>
        <v>3964520211.1800003</v>
      </c>
    </row>
    <row r="94" spans="1:12" x14ac:dyDescent="0.2">
      <c r="B94" s="17"/>
      <c r="C94" s="89"/>
      <c r="D94" s="17"/>
      <c r="E94" s="89"/>
      <c r="F94" s="17"/>
      <c r="G94" s="89"/>
      <c r="H94" s="17"/>
      <c r="I94" s="89"/>
      <c r="J94" s="17"/>
      <c r="K94" s="89"/>
      <c r="L94" s="17"/>
    </row>
    <row r="95" spans="1:12" x14ac:dyDescent="0.2">
      <c r="A95" s="12" t="s">
        <v>18</v>
      </c>
      <c r="B95" s="17"/>
      <c r="C95" s="89"/>
      <c r="D95" s="17"/>
      <c r="E95" s="89"/>
      <c r="F95" s="17"/>
      <c r="G95" s="89"/>
      <c r="H95" s="17"/>
      <c r="I95" s="89"/>
      <c r="J95" s="17"/>
      <c r="K95" s="89"/>
      <c r="L95" s="17"/>
    </row>
    <row r="96" spans="1:12" x14ac:dyDescent="0.2">
      <c r="A96" s="3" t="s">
        <v>227</v>
      </c>
      <c r="B96" s="17">
        <f>'KY_Cost by Plant Acct P8 (REG)'!B97+'TN_Cost by Plant Acct P12 (REG)'!B26+'VA_Cost by Plant Acct P10 (REG)'!B46</f>
        <v>29428995.299999997</v>
      </c>
      <c r="C96" s="89"/>
      <c r="D96" s="17">
        <f>'KY_Cost by Plant Acct P8 (REG)'!D97+'TN_Cost by Plant Acct P12 (REG)'!D26+'VA_Cost by Plant Acct P10 (REG)'!D46</f>
        <v>100844.38</v>
      </c>
      <c r="E96" s="89"/>
      <c r="F96" s="17">
        <f>'KY_Cost by Plant Acct P8 (REG)'!F97+'TN_Cost by Plant Acct P12 (REG)'!F26+'VA_Cost by Plant Acct P10 (REG)'!F46</f>
        <v>0</v>
      </c>
      <c r="G96" s="89"/>
      <c r="H96" s="17">
        <f>'KY_Cost by Plant Acct P8 (REG)'!H97+'TN_Cost by Plant Acct P12 (REG)'!H26+'VA_Cost by Plant Acct P10 (REG)'!H46</f>
        <v>0</v>
      </c>
      <c r="I96" s="89"/>
      <c r="J96" s="17">
        <f t="shared" ref="J96:J109" si="10">H96+F96+D96</f>
        <v>100844.38</v>
      </c>
      <c r="K96" s="89"/>
      <c r="L96" s="17">
        <f t="shared" ref="L96:L109" si="11">J96+B96</f>
        <v>29529839.679999996</v>
      </c>
    </row>
    <row r="97" spans="1:12" x14ac:dyDescent="0.2">
      <c r="A97" s="3" t="s">
        <v>228</v>
      </c>
      <c r="B97" s="17">
        <f>'KY_Cost by Plant Acct P8 (REG)'!B98+'VA_Cost by Plant Acct P10 (REG)'!B47</f>
        <v>2360270.0699999998</v>
      </c>
      <c r="C97" s="89"/>
      <c r="D97" s="17">
        <f>'KY_Cost by Plant Acct P8 (REG)'!D98+'VA_Cost by Plant Acct P10 (REG)'!D47</f>
        <v>0</v>
      </c>
      <c r="E97" s="89"/>
      <c r="F97" s="17">
        <f>'KY_Cost by Plant Acct P8 (REG)'!F98+'VA_Cost by Plant Acct P10 (REG)'!F47</f>
        <v>0</v>
      </c>
      <c r="G97" s="89"/>
      <c r="H97" s="17">
        <f>'KY_Cost by Plant Acct P8 (REG)'!H98+'VA_Cost by Plant Acct P10 (REG)'!H47</f>
        <v>0</v>
      </c>
      <c r="I97" s="89"/>
      <c r="J97" s="17">
        <f t="shared" si="10"/>
        <v>0</v>
      </c>
      <c r="K97" s="89"/>
      <c r="L97" s="17">
        <f t="shared" si="11"/>
        <v>2360270.0699999998</v>
      </c>
    </row>
    <row r="98" spans="1:12" x14ac:dyDescent="0.2">
      <c r="A98" s="3" t="s">
        <v>229</v>
      </c>
      <c r="B98" s="17">
        <f>'KY_Cost by Plant Acct P8 (REG)'!B99+'VA_Cost by Plant Acct P10 (REG)'!B48</f>
        <v>24909724.790000003</v>
      </c>
      <c r="C98" s="89"/>
      <c r="D98" s="17">
        <f>'KY_Cost by Plant Acct P8 (REG)'!D99+'VA_Cost by Plant Acct P10 (REG)'!D48</f>
        <v>3511510.16</v>
      </c>
      <c r="E98" s="89"/>
      <c r="F98" s="17">
        <f>'KY_Cost by Plant Acct P8 (REG)'!F99+'VA_Cost by Plant Acct P10 (REG)'!F48</f>
        <v>-173522.9</v>
      </c>
      <c r="G98" s="89"/>
      <c r="H98" s="17">
        <f>'KY_Cost by Plant Acct P8 (REG)'!H99+'VA_Cost by Plant Acct P10 (REG)'!H48</f>
        <v>-4946.97</v>
      </c>
      <c r="I98" s="89"/>
      <c r="J98" s="17">
        <f t="shared" si="10"/>
        <v>3333040.29</v>
      </c>
      <c r="K98" s="89"/>
      <c r="L98" s="17">
        <f t="shared" si="11"/>
        <v>28242765.080000002</v>
      </c>
    </row>
    <row r="99" spans="1:12" x14ac:dyDescent="0.2">
      <c r="A99" s="3" t="s">
        <v>230</v>
      </c>
      <c r="B99" s="17">
        <f>'KY_Cost by Plant Acct P8 (REG)'!B100</f>
        <v>193226.00999999992</v>
      </c>
      <c r="C99" s="89"/>
      <c r="D99" s="17">
        <f>'KY_Cost by Plant Acct P8 (REG)'!D100</f>
        <v>0</v>
      </c>
      <c r="E99" s="89"/>
      <c r="F99" s="17">
        <f>'KY_Cost by Plant Acct P8 (REG)'!F100</f>
        <v>0</v>
      </c>
      <c r="G99" s="89"/>
      <c r="H99" s="17">
        <f>'KY_Cost by Plant Acct P8 (REG)'!H100</f>
        <v>0</v>
      </c>
      <c r="I99" s="89"/>
      <c r="J99" s="17">
        <f t="shared" si="10"/>
        <v>0</v>
      </c>
      <c r="K99" s="89"/>
      <c r="L99" s="17">
        <f t="shared" si="11"/>
        <v>193226.00999999992</v>
      </c>
    </row>
    <row r="100" spans="1:12" x14ac:dyDescent="0.2">
      <c r="A100" s="3" t="s">
        <v>231</v>
      </c>
      <c r="B100" s="17">
        <f>'KY_Cost by Plant Acct P8 (REG)'!B101+'VA_Cost by Plant Acct P10 (REG)'!B49</f>
        <v>247590681.11999997</v>
      </c>
      <c r="C100" s="89"/>
      <c r="D100" s="17">
        <f>'KY_Cost by Plant Acct P8 (REG)'!D101+'VA_Cost by Plant Acct P10 (REG)'!D49</f>
        <v>15561084.720000001</v>
      </c>
      <c r="E100" s="89"/>
      <c r="F100" s="17">
        <f>'KY_Cost by Plant Acct P8 (REG)'!F101+'VA_Cost by Plant Acct P10 (REG)'!F49</f>
        <v>-2173668.85</v>
      </c>
      <c r="G100" s="89"/>
      <c r="H100" s="17">
        <f>'KY_Cost by Plant Acct P8 (REG)'!H101+'VA_Cost by Plant Acct P10 (REG)'!H49</f>
        <v>210324.99</v>
      </c>
      <c r="I100" s="89"/>
      <c r="J100" s="17">
        <f t="shared" si="10"/>
        <v>13597740.860000001</v>
      </c>
      <c r="K100" s="89"/>
      <c r="L100" s="17">
        <f t="shared" si="11"/>
        <v>261188421.97999999</v>
      </c>
    </row>
    <row r="101" spans="1:12" x14ac:dyDescent="0.2">
      <c r="A101" s="3" t="s">
        <v>232</v>
      </c>
      <c r="B101" s="17">
        <f>'KY_Cost by Plant Acct P8 (REG)'!B102</f>
        <v>0</v>
      </c>
      <c r="C101" s="89"/>
      <c r="D101" s="17">
        <f>'KY_Cost by Plant Acct P8 (REG)'!D102</f>
        <v>0</v>
      </c>
      <c r="E101" s="89"/>
      <c r="F101" s="17">
        <f>'KY_Cost by Plant Acct P8 (REG)'!F102</f>
        <v>0</v>
      </c>
      <c r="G101" s="89"/>
      <c r="H101" s="17">
        <f>'KY_Cost by Plant Acct P8 (REG)'!H102</f>
        <v>0</v>
      </c>
      <c r="I101" s="89"/>
      <c r="J101" s="17">
        <f t="shared" si="10"/>
        <v>0</v>
      </c>
      <c r="K101" s="89"/>
      <c r="L101" s="17">
        <f t="shared" si="11"/>
        <v>0</v>
      </c>
    </row>
    <row r="102" spans="1:12" x14ac:dyDescent="0.2">
      <c r="A102" s="3" t="s">
        <v>233</v>
      </c>
      <c r="B102" s="17">
        <f>'KY_Cost by Plant Acct P8 (REG)'!B103</f>
        <v>6568060.2699999996</v>
      </c>
      <c r="C102" s="89"/>
      <c r="D102" s="17">
        <f>'KY_Cost by Plant Acct P8 (REG)'!D103</f>
        <v>0</v>
      </c>
      <c r="E102" s="89"/>
      <c r="F102" s="17">
        <f>'KY_Cost by Plant Acct P8 (REG)'!F103</f>
        <v>-26900.38</v>
      </c>
      <c r="G102" s="89"/>
      <c r="H102" s="17">
        <f>'KY_Cost by Plant Acct P8 (REG)'!H103</f>
        <v>0</v>
      </c>
      <c r="I102" s="89"/>
      <c r="J102" s="17">
        <f t="shared" si="10"/>
        <v>-26900.38</v>
      </c>
      <c r="K102" s="89"/>
      <c r="L102" s="17">
        <f t="shared" si="11"/>
        <v>6541159.8899999997</v>
      </c>
    </row>
    <row r="103" spans="1:12" x14ac:dyDescent="0.2">
      <c r="A103" s="3" t="s">
        <v>234</v>
      </c>
      <c r="B103" s="17">
        <f>'KY_Cost by Plant Acct P8 (REG)'!B104+'VA_Cost by Plant Acct P10 (REG)'!B50</f>
        <v>76367425.669999987</v>
      </c>
      <c r="C103" s="89"/>
      <c r="D103" s="17">
        <f>'KY_Cost by Plant Acct P8 (REG)'!D104+'VA_Cost by Plant Acct P10 (REG)'!D50</f>
        <v>123419.3</v>
      </c>
      <c r="E103" s="89"/>
      <c r="F103" s="17">
        <f>'KY_Cost by Plant Acct P8 (REG)'!F104+'VA_Cost by Plant Acct P10 (REG)'!F50</f>
        <v>-32164.05</v>
      </c>
      <c r="G103" s="89"/>
      <c r="H103" s="17">
        <f>'KY_Cost by Plant Acct P8 (REG)'!H104+'VA_Cost by Plant Acct P10 (REG)'!H50</f>
        <v>0</v>
      </c>
      <c r="I103" s="89"/>
      <c r="J103" s="17">
        <f t="shared" si="10"/>
        <v>91255.25</v>
      </c>
      <c r="K103" s="89"/>
      <c r="L103" s="17">
        <f t="shared" si="11"/>
        <v>76458680.919999987</v>
      </c>
    </row>
    <row r="104" spans="1:12" x14ac:dyDescent="0.2">
      <c r="A104" s="3" t="s">
        <v>235</v>
      </c>
      <c r="B104" s="17">
        <f>'KY_Cost by Plant Acct P8 (REG)'!B105+'TN_Cost by Plant Acct P12 (REG)'!B27+'VA_Cost by Plant Acct P10 (REG)'!B51</f>
        <v>213788739.63000003</v>
      </c>
      <c r="C104" s="89"/>
      <c r="D104" s="17">
        <f>'KY_Cost by Plant Acct P8 (REG)'!D105+'TN_Cost by Plant Acct P12 (REG)'!D27+'VA_Cost by Plant Acct P10 (REG)'!D51</f>
        <v>24666500.739999998</v>
      </c>
      <c r="E104" s="89"/>
      <c r="F104" s="17">
        <f>'KY_Cost by Plant Acct P8 (REG)'!F105+'TN_Cost by Plant Acct P12 (REG)'!F27+'VA_Cost by Plant Acct P10 (REG)'!F51</f>
        <v>-2739978.1199999996</v>
      </c>
      <c r="G104" s="89"/>
      <c r="H104" s="17">
        <f>'KY_Cost by Plant Acct P8 (REG)'!H105+'TN_Cost by Plant Acct P12 (REG)'!H27+'VA_Cost by Plant Acct P10 (REG)'!H51</f>
        <v>-136459.46</v>
      </c>
      <c r="I104" s="89"/>
      <c r="J104" s="17">
        <f t="shared" si="10"/>
        <v>21790063.16</v>
      </c>
      <c r="K104" s="89"/>
      <c r="L104" s="17">
        <f t="shared" si="11"/>
        <v>235578802.79000002</v>
      </c>
    </row>
    <row r="105" spans="1:12" x14ac:dyDescent="0.2">
      <c r="A105" s="3" t="s">
        <v>236</v>
      </c>
      <c r="B105" s="17">
        <f>'KY_Cost by Plant Acct P8 (REG)'!B106+'TN_Cost by Plant Acct P12 (REG)'!B28+'VA_Cost by Plant Acct P10 (REG)'!B52</f>
        <v>170357664.30999997</v>
      </c>
      <c r="C105" s="89"/>
      <c r="D105" s="17">
        <f>'KY_Cost by Plant Acct P8 (REG)'!D106+'TN_Cost by Plant Acct P12 (REG)'!D28+'VA_Cost by Plant Acct P10 (REG)'!D52</f>
        <v>5578617</v>
      </c>
      <c r="E105" s="89"/>
      <c r="F105" s="17">
        <f>'KY_Cost by Plant Acct P8 (REG)'!F106+'TN_Cost by Plant Acct P12 (REG)'!F28+'VA_Cost by Plant Acct P10 (REG)'!F52</f>
        <v>-2153781.9</v>
      </c>
      <c r="G105" s="89"/>
      <c r="H105" s="17">
        <f>'KY_Cost by Plant Acct P8 (REG)'!H106+'TN_Cost by Plant Acct P12 (REG)'!H28+'VA_Cost by Plant Acct P10 (REG)'!H52</f>
        <v>0</v>
      </c>
      <c r="I105" s="89"/>
      <c r="J105" s="17">
        <f t="shared" si="10"/>
        <v>3424835.1</v>
      </c>
      <c r="K105" s="89"/>
      <c r="L105" s="17">
        <f t="shared" si="11"/>
        <v>173782499.40999997</v>
      </c>
    </row>
    <row r="106" spans="1:12" x14ac:dyDescent="0.2">
      <c r="A106" s="3" t="s">
        <v>237</v>
      </c>
      <c r="B106" s="17">
        <f>'KY_Cost by Plant Acct P8 (REG)'!B107</f>
        <v>448760.26</v>
      </c>
      <c r="C106" s="89"/>
      <c r="D106" s="17">
        <f>'KY_Cost by Plant Acct P8 (REG)'!D107</f>
        <v>0</v>
      </c>
      <c r="E106" s="89"/>
      <c r="F106" s="17">
        <f>'KY_Cost by Plant Acct P8 (REG)'!F107</f>
        <v>0</v>
      </c>
      <c r="G106" s="89"/>
      <c r="H106" s="17">
        <f>'KY_Cost by Plant Acct P8 (REG)'!H107</f>
        <v>0</v>
      </c>
      <c r="I106" s="89"/>
      <c r="J106" s="17">
        <f t="shared" si="10"/>
        <v>0</v>
      </c>
      <c r="K106" s="89"/>
      <c r="L106" s="17">
        <f t="shared" si="11"/>
        <v>448760.26</v>
      </c>
    </row>
    <row r="107" spans="1:12" x14ac:dyDescent="0.2">
      <c r="A107" s="3" t="s">
        <v>238</v>
      </c>
      <c r="B107" s="17">
        <f>'KY_Cost by Plant Acct P8 (REG)'!B108</f>
        <v>1173303.32</v>
      </c>
      <c r="C107" s="89"/>
      <c r="D107" s="17">
        <f>'KY_Cost by Plant Acct P8 (REG)'!D108</f>
        <v>1730.09</v>
      </c>
      <c r="E107" s="89"/>
      <c r="F107" s="17">
        <f>'KY_Cost by Plant Acct P8 (REG)'!F108</f>
        <v>-2412.09</v>
      </c>
      <c r="G107" s="89"/>
      <c r="H107" s="17">
        <f>'KY_Cost by Plant Acct P8 (REG)'!H108</f>
        <v>-54177.15</v>
      </c>
      <c r="I107" s="89"/>
      <c r="J107" s="17">
        <f t="shared" si="10"/>
        <v>-54859.150000000009</v>
      </c>
      <c r="K107" s="89"/>
      <c r="L107" s="17">
        <f t="shared" si="11"/>
        <v>1118444.1700000002</v>
      </c>
    </row>
    <row r="108" spans="1:12" x14ac:dyDescent="0.2">
      <c r="A108" s="3" t="s">
        <v>239</v>
      </c>
      <c r="B108" s="17">
        <f>'KY_Cost by Plant Acct P8 (REG)'!B109</f>
        <v>52117.709999999985</v>
      </c>
      <c r="C108" s="89"/>
      <c r="D108" s="17">
        <f>'KY_Cost by Plant Acct P8 (REG)'!D109</f>
        <v>0</v>
      </c>
      <c r="E108" s="89"/>
      <c r="F108" s="17">
        <f>'KY_Cost by Plant Acct P8 (REG)'!F109</f>
        <v>0</v>
      </c>
      <c r="G108" s="89"/>
      <c r="H108" s="17">
        <f>'KY_Cost by Plant Acct P8 (REG)'!H109</f>
        <v>32711.919999999998</v>
      </c>
      <c r="I108" s="89"/>
      <c r="J108" s="17">
        <f t="shared" si="10"/>
        <v>32711.919999999998</v>
      </c>
      <c r="K108" s="89"/>
      <c r="L108" s="17">
        <f t="shared" si="11"/>
        <v>84829.629999999976</v>
      </c>
    </row>
    <row r="109" spans="1:12" x14ac:dyDescent="0.2">
      <c r="A109" s="3" t="s">
        <v>240</v>
      </c>
      <c r="B109" s="16">
        <f>'KY_Cost by Plant Acct P8 (REG)'!B110</f>
        <v>361332.92</v>
      </c>
      <c r="C109" s="89"/>
      <c r="D109" s="16">
        <f>'KY_Cost by Plant Acct P8 (REG)'!D110</f>
        <v>0</v>
      </c>
      <c r="E109" s="89"/>
      <c r="F109" s="16">
        <f>'KY_Cost by Plant Acct P8 (REG)'!F110</f>
        <v>0</v>
      </c>
      <c r="G109" s="89"/>
      <c r="H109" s="16">
        <f>'KY_Cost by Plant Acct P8 (REG)'!H110</f>
        <v>122519.28</v>
      </c>
      <c r="I109" s="89"/>
      <c r="J109" s="16">
        <f t="shared" si="10"/>
        <v>122519.28</v>
      </c>
      <c r="K109" s="89"/>
      <c r="L109" s="16">
        <f t="shared" si="11"/>
        <v>483852.19999999995</v>
      </c>
    </row>
    <row r="110" spans="1:12" x14ac:dyDescent="0.2">
      <c r="B110" s="17">
        <f>SUM(B96:B109)</f>
        <v>773600301.37999988</v>
      </c>
      <c r="C110" s="89"/>
      <c r="D110" s="17">
        <f>SUM(D96:D109)</f>
        <v>49543706.390000001</v>
      </c>
      <c r="E110" s="89"/>
      <c r="F110" s="17">
        <f>SUM(F96:F109)</f>
        <v>-7302428.2899999991</v>
      </c>
      <c r="G110" s="89"/>
      <c r="H110" s="17">
        <f>SUM(H96:H109)</f>
        <v>169972.61</v>
      </c>
      <c r="I110" s="89"/>
      <c r="J110" s="17">
        <f>SUM(J96:J109)</f>
        <v>42411250.710000008</v>
      </c>
      <c r="K110" s="89"/>
      <c r="L110" s="17">
        <f>SUM(L96:L109)</f>
        <v>816011552.09000003</v>
      </c>
    </row>
    <row r="111" spans="1:12" x14ac:dyDescent="0.2">
      <c r="B111" s="17"/>
      <c r="C111" s="88"/>
      <c r="D111" s="17"/>
      <c r="E111" s="88"/>
      <c r="F111" s="17"/>
      <c r="G111" s="88"/>
      <c r="H111" s="17"/>
      <c r="I111" s="88"/>
      <c r="J111" s="17"/>
      <c r="K111" s="88"/>
      <c r="L111" s="17"/>
    </row>
    <row r="112" spans="1:12" x14ac:dyDescent="0.2">
      <c r="B112" s="17"/>
      <c r="C112" s="88"/>
      <c r="D112" s="17"/>
      <c r="E112" s="88"/>
      <c r="F112" s="17"/>
      <c r="G112" s="88"/>
      <c r="H112" s="17"/>
      <c r="I112" s="88"/>
      <c r="J112" s="17"/>
      <c r="K112" s="88"/>
      <c r="L112" s="17"/>
    </row>
    <row r="113" spans="1:13" x14ac:dyDescent="0.2">
      <c r="A113" s="12" t="s">
        <v>3244</v>
      </c>
      <c r="B113" s="31">
        <f>B110+B93+B78+B64+B57+B46+B26</f>
        <v>7232591743.9400005</v>
      </c>
      <c r="C113" s="103"/>
      <c r="D113" s="31">
        <f>D110+D93+D78+D64+D57+D46+D26</f>
        <v>646600536.25999999</v>
      </c>
      <c r="E113" s="103"/>
      <c r="F113" s="31">
        <f>F110+F93+F78+F64+F57+F46+F26</f>
        <v>-60891331.049999997</v>
      </c>
      <c r="G113" s="103"/>
      <c r="H113" s="31">
        <f>H110+H93+H78+H64+H57+H46+H26</f>
        <v>-78719772.749999985</v>
      </c>
      <c r="I113" s="103"/>
      <c r="J113" s="31">
        <f>J110+J93+J78+J64+J57+J46+J26</f>
        <v>506989432.45999992</v>
      </c>
      <c r="K113" s="103"/>
      <c r="L113" s="31">
        <f>L110+L93+L78+L64+L57+L46+L26</f>
        <v>7739581176.3999996</v>
      </c>
    </row>
    <row r="114" spans="1:13" x14ac:dyDescent="0.2">
      <c r="B114" s="17"/>
      <c r="C114" s="88"/>
      <c r="D114" s="17"/>
      <c r="E114" s="88"/>
      <c r="F114" s="17"/>
      <c r="G114" s="88"/>
      <c r="H114" s="17"/>
      <c r="I114" s="88"/>
      <c r="J114" s="17"/>
      <c r="K114" s="88"/>
      <c r="L114" s="17"/>
    </row>
    <row r="115" spans="1:13" x14ac:dyDescent="0.2">
      <c r="A115" s="12" t="s">
        <v>3245</v>
      </c>
      <c r="B115" s="19"/>
      <c r="C115" s="104"/>
      <c r="D115" s="19"/>
      <c r="E115" s="104"/>
      <c r="F115" s="19"/>
      <c r="G115" s="104"/>
      <c r="H115" s="19"/>
      <c r="I115" s="104"/>
      <c r="J115" s="19"/>
      <c r="K115" s="104"/>
      <c r="L115" s="19"/>
    </row>
    <row r="116" spans="1:13" x14ac:dyDescent="0.2">
      <c r="A116" s="12" t="s">
        <v>12</v>
      </c>
      <c r="B116" s="19"/>
      <c r="C116" s="104"/>
      <c r="D116" s="19"/>
      <c r="E116" s="104"/>
      <c r="F116" s="19"/>
      <c r="G116" s="104"/>
      <c r="H116" s="19"/>
      <c r="I116" s="104"/>
      <c r="J116" s="19"/>
      <c r="K116" s="104"/>
      <c r="L116" s="19"/>
    </row>
    <row r="117" spans="1:13" x14ac:dyDescent="0.2">
      <c r="A117" s="3" t="s">
        <v>154</v>
      </c>
      <c r="B117" s="19">
        <f>'KY_Cost by Plant Acct P8 (REG)'!B119</f>
        <v>0</v>
      </c>
      <c r="C117" s="104"/>
      <c r="D117" s="19">
        <f>'KY_Cost by Plant Acct P8 (REG)'!D119</f>
        <v>0</v>
      </c>
      <c r="E117" s="104"/>
      <c r="F117" s="19">
        <f>'KY_Cost by Plant Acct P8 (REG)'!F119</f>
        <v>0</v>
      </c>
      <c r="G117" s="104"/>
      <c r="H117" s="19">
        <f>'KY_Cost by Plant Acct P8 (REG)'!H119</f>
        <v>0</v>
      </c>
      <c r="I117" s="104"/>
      <c r="J117" s="19">
        <f t="shared" ref="J117:J128" si="12">H117+F117+D117</f>
        <v>0</v>
      </c>
      <c r="K117" s="104"/>
      <c r="L117" s="19">
        <f t="shared" ref="L117:L128" si="13">J117+B117</f>
        <v>0</v>
      </c>
    </row>
    <row r="118" spans="1:13" x14ac:dyDescent="0.2">
      <c r="A118" s="3" t="s">
        <v>155</v>
      </c>
      <c r="B118" s="19">
        <f>'KY_Cost by Plant Acct P8 (REG)'!B120+'VA_Cost by Plant Acct P10 (REG)'!B61</f>
        <v>169123.63000000003</v>
      </c>
      <c r="C118" s="104"/>
      <c r="D118" s="19">
        <f>'KY_Cost by Plant Acct P8 (REG)'!D120+'VA_Cost by Plant Acct P10 (REG)'!D61</f>
        <v>1683051.07</v>
      </c>
      <c r="E118" s="104"/>
      <c r="F118" s="19">
        <f>'KY_Cost by Plant Acct P8 (REG)'!F120</f>
        <v>0</v>
      </c>
      <c r="G118" s="104"/>
      <c r="H118" s="19">
        <f>'KY_Cost by Plant Acct P8 (REG)'!H120</f>
        <v>0</v>
      </c>
      <c r="I118" s="104"/>
      <c r="J118" s="19">
        <f t="shared" si="12"/>
        <v>1683051.07</v>
      </c>
      <c r="K118" s="104"/>
      <c r="L118" s="19">
        <f t="shared" si="13"/>
        <v>1852174.7000000002</v>
      </c>
    </row>
    <row r="119" spans="1:13" x14ac:dyDescent="0.2">
      <c r="A119" s="3" t="s">
        <v>156</v>
      </c>
      <c r="B119" s="19">
        <f>'KY_Cost by Plant Acct P8 (REG)'!B121+'VA_Cost by Plant Acct P10 (REG)'!B62+'TN_Cost by Plant Acct P12 (REG)'!B37</f>
        <v>2501826.2200000007</v>
      </c>
      <c r="C119" s="104"/>
      <c r="D119" s="106">
        <f>'KY_Cost by Plant Acct P8 (REG)'!D121+'VA_Cost by Plant Acct P10 (REG)'!D62+'TN_Cost by Plant Acct P12 (REG)'!D37</f>
        <v>9486906.2899999991</v>
      </c>
      <c r="E119" s="104"/>
      <c r="F119" s="19">
        <f>'KY_Cost by Plant Acct P8 (REG)'!F121+'VA_Cost by Plant Acct P10 (REG)'!F62+'TN_Cost by Plant Acct P12 (REG)'!F37</f>
        <v>0</v>
      </c>
      <c r="G119" s="104"/>
      <c r="H119" s="19">
        <f>'KY_Cost by Plant Acct P8 (REG)'!H121+'VA_Cost by Plant Acct P10 (REG)'!H62+'TN_Cost by Plant Acct P12 (REG)'!H37</f>
        <v>0</v>
      </c>
      <c r="I119" s="104"/>
      <c r="J119" s="19">
        <f t="shared" si="12"/>
        <v>9486906.2899999991</v>
      </c>
      <c r="K119" s="104"/>
      <c r="L119" s="19">
        <f t="shared" si="13"/>
        <v>11988732.51</v>
      </c>
    </row>
    <row r="120" spans="1:13" x14ac:dyDescent="0.2">
      <c r="A120" s="3" t="s">
        <v>157</v>
      </c>
      <c r="B120" s="19">
        <f>'KY_Cost by Plant Acct P8 (REG)'!B122+'VA_Cost by Plant Acct P10 (REG)'!B63</f>
        <v>7524951.6500000004</v>
      </c>
      <c r="C120" s="104"/>
      <c r="D120" s="19">
        <f>'KY_Cost by Plant Acct P8 (REG)'!D122+'VA_Cost by Plant Acct P10 (REG)'!D63</f>
        <v>5699270.6599999992</v>
      </c>
      <c r="E120" s="104"/>
      <c r="F120" s="19">
        <f>'KY_Cost by Plant Acct P8 (REG)'!F122+'VA_Cost by Plant Acct P10 (REG)'!F63</f>
        <v>0</v>
      </c>
      <c r="G120" s="104"/>
      <c r="H120" s="19">
        <f>'KY_Cost by Plant Acct P8 (REG)'!H122+'VA_Cost by Plant Acct P10 (REG)'!H63</f>
        <v>0</v>
      </c>
      <c r="I120" s="104"/>
      <c r="J120" s="19">
        <f t="shared" si="12"/>
        <v>5699270.6599999992</v>
      </c>
      <c r="K120" s="104"/>
      <c r="L120" s="19">
        <f t="shared" si="13"/>
        <v>13224222.309999999</v>
      </c>
    </row>
    <row r="121" spans="1:13" x14ac:dyDescent="0.2">
      <c r="A121" s="3" t="s">
        <v>158</v>
      </c>
      <c r="B121" s="19">
        <f>'KY_Cost by Plant Acct P8 (REG)'!B123+'VA_Cost by Plant Acct P10 (REG)'!B64</f>
        <v>8934478.8899999987</v>
      </c>
      <c r="C121" s="104"/>
      <c r="D121" s="19">
        <f>'KY_Cost by Plant Acct P8 (REG)'!D123+'VA_Cost by Plant Acct P10 (REG)'!D64</f>
        <v>6647921.8300000001</v>
      </c>
      <c r="E121" s="104"/>
      <c r="F121" s="19">
        <f>'KY_Cost by Plant Acct P8 (REG)'!F123+'VA_Cost by Plant Acct P10 (REG)'!F64</f>
        <v>0</v>
      </c>
      <c r="G121" s="104"/>
      <c r="H121" s="19">
        <f>'KY_Cost by Plant Acct P8 (REG)'!H123+'VA_Cost by Plant Acct P10 (REG)'!H64</f>
        <v>0</v>
      </c>
      <c r="I121" s="104"/>
      <c r="J121" s="19">
        <f t="shared" si="12"/>
        <v>6647921.8300000001</v>
      </c>
      <c r="K121" s="104"/>
      <c r="L121" s="19">
        <f t="shared" si="13"/>
        <v>15582400.719999999</v>
      </c>
    </row>
    <row r="122" spans="1:13" x14ac:dyDescent="0.2">
      <c r="A122" s="3" t="s">
        <v>159</v>
      </c>
      <c r="B122" s="19">
        <f>'KY_Cost by Plant Acct P8 (REG)'!B124+'VA_Cost by Plant Acct P10 (REG)'!B65</f>
        <v>171002.52</v>
      </c>
      <c r="C122" s="104"/>
      <c r="D122" s="19">
        <f>'KY_Cost by Plant Acct P8 (REG)'!D124+'VA_Cost by Plant Acct P10 (REG)'!D65</f>
        <v>29793.25</v>
      </c>
      <c r="E122" s="104"/>
      <c r="F122" s="19">
        <f>'KY_Cost by Plant Acct P8 (REG)'!F124+'VA_Cost by Plant Acct P10 (REG)'!F65</f>
        <v>0</v>
      </c>
      <c r="G122" s="104"/>
      <c r="H122" s="19">
        <f>'KY_Cost by Plant Acct P8 (REG)'!H124+'VA_Cost by Plant Acct P10 (REG)'!H65</f>
        <v>0</v>
      </c>
      <c r="I122" s="104"/>
      <c r="J122" s="19">
        <f t="shared" si="12"/>
        <v>29793.25</v>
      </c>
      <c r="K122" s="104"/>
      <c r="L122" s="19">
        <f t="shared" si="13"/>
        <v>200795.77</v>
      </c>
    </row>
    <row r="123" spans="1:13" x14ac:dyDescent="0.2">
      <c r="A123" s="3" t="s">
        <v>160</v>
      </c>
      <c r="B123" s="19">
        <f>'KY_Cost by Plant Acct P8 (REG)'!B125+'VA_Cost by Plant Acct P10 (REG)'!B66</f>
        <v>6260574.4199999981</v>
      </c>
      <c r="C123" s="103"/>
      <c r="D123" s="19">
        <f>'KY_Cost by Plant Acct P8 (REG)'!D125+'VA_Cost by Plant Acct P10 (REG)'!D66</f>
        <v>3012750.41</v>
      </c>
      <c r="E123" s="103"/>
      <c r="F123" s="19">
        <f>'KY_Cost by Plant Acct P8 (REG)'!F125+'VA_Cost by Plant Acct P10 (REG)'!F66</f>
        <v>0</v>
      </c>
      <c r="G123" s="103"/>
      <c r="H123" s="19">
        <f>'KY_Cost by Plant Acct P8 (REG)'!H125+'VA_Cost by Plant Acct P10 (REG)'!H66</f>
        <v>0</v>
      </c>
      <c r="I123" s="103"/>
      <c r="J123" s="26">
        <f t="shared" si="12"/>
        <v>3012750.41</v>
      </c>
      <c r="K123" s="103"/>
      <c r="L123" s="26">
        <f t="shared" si="13"/>
        <v>9273324.8299999982</v>
      </c>
      <c r="M123" s="59"/>
    </row>
    <row r="124" spans="1:13" x14ac:dyDescent="0.2">
      <c r="A124" s="3" t="s">
        <v>161</v>
      </c>
      <c r="B124" s="19">
        <f>'KY_Cost by Plant Acct P8 (REG)'!B126+'VA_Cost by Plant Acct P10 (REG)'!B67</f>
        <v>1159816.8099999994</v>
      </c>
      <c r="C124" s="103"/>
      <c r="D124" s="19">
        <f>'KY_Cost by Plant Acct P8 (REG)'!D126+'VA_Cost by Plant Acct P10 (REG)'!D67</f>
        <v>2251004.15</v>
      </c>
      <c r="E124" s="103"/>
      <c r="F124" s="19">
        <f>'KY_Cost by Plant Acct P8 (REG)'!F126+'VA_Cost by Plant Acct P10 (REG)'!F67</f>
        <v>0</v>
      </c>
      <c r="G124" s="103"/>
      <c r="H124" s="19">
        <f>'KY_Cost by Plant Acct P8 (REG)'!H126+'VA_Cost by Plant Acct P10 (REG)'!H67</f>
        <v>0</v>
      </c>
      <c r="I124" s="103"/>
      <c r="J124" s="26">
        <f t="shared" si="12"/>
        <v>2251004.15</v>
      </c>
      <c r="K124" s="103"/>
      <c r="L124" s="26">
        <f t="shared" si="13"/>
        <v>3410820.959999999</v>
      </c>
      <c r="M124" s="59"/>
    </row>
    <row r="125" spans="1:13" x14ac:dyDescent="0.2">
      <c r="A125" s="3" t="s">
        <v>162</v>
      </c>
      <c r="B125" s="19">
        <f>'KY_Cost by Plant Acct P8 (REG)'!B127+'VA_Cost by Plant Acct P10 (REG)'!B68</f>
        <v>196740.34</v>
      </c>
      <c r="C125" s="103"/>
      <c r="D125" s="19">
        <f>'KY_Cost by Plant Acct P8 (REG)'!D127+'VA_Cost by Plant Acct P10 (REG)'!D68</f>
        <v>662.89</v>
      </c>
      <c r="E125" s="103"/>
      <c r="F125" s="19">
        <f>'KY_Cost by Plant Acct P8 (REG)'!F127+'VA_Cost by Plant Acct P10 (REG)'!F68</f>
        <v>0</v>
      </c>
      <c r="G125" s="103"/>
      <c r="H125" s="19">
        <f>'KY_Cost by Plant Acct P8 (REG)'!H127+'VA_Cost by Plant Acct P10 (REG)'!H68</f>
        <v>0</v>
      </c>
      <c r="I125" s="103"/>
      <c r="J125" s="26">
        <f t="shared" si="12"/>
        <v>662.89</v>
      </c>
      <c r="K125" s="103"/>
      <c r="L125" s="26">
        <f t="shared" si="13"/>
        <v>197403.23</v>
      </c>
      <c r="M125" s="59"/>
    </row>
    <row r="126" spans="1:13" x14ac:dyDescent="0.2">
      <c r="A126" s="43" t="s">
        <v>163</v>
      </c>
      <c r="B126" s="19">
        <f>'KY_Cost by Plant Acct P8 (REG)'!B128+'VA_Cost by Plant Acct P10 (REG)'!B69</f>
        <v>556384.6</v>
      </c>
      <c r="C126" s="19">
        <f>'KY_Cost by Plant Acct P8 (REG)'!C128+'VA_Cost by Plant Acct P10 (REG)'!C69</f>
        <v>0</v>
      </c>
      <c r="D126" s="19">
        <f>'KY_Cost by Plant Acct P8 (REG)'!D128+'VA_Cost by Plant Acct P10 (REG)'!D69</f>
        <v>84122.37</v>
      </c>
      <c r="E126" s="19">
        <f>'KY_Cost by Plant Acct P8 (REG)'!E128+'VA_Cost by Plant Acct P10 (REG)'!E69</f>
        <v>0</v>
      </c>
      <c r="F126" s="19">
        <f>'KY_Cost by Plant Acct P8 (REG)'!F128+'VA_Cost by Plant Acct P10 (REG)'!F69</f>
        <v>0</v>
      </c>
      <c r="G126" s="19">
        <f>'KY_Cost by Plant Acct P8 (REG)'!G128+'VA_Cost by Plant Acct P10 (REG)'!G69</f>
        <v>0</v>
      </c>
      <c r="H126" s="19">
        <f>'KY_Cost by Plant Acct P8 (REG)'!H128+'VA_Cost by Plant Acct P10 (REG)'!H69</f>
        <v>0</v>
      </c>
      <c r="I126" s="103"/>
      <c r="J126" s="26">
        <f t="shared" si="12"/>
        <v>84122.37</v>
      </c>
      <c r="K126" s="103"/>
      <c r="L126" s="26">
        <f t="shared" si="13"/>
        <v>640506.97</v>
      </c>
      <c r="M126" s="59"/>
    </row>
    <row r="127" spans="1:13" x14ac:dyDescent="0.2">
      <c r="A127" s="43" t="s">
        <v>164</v>
      </c>
      <c r="B127" s="19">
        <f>'KY_Cost by Plant Acct P8 (REG)'!B129</f>
        <v>698893.34</v>
      </c>
      <c r="C127" s="103"/>
      <c r="D127" s="19">
        <f>'KY_Cost by Plant Acct P8 (REG)'!D129</f>
        <v>-651481.02</v>
      </c>
      <c r="E127" s="19">
        <f>'KY_Cost by Plant Acct P8 (REG)'!E129+'VA_Cost by Plant Acct P10 (REG)'!E70</f>
        <v>0</v>
      </c>
      <c r="F127" s="19">
        <f>'KY_Cost by Plant Acct P8 (REG)'!F129</f>
        <v>0</v>
      </c>
      <c r="G127" s="19">
        <f>'KY_Cost by Plant Acct P8 (REG)'!G129+'VA_Cost by Plant Acct P10 (REG)'!G70</f>
        <v>0</v>
      </c>
      <c r="H127" s="19">
        <f>'KY_Cost by Plant Acct P8 (REG)'!H129</f>
        <v>0</v>
      </c>
      <c r="I127" s="103"/>
      <c r="J127" s="26">
        <f t="shared" si="12"/>
        <v>-651481.02</v>
      </c>
      <c r="K127" s="103"/>
      <c r="L127" s="26">
        <f t="shared" si="13"/>
        <v>47412.319999999949</v>
      </c>
      <c r="M127" s="59"/>
    </row>
    <row r="128" spans="1:13" x14ac:dyDescent="0.2">
      <c r="A128" s="3" t="s">
        <v>166</v>
      </c>
      <c r="B128" s="27">
        <f>'KY_Cost by Plant Acct P8 (REG)'!B130+'VA_Cost by Plant Acct P10 (REG)'!B70</f>
        <v>2369284.8900000043</v>
      </c>
      <c r="C128" s="103"/>
      <c r="D128" s="27">
        <f>'KY_Cost by Plant Acct P8 (REG)'!D130+'VA_Cost by Plant Acct P10 (REG)'!D70</f>
        <v>3235743.24</v>
      </c>
      <c r="E128" s="103"/>
      <c r="F128" s="27">
        <f>'KY_Cost by Plant Acct P8 (REG)'!F130+'VA_Cost by Plant Acct P10 (REG)'!F70</f>
        <v>0</v>
      </c>
      <c r="G128" s="103"/>
      <c r="H128" s="27">
        <f>'KY_Cost by Plant Acct P8 (REG)'!H130+'VA_Cost by Plant Acct P10 (REG)'!H70</f>
        <v>0</v>
      </c>
      <c r="I128" s="103"/>
      <c r="J128" s="27">
        <f t="shared" si="12"/>
        <v>3235743.24</v>
      </c>
      <c r="K128" s="103"/>
      <c r="L128" s="27">
        <f t="shared" si="13"/>
        <v>5605028.1300000045</v>
      </c>
      <c r="M128" s="59"/>
    </row>
    <row r="129" spans="1:13" x14ac:dyDescent="0.2">
      <c r="B129" s="26">
        <f>SUM(B117:B128)</f>
        <v>30543077.310000002</v>
      </c>
      <c r="C129" s="103"/>
      <c r="D129" s="26">
        <f>SUM(D117:D128)</f>
        <v>31479745.140000001</v>
      </c>
      <c r="E129" s="103"/>
      <c r="F129" s="26">
        <f>SUM(F117:F128)</f>
        <v>0</v>
      </c>
      <c r="G129" s="103"/>
      <c r="H129" s="26">
        <f>SUM(H117:H128)</f>
        <v>0</v>
      </c>
      <c r="I129" s="103"/>
      <c r="J129" s="26">
        <f>SUM(J117:J128)</f>
        <v>31479745.140000001</v>
      </c>
      <c r="K129" s="103"/>
      <c r="L129" s="26">
        <f>SUM(L117:L128)</f>
        <v>62022822.449999996</v>
      </c>
      <c r="M129" s="59"/>
    </row>
    <row r="130" spans="1:13" x14ac:dyDescent="0.2">
      <c r="B130" s="26"/>
      <c r="C130" s="103"/>
      <c r="D130" s="26"/>
      <c r="E130" s="103"/>
      <c r="F130" s="26"/>
      <c r="G130" s="103"/>
      <c r="H130" s="26"/>
      <c r="I130" s="103"/>
      <c r="J130" s="26"/>
      <c r="K130" s="103"/>
      <c r="L130" s="26"/>
      <c r="M130" s="59"/>
    </row>
    <row r="131" spans="1:13" x14ac:dyDescent="0.2">
      <c r="A131" s="12" t="s">
        <v>13</v>
      </c>
      <c r="B131" s="26"/>
      <c r="C131" s="103"/>
      <c r="D131" s="26"/>
      <c r="E131" s="103"/>
      <c r="F131" s="26"/>
      <c r="G131" s="103"/>
      <c r="H131" s="26"/>
      <c r="I131" s="103"/>
      <c r="J131" s="26"/>
      <c r="K131" s="103"/>
      <c r="L131" s="26"/>
      <c r="M131" s="59"/>
    </row>
    <row r="132" spans="1:13" x14ac:dyDescent="0.2">
      <c r="A132" s="3" t="s">
        <v>171</v>
      </c>
      <c r="B132" s="26">
        <f>'KY_Cost by Plant Acct P8 (REG)'!B134+'VA_Cost by Plant Acct P10 (REG)'!B74</f>
        <v>2465097.37</v>
      </c>
      <c r="C132" s="103"/>
      <c r="D132" s="26">
        <f>'KY_Cost by Plant Acct P8 (REG)'!D134+'VA_Cost by Plant Acct P10 (REG)'!D74</f>
        <v>-1516727.68</v>
      </c>
      <c r="E132" s="103"/>
      <c r="F132" s="26">
        <f>'KY_Cost by Plant Acct P8 (REG)'!F134</f>
        <v>0</v>
      </c>
      <c r="G132" s="103"/>
      <c r="H132" s="26">
        <f>'KY_Cost by Plant Acct P8 (REG)'!H134</f>
        <v>0</v>
      </c>
      <c r="I132" s="103"/>
      <c r="J132" s="26">
        <f t="shared" ref="J132:J142" si="14">H132+F132+D132</f>
        <v>-1516727.68</v>
      </c>
      <c r="K132" s="103"/>
      <c r="L132" s="26">
        <f t="shared" ref="L132:L142" si="15">J132+B132</f>
        <v>948369.69000000018</v>
      </c>
      <c r="M132" s="59"/>
    </row>
    <row r="133" spans="1:13" x14ac:dyDescent="0.2">
      <c r="A133" s="3" t="s">
        <v>173</v>
      </c>
      <c r="B133" s="26">
        <f>'KY_Cost by Plant Acct P8 (REG)'!B135</f>
        <v>215748.85000000003</v>
      </c>
      <c r="C133" s="103"/>
      <c r="D133" s="26">
        <f>'KY_Cost by Plant Acct P8 (REG)'!D135</f>
        <v>538719.19999999995</v>
      </c>
      <c r="E133" s="103"/>
      <c r="F133" s="26">
        <f>'KY_Cost by Plant Acct P8 (REG)'!F135</f>
        <v>0</v>
      </c>
      <c r="G133" s="103"/>
      <c r="H133" s="26">
        <f>'KY_Cost by Plant Acct P8 (REG)'!H135</f>
        <v>0</v>
      </c>
      <c r="I133" s="103"/>
      <c r="J133" s="26">
        <f t="shared" si="14"/>
        <v>538719.19999999995</v>
      </c>
      <c r="K133" s="103"/>
      <c r="L133" s="26">
        <f t="shared" si="15"/>
        <v>754468.05</v>
      </c>
      <c r="M133" s="59"/>
    </row>
    <row r="134" spans="1:13" x14ac:dyDescent="0.2">
      <c r="A134" s="3" t="s">
        <v>174</v>
      </c>
      <c r="B134" s="26">
        <f>'KY_Cost by Plant Acct P8 (REG)'!B136</f>
        <v>5069982.9699999988</v>
      </c>
      <c r="C134" s="103"/>
      <c r="D134" s="26">
        <f>'KY_Cost by Plant Acct P8 (REG)'!D136</f>
        <v>-205048.39</v>
      </c>
      <c r="E134" s="103"/>
      <c r="F134" s="26">
        <f>'KY_Cost by Plant Acct P8 (REG)'!F136</f>
        <v>0</v>
      </c>
      <c r="G134" s="103"/>
      <c r="H134" s="26">
        <f>'KY_Cost by Plant Acct P8 (REG)'!H136</f>
        <v>0</v>
      </c>
      <c r="I134" s="103"/>
      <c r="J134" s="26">
        <f t="shared" si="14"/>
        <v>-205048.39</v>
      </c>
      <c r="K134" s="103"/>
      <c r="L134" s="26">
        <f t="shared" si="15"/>
        <v>4864934.5799999991</v>
      </c>
      <c r="M134" s="59"/>
    </row>
    <row r="135" spans="1:13" x14ac:dyDescent="0.2">
      <c r="A135" s="3" t="s">
        <v>175</v>
      </c>
      <c r="B135" s="26">
        <f>'KY_Cost by Plant Acct P8 (REG)'!B137</f>
        <v>0</v>
      </c>
      <c r="C135" s="103"/>
      <c r="D135" s="26">
        <f>'KY_Cost by Plant Acct P8 (REG)'!D137</f>
        <v>0</v>
      </c>
      <c r="E135" s="103"/>
      <c r="F135" s="26">
        <f>'KY_Cost by Plant Acct P8 (REG)'!F137</f>
        <v>0</v>
      </c>
      <c r="G135" s="103"/>
      <c r="H135" s="26">
        <f>'KY_Cost by Plant Acct P8 (REG)'!H137</f>
        <v>0</v>
      </c>
      <c r="I135" s="103"/>
      <c r="J135" s="26">
        <f t="shared" si="14"/>
        <v>0</v>
      </c>
      <c r="K135" s="103"/>
      <c r="L135" s="26">
        <f t="shared" si="15"/>
        <v>0</v>
      </c>
      <c r="M135" s="59"/>
    </row>
    <row r="136" spans="1:13" x14ac:dyDescent="0.2">
      <c r="A136" s="3" t="s">
        <v>176</v>
      </c>
      <c r="B136" s="26">
        <f>'KY_Cost by Plant Acct P8 (REG)'!B138</f>
        <v>1044097.87</v>
      </c>
      <c r="C136" s="103"/>
      <c r="D136" s="26">
        <f>'KY_Cost by Plant Acct P8 (REG)'!D138</f>
        <v>-986146.26</v>
      </c>
      <c r="E136" s="103"/>
      <c r="F136" s="26">
        <f>'KY_Cost by Plant Acct P8 (REG)'!F138</f>
        <v>0</v>
      </c>
      <c r="G136" s="103"/>
      <c r="H136" s="26">
        <f>'KY_Cost by Plant Acct P8 (REG)'!H138</f>
        <v>0</v>
      </c>
      <c r="I136" s="103"/>
      <c r="J136" s="26">
        <f t="shared" si="14"/>
        <v>-986146.26</v>
      </c>
      <c r="K136" s="103"/>
      <c r="L136" s="26">
        <f t="shared" si="15"/>
        <v>57951.609999999986</v>
      </c>
      <c r="M136" s="59"/>
    </row>
    <row r="137" spans="1:13" x14ac:dyDescent="0.2">
      <c r="A137" s="3" t="s">
        <v>179</v>
      </c>
      <c r="B137" s="26">
        <f>'KY_Cost by Plant Acct P8 (REG)'!B139</f>
        <v>598593.69999999995</v>
      </c>
      <c r="C137" s="103"/>
      <c r="D137" s="26">
        <f>'KY_Cost by Plant Acct P8 (REG)'!D139</f>
        <v>-598593.69999999995</v>
      </c>
      <c r="E137" s="103"/>
      <c r="F137" s="26">
        <f>'KY_Cost by Plant Acct P8 (REG)'!F139</f>
        <v>0</v>
      </c>
      <c r="G137" s="103"/>
      <c r="H137" s="26">
        <f>'KY_Cost by Plant Acct P8 (REG)'!H139</f>
        <v>0</v>
      </c>
      <c r="I137" s="103"/>
      <c r="J137" s="26">
        <f t="shared" si="14"/>
        <v>-598593.69999999995</v>
      </c>
      <c r="K137" s="103"/>
      <c r="L137" s="26">
        <f t="shared" si="15"/>
        <v>0</v>
      </c>
      <c r="M137" s="59"/>
    </row>
    <row r="138" spans="1:13" x14ac:dyDescent="0.2">
      <c r="A138" s="3" t="s">
        <v>180</v>
      </c>
      <c r="B138" s="26">
        <f>'KY_Cost by Plant Acct P8 (REG)'!B140+'VA_Cost by Plant Acct P10 (REG)'!B75</f>
        <v>404833.66000000003</v>
      </c>
      <c r="C138" s="103"/>
      <c r="D138" s="26">
        <f>'KY_Cost by Plant Acct P8 (REG)'!D140+'VA_Cost by Plant Acct P10 (REG)'!D75</f>
        <v>-151592.46</v>
      </c>
      <c r="E138" s="103"/>
      <c r="F138" s="26">
        <f>'KY_Cost by Plant Acct P8 (REG)'!F140+'VA_Cost by Plant Acct P10 (REG)'!F75</f>
        <v>0</v>
      </c>
      <c r="G138" s="103"/>
      <c r="H138" s="26">
        <f>'KY_Cost by Plant Acct P8 (REG)'!H140+'VA_Cost by Plant Acct P10 (REG)'!H75</f>
        <v>0</v>
      </c>
      <c r="I138" s="103"/>
      <c r="J138" s="26">
        <f t="shared" si="14"/>
        <v>-151592.46</v>
      </c>
      <c r="K138" s="103"/>
      <c r="L138" s="26">
        <f t="shared" si="15"/>
        <v>253241.20000000004</v>
      </c>
      <c r="M138" s="59"/>
    </row>
    <row r="139" spans="1:13" x14ac:dyDescent="0.2">
      <c r="A139" s="43" t="s">
        <v>3238</v>
      </c>
      <c r="B139" s="26">
        <f>'VA_Cost by Plant Acct P10 (REG)'!B76+'KY_Cost by Plant Acct P8 (REG)'!B141</f>
        <v>14685.68</v>
      </c>
      <c r="C139" s="103"/>
      <c r="D139" s="26">
        <f>'VA_Cost by Plant Acct P10 (REG)'!D76+'KY_Cost by Plant Acct P8 (REG)'!D141</f>
        <v>-14685.68</v>
      </c>
      <c r="E139" s="103"/>
      <c r="F139" s="26">
        <f>'VA_Cost by Plant Acct P10 (REG)'!F76</f>
        <v>0</v>
      </c>
      <c r="G139" s="103"/>
      <c r="H139" s="26">
        <f>'VA_Cost by Plant Acct P10 (REG)'!H76</f>
        <v>0</v>
      </c>
      <c r="I139" s="103"/>
      <c r="J139" s="26">
        <f t="shared" si="14"/>
        <v>-14685.68</v>
      </c>
      <c r="K139" s="103"/>
      <c r="L139" s="26">
        <f t="shared" si="15"/>
        <v>0</v>
      </c>
      <c r="M139" s="59"/>
    </row>
    <row r="140" spans="1:13" x14ac:dyDescent="0.2">
      <c r="A140" s="43" t="s">
        <v>183</v>
      </c>
      <c r="B140" s="26">
        <f>'KY_Cost by Plant Acct P8 (REG)'!B142</f>
        <v>805957.33999999985</v>
      </c>
      <c r="C140" s="103"/>
      <c r="D140" s="26">
        <f>'KY_Cost by Plant Acct P8 (REG)'!D142+'VA_Cost by Plant Acct P10 (REG)'!D77</f>
        <v>2025269.89</v>
      </c>
      <c r="E140" s="103"/>
      <c r="F140" s="26">
        <f>'KY_Cost by Plant Acct P8 (REG)'!F142</f>
        <v>0</v>
      </c>
      <c r="G140" s="103"/>
      <c r="H140" s="26">
        <f>'KY_Cost by Plant Acct P8 (REG)'!H142</f>
        <v>0</v>
      </c>
      <c r="I140" s="103"/>
      <c r="J140" s="26">
        <f t="shared" si="14"/>
        <v>2025269.89</v>
      </c>
      <c r="K140" s="103"/>
      <c r="L140" s="26">
        <f t="shared" si="15"/>
        <v>2831227.2299999995</v>
      </c>
      <c r="M140" s="59"/>
    </row>
    <row r="141" spans="1:13" x14ac:dyDescent="0.2">
      <c r="A141" s="43" t="s">
        <v>184</v>
      </c>
      <c r="B141" s="26">
        <f>'KY_Cost by Plant Acct P8 (REG)'!B143</f>
        <v>2752874.88</v>
      </c>
      <c r="C141" s="103"/>
      <c r="D141" s="26">
        <f>'KY_Cost by Plant Acct P8 (REG)'!D143+'VA_Cost by Plant Acct P10 (REG)'!D78</f>
        <v>-1929306.6</v>
      </c>
      <c r="E141" s="103"/>
      <c r="F141" s="26">
        <f>'KY_Cost by Plant Acct P8 (REG)'!F143</f>
        <v>0</v>
      </c>
      <c r="G141" s="103"/>
      <c r="H141" s="26">
        <f>'KY_Cost by Plant Acct P8 (REG)'!H143</f>
        <v>0</v>
      </c>
      <c r="I141" s="103"/>
      <c r="J141" s="26">
        <f t="shared" si="14"/>
        <v>-1929306.6</v>
      </c>
      <c r="K141" s="103"/>
      <c r="L141" s="26">
        <f>J141+B141</f>
        <v>823568.2799999998</v>
      </c>
      <c r="M141" s="59"/>
    </row>
    <row r="142" spans="1:13" x14ac:dyDescent="0.2">
      <c r="A142" s="3" t="s">
        <v>3246</v>
      </c>
      <c r="B142" s="26">
        <f>'KY_Cost by Plant Acct P8 (REG)'!B144</f>
        <v>260815.19</v>
      </c>
      <c r="C142" s="103"/>
      <c r="D142" s="26">
        <f>'KY_Cost by Plant Acct P8 (REG)'!D144</f>
        <v>-97585.56</v>
      </c>
      <c r="E142" s="103"/>
      <c r="F142" s="26">
        <f>'KY_Cost by Plant Acct P8 (REG)'!F144</f>
        <v>0</v>
      </c>
      <c r="G142" s="103"/>
      <c r="H142" s="26">
        <f>'KY_Cost by Plant Acct P8 (REG)'!H144</f>
        <v>0</v>
      </c>
      <c r="I142" s="103"/>
      <c r="J142" s="26">
        <f t="shared" si="14"/>
        <v>-97585.56</v>
      </c>
      <c r="K142" s="103"/>
      <c r="L142" s="26">
        <f t="shared" si="15"/>
        <v>163229.63</v>
      </c>
      <c r="M142" s="59"/>
    </row>
    <row r="143" spans="1:13" x14ac:dyDescent="0.2">
      <c r="B143" s="32">
        <f>SUM(B132:B142)</f>
        <v>13632687.509999996</v>
      </c>
      <c r="C143" s="103"/>
      <c r="D143" s="32">
        <f>SUM(D132:D142)</f>
        <v>-2935697.2400000007</v>
      </c>
      <c r="E143" s="103"/>
      <c r="F143" s="32">
        <f>SUM(F132:F142)</f>
        <v>0</v>
      </c>
      <c r="G143" s="103"/>
      <c r="H143" s="32">
        <f>SUM(H132:H142)</f>
        <v>0</v>
      </c>
      <c r="I143" s="103"/>
      <c r="J143" s="32">
        <f>SUM(J132:J142)</f>
        <v>-2935697.2400000007</v>
      </c>
      <c r="K143" s="103"/>
      <c r="L143" s="32">
        <f>SUM(L132:L142)</f>
        <v>10696990.27</v>
      </c>
      <c r="M143" s="59"/>
    </row>
    <row r="144" spans="1:13" x14ac:dyDescent="0.2">
      <c r="B144" s="26"/>
      <c r="C144" s="103"/>
      <c r="D144" s="26"/>
      <c r="E144" s="103"/>
      <c r="F144" s="26"/>
      <c r="G144" s="103"/>
      <c r="H144" s="26"/>
      <c r="I144" s="103"/>
      <c r="J144" s="26"/>
      <c r="K144" s="103"/>
      <c r="L144" s="26"/>
      <c r="M144" s="59"/>
    </row>
    <row r="145" spans="1:13" x14ac:dyDescent="0.2">
      <c r="A145" s="12" t="s">
        <v>14</v>
      </c>
      <c r="B145" s="19"/>
      <c r="C145" s="104"/>
      <c r="D145" s="19"/>
      <c r="E145" s="104"/>
      <c r="F145" s="19"/>
      <c r="G145" s="104"/>
      <c r="H145" s="19"/>
      <c r="I145" s="104"/>
      <c r="J145" s="19"/>
      <c r="K145" s="104"/>
      <c r="L145" s="19"/>
    </row>
    <row r="146" spans="1:13" x14ac:dyDescent="0.2">
      <c r="A146" s="3" t="s">
        <v>189</v>
      </c>
      <c r="B146" s="19">
        <f>'KY_Cost by Plant Acct P8 (REG)'!B148</f>
        <v>0</v>
      </c>
      <c r="C146" s="104"/>
      <c r="D146" s="19">
        <f>'KY_Cost by Plant Acct P8 (REG)'!D148</f>
        <v>0</v>
      </c>
      <c r="E146" s="104"/>
      <c r="F146" s="19">
        <f>'KY_Cost by Plant Acct P8 (REG)'!F148</f>
        <v>0</v>
      </c>
      <c r="G146" s="104"/>
      <c r="H146" s="19">
        <f>'KY_Cost by Plant Acct P8 (REG)'!H148</f>
        <v>0</v>
      </c>
      <c r="I146" s="104"/>
      <c r="J146" s="26">
        <f t="shared" ref="J146:J151" si="16">H146+F146+D146</f>
        <v>0</v>
      </c>
      <c r="K146" s="104"/>
      <c r="L146" s="19">
        <f t="shared" ref="L146:L151" si="17">J146+B146</f>
        <v>0</v>
      </c>
    </row>
    <row r="147" spans="1:13" x14ac:dyDescent="0.2">
      <c r="A147" s="3" t="s">
        <v>190</v>
      </c>
      <c r="B147" s="19">
        <f>'KY_Cost by Plant Acct P8 (REG)'!B149</f>
        <v>34972.15</v>
      </c>
      <c r="C147" s="104"/>
      <c r="D147" s="19">
        <f>'KY_Cost by Plant Acct P8 (REG)'!D149</f>
        <v>-34972.15</v>
      </c>
      <c r="E147" s="104"/>
      <c r="F147" s="19">
        <f>'KY_Cost by Plant Acct P8 (REG)'!F149</f>
        <v>0</v>
      </c>
      <c r="G147" s="104"/>
      <c r="H147" s="19">
        <f>'KY_Cost by Plant Acct P8 (REG)'!H149</f>
        <v>0</v>
      </c>
      <c r="I147" s="104"/>
      <c r="J147" s="26">
        <f t="shared" si="16"/>
        <v>-34972.15</v>
      </c>
      <c r="K147" s="104"/>
      <c r="L147" s="19">
        <f t="shared" si="17"/>
        <v>0</v>
      </c>
    </row>
    <row r="148" spans="1:13" x14ac:dyDescent="0.2">
      <c r="A148" s="3" t="s">
        <v>191</v>
      </c>
      <c r="B148" s="19">
        <f>'KY_Cost by Plant Acct P8 (REG)'!B150</f>
        <v>326392.84000000078</v>
      </c>
      <c r="C148" s="104"/>
      <c r="D148" s="19">
        <f>'KY_Cost by Plant Acct P8 (REG)'!D150</f>
        <v>-326392.84000000003</v>
      </c>
      <c r="E148" s="104"/>
      <c r="F148" s="19">
        <f>'KY_Cost by Plant Acct P8 (REG)'!F150</f>
        <v>0</v>
      </c>
      <c r="G148" s="104"/>
      <c r="H148" s="19">
        <f>'KY_Cost by Plant Acct P8 (REG)'!H150</f>
        <v>0</v>
      </c>
      <c r="I148" s="104"/>
      <c r="J148" s="26">
        <f t="shared" si="16"/>
        <v>-326392.84000000003</v>
      </c>
      <c r="K148" s="104"/>
      <c r="L148" s="19">
        <f t="shared" si="17"/>
        <v>7.5669959187507629E-10</v>
      </c>
    </row>
    <row r="149" spans="1:13" x14ac:dyDescent="0.2">
      <c r="A149" s="3" t="s">
        <v>3247</v>
      </c>
      <c r="B149" s="19">
        <f>'KY_Cost by Plant Acct P8 (REG)'!B151</f>
        <v>0</v>
      </c>
      <c r="C149" s="104"/>
      <c r="D149" s="19">
        <f>'KY_Cost by Plant Acct P8 (REG)'!D151</f>
        <v>0</v>
      </c>
      <c r="E149" s="104"/>
      <c r="F149" s="19">
        <v>0</v>
      </c>
      <c r="G149" s="104"/>
      <c r="H149" s="19">
        <v>0</v>
      </c>
      <c r="I149" s="104"/>
      <c r="J149" s="26">
        <f t="shared" si="16"/>
        <v>0</v>
      </c>
      <c r="K149" s="104"/>
      <c r="L149" s="19">
        <f t="shared" si="17"/>
        <v>0</v>
      </c>
    </row>
    <row r="150" spans="1:13" x14ac:dyDescent="0.2">
      <c r="A150" s="3" t="s">
        <v>193</v>
      </c>
      <c r="B150" s="19">
        <v>0</v>
      </c>
      <c r="C150" s="104"/>
      <c r="D150" s="19">
        <f>'KY_Cost by Plant Acct P8 (REG)'!D152</f>
        <v>0</v>
      </c>
      <c r="E150" s="104"/>
      <c r="F150" s="19">
        <v>0</v>
      </c>
      <c r="G150" s="104"/>
      <c r="H150" s="19">
        <v>0</v>
      </c>
      <c r="I150" s="104"/>
      <c r="J150" s="26">
        <f t="shared" si="16"/>
        <v>0</v>
      </c>
      <c r="K150" s="104"/>
      <c r="L150" s="19">
        <f t="shared" si="17"/>
        <v>0</v>
      </c>
    </row>
    <row r="151" spans="1:13" x14ac:dyDescent="0.2">
      <c r="A151" s="3" t="s">
        <v>194</v>
      </c>
      <c r="B151" s="27">
        <f>'KY_Cost by Plant Acct P8 (REG)'!B153</f>
        <v>8793.34</v>
      </c>
      <c r="C151" s="103"/>
      <c r="D151" s="27">
        <f>'KY_Cost by Plant Acct P8 (REG)'!D153</f>
        <v>-8793.34</v>
      </c>
      <c r="E151" s="103"/>
      <c r="F151" s="27">
        <f>'KY_Cost by Plant Acct P8 (REG)'!F153</f>
        <v>0</v>
      </c>
      <c r="G151" s="103"/>
      <c r="H151" s="27">
        <f>'KY_Cost by Plant Acct P8 (REG)'!H153</f>
        <v>0</v>
      </c>
      <c r="I151" s="103"/>
      <c r="J151" s="27">
        <f t="shared" si="16"/>
        <v>-8793.34</v>
      </c>
      <c r="K151" s="103"/>
      <c r="L151" s="27">
        <f t="shared" si="17"/>
        <v>0</v>
      </c>
      <c r="M151" s="59"/>
    </row>
    <row r="152" spans="1:13" x14ac:dyDescent="0.2">
      <c r="B152" s="26">
        <f>SUM(B146:B151)</f>
        <v>370158.33000000083</v>
      </c>
      <c r="C152" s="103"/>
      <c r="D152" s="26">
        <f>SUM(D146:D151)</f>
        <v>-370158.33000000007</v>
      </c>
      <c r="E152" s="103"/>
      <c r="F152" s="26">
        <f>SUM(F146:F151)</f>
        <v>0</v>
      </c>
      <c r="G152" s="103"/>
      <c r="H152" s="26">
        <f>SUM(H146:H151)</f>
        <v>0</v>
      </c>
      <c r="I152" s="103"/>
      <c r="J152" s="26">
        <f>SUM(J146:J151)</f>
        <v>-370158.33000000007</v>
      </c>
      <c r="K152" s="103"/>
      <c r="L152" s="26">
        <f>SUM(L146:L151)</f>
        <v>7.5669959187507629E-10</v>
      </c>
      <c r="M152" s="59"/>
    </row>
    <row r="153" spans="1:13" x14ac:dyDescent="0.2">
      <c r="B153" s="26"/>
      <c r="C153" s="103"/>
      <c r="D153" s="26"/>
      <c r="E153" s="103"/>
      <c r="F153" s="26"/>
      <c r="G153" s="103"/>
      <c r="H153" s="26"/>
      <c r="I153" s="103"/>
      <c r="J153" s="26"/>
      <c r="K153" s="103"/>
      <c r="L153" s="26"/>
      <c r="M153" s="59"/>
    </row>
    <row r="154" spans="1:13" x14ac:dyDescent="0.2">
      <c r="A154" s="12" t="s">
        <v>15</v>
      </c>
      <c r="B154" s="26"/>
      <c r="C154" s="103"/>
      <c r="D154" s="26"/>
      <c r="E154" s="103"/>
      <c r="F154" s="26"/>
      <c r="G154" s="103"/>
      <c r="H154" s="26"/>
      <c r="I154" s="103"/>
      <c r="J154" s="26"/>
      <c r="K154" s="103"/>
      <c r="L154" s="26"/>
      <c r="M154" s="59"/>
    </row>
    <row r="155" spans="1:13" x14ac:dyDescent="0.2">
      <c r="A155" s="3" t="s">
        <v>199</v>
      </c>
      <c r="B155" s="26">
        <f>'KY_Cost by Plant Acct P8 (REG)'!B157</f>
        <v>10687955.300000001</v>
      </c>
      <c r="C155" s="103"/>
      <c r="D155" s="26">
        <f>'KY_Cost by Plant Acct P8 (REG)'!D157</f>
        <v>-2400761.4500000002</v>
      </c>
      <c r="E155" s="103"/>
      <c r="F155" s="26">
        <f>'KY_Cost by Plant Acct P8 (REG)'!F157</f>
        <v>0</v>
      </c>
      <c r="G155" s="103"/>
      <c r="H155" s="26">
        <f>'KY_Cost by Plant Acct P8 (REG)'!H157</f>
        <v>0</v>
      </c>
      <c r="I155" s="103"/>
      <c r="J155" s="26">
        <f>H155+F155+D155</f>
        <v>-2400761.4500000002</v>
      </c>
      <c r="K155" s="103"/>
      <c r="L155" s="26">
        <f>J155+B155</f>
        <v>8287193.8500000006</v>
      </c>
      <c r="M155" s="59"/>
    </row>
    <row r="156" spans="1:13" x14ac:dyDescent="0.2">
      <c r="A156" s="43" t="s">
        <v>200</v>
      </c>
      <c r="B156" s="27">
        <f>+'KY_Cost by Plant Acct P8 (REG)'!B158</f>
        <v>0</v>
      </c>
      <c r="C156" s="103"/>
      <c r="D156" s="27">
        <f>'KY_Cost by Plant Acct P8 (REG)'!D158</f>
        <v>0</v>
      </c>
      <c r="E156" s="103"/>
      <c r="F156" s="27"/>
      <c r="G156" s="103"/>
      <c r="H156" s="27"/>
      <c r="I156" s="103"/>
      <c r="J156" s="27">
        <f>H156+F156+D156</f>
        <v>0</v>
      </c>
      <c r="K156" s="103"/>
      <c r="L156" s="27">
        <f>J156+B156</f>
        <v>0</v>
      </c>
      <c r="M156" s="59"/>
    </row>
    <row r="157" spans="1:13" x14ac:dyDescent="0.2">
      <c r="B157" s="26">
        <f>SUM(B155:B156)</f>
        <v>10687955.300000001</v>
      </c>
      <c r="C157" s="103"/>
      <c r="D157" s="26">
        <f>SUM(D155:D156)</f>
        <v>-2400761.4500000002</v>
      </c>
      <c r="E157" s="103"/>
      <c r="F157" s="26">
        <f>SUM(F155)</f>
        <v>0</v>
      </c>
      <c r="G157" s="103"/>
      <c r="H157" s="26">
        <f>SUM(H155)</f>
        <v>0</v>
      </c>
      <c r="I157" s="103"/>
      <c r="J157" s="26">
        <f>SUM(J155:J156)</f>
        <v>-2400761.4500000002</v>
      </c>
      <c r="K157" s="103"/>
      <c r="L157" s="26">
        <f>SUM(L155:L156)</f>
        <v>8287193.8500000006</v>
      </c>
      <c r="M157" s="59"/>
    </row>
    <row r="158" spans="1:13" x14ac:dyDescent="0.2">
      <c r="B158" s="26"/>
      <c r="C158" s="103"/>
      <c r="D158" s="26"/>
      <c r="E158" s="103"/>
      <c r="F158" s="26"/>
      <c r="G158" s="103"/>
      <c r="H158" s="26"/>
      <c r="I158" s="103"/>
      <c r="J158" s="26"/>
      <c r="K158" s="103"/>
      <c r="L158" s="26"/>
      <c r="M158" s="59"/>
    </row>
    <row r="159" spans="1:13" x14ac:dyDescent="0.2">
      <c r="A159" s="12" t="s">
        <v>16</v>
      </c>
      <c r="B159" s="26"/>
      <c r="C159" s="103"/>
      <c r="D159" s="26"/>
      <c r="E159" s="103"/>
      <c r="F159" s="26"/>
      <c r="G159" s="103"/>
      <c r="H159" s="26"/>
      <c r="I159" s="103"/>
      <c r="J159" s="26"/>
      <c r="K159" s="103"/>
      <c r="L159" s="26"/>
      <c r="M159" s="59"/>
    </row>
    <row r="160" spans="1:13" x14ac:dyDescent="0.2">
      <c r="A160" s="3" t="s">
        <v>204</v>
      </c>
      <c r="B160" s="26">
        <f>'KY_Cost by Plant Acct P8 (REG)'!B162</f>
        <v>47112633.450000003</v>
      </c>
      <c r="C160" s="103"/>
      <c r="D160" s="26">
        <f>'KY_Cost by Plant Acct P8 (REG)'!D162</f>
        <v>-46150760.899999999</v>
      </c>
      <c r="E160" s="103"/>
      <c r="F160" s="26">
        <f>'KY_Cost by Plant Acct P8 (REG)'!F162</f>
        <v>0</v>
      </c>
      <c r="G160" s="103"/>
      <c r="H160" s="26">
        <f>'KY_Cost by Plant Acct P8 (REG)'!H162</f>
        <v>0</v>
      </c>
      <c r="I160" s="103"/>
      <c r="J160" s="26">
        <f t="shared" ref="J160:J165" si="18">H160+F160+D160</f>
        <v>-46150760.899999999</v>
      </c>
      <c r="K160" s="103"/>
      <c r="L160" s="26">
        <f t="shared" ref="L160:L165" si="19">J160+B160</f>
        <v>961872.55000000447</v>
      </c>
      <c r="M160" s="59"/>
    </row>
    <row r="161" spans="1:13" x14ac:dyDescent="0.2">
      <c r="A161" s="3" t="s">
        <v>205</v>
      </c>
      <c r="B161" s="26">
        <f>'KY_Cost by Plant Acct P8 (REG)'!B163</f>
        <v>134983779.02000001</v>
      </c>
      <c r="C161" s="103"/>
      <c r="D161" s="26">
        <f>'KY_Cost by Plant Acct P8 (REG)'!D163</f>
        <v>-128042692.64</v>
      </c>
      <c r="E161" s="103"/>
      <c r="F161" s="26">
        <f>'KY_Cost by Plant Acct P8 (REG)'!F163</f>
        <v>0</v>
      </c>
      <c r="G161" s="103"/>
      <c r="H161" s="26">
        <f>'KY_Cost by Plant Acct P8 (REG)'!H163</f>
        <v>0</v>
      </c>
      <c r="I161" s="103"/>
      <c r="J161" s="26">
        <f t="shared" si="18"/>
        <v>-128042692.64</v>
      </c>
      <c r="K161" s="103"/>
      <c r="L161" s="26">
        <f t="shared" si="19"/>
        <v>6941086.3800000101</v>
      </c>
      <c r="M161" s="59"/>
    </row>
    <row r="162" spans="1:13" x14ac:dyDescent="0.2">
      <c r="A162" s="3" t="s">
        <v>207</v>
      </c>
      <c r="B162" s="26">
        <f>'KY_Cost by Plant Acct P8 (REG)'!B164</f>
        <v>97932512.959999993</v>
      </c>
      <c r="C162" s="103"/>
      <c r="D162" s="26">
        <f>'KY_Cost by Plant Acct P8 (REG)'!D164</f>
        <v>-94300260.049999997</v>
      </c>
      <c r="E162" s="103"/>
      <c r="F162" s="26">
        <f>'KY_Cost by Plant Acct P8 (REG)'!F164</f>
        <v>0</v>
      </c>
      <c r="G162" s="103"/>
      <c r="H162" s="26">
        <f>'KY_Cost by Plant Acct P8 (REG)'!H164</f>
        <v>0</v>
      </c>
      <c r="I162" s="103"/>
      <c r="J162" s="26">
        <f t="shared" si="18"/>
        <v>-94300260.049999997</v>
      </c>
      <c r="K162" s="103"/>
      <c r="L162" s="26">
        <f t="shared" si="19"/>
        <v>3632252.9099999964</v>
      </c>
      <c r="M162" s="59"/>
    </row>
    <row r="163" spans="1:13" x14ac:dyDescent="0.2">
      <c r="A163" s="3" t="s">
        <v>208</v>
      </c>
      <c r="B163" s="26">
        <f>'KY_Cost by Plant Acct P8 (REG)'!B165</f>
        <v>113390206.33</v>
      </c>
      <c r="C163" s="103"/>
      <c r="D163" s="26">
        <f>'KY_Cost by Plant Acct P8 (REG)'!D165</f>
        <v>-98965519.079999998</v>
      </c>
      <c r="E163" s="103"/>
      <c r="F163" s="26">
        <f>'KY_Cost by Plant Acct P8 (REG)'!F165</f>
        <v>0</v>
      </c>
      <c r="G163" s="103"/>
      <c r="H163" s="26">
        <f>'KY_Cost by Plant Acct P8 (REG)'!H165</f>
        <v>0</v>
      </c>
      <c r="I163" s="103"/>
      <c r="J163" s="26">
        <f t="shared" si="18"/>
        <v>-98965519.079999998</v>
      </c>
      <c r="K163" s="103"/>
      <c r="L163" s="26">
        <f t="shared" si="19"/>
        <v>14424687.25</v>
      </c>
      <c r="M163" s="59"/>
    </row>
    <row r="164" spans="1:13" s="59" customFormat="1" x14ac:dyDescent="0.2">
      <c r="A164" s="59" t="s">
        <v>3248</v>
      </c>
      <c r="B164" s="26">
        <f>'KY_Cost by Plant Acct P8 (REG)'!B166</f>
        <v>26777275.32</v>
      </c>
      <c r="C164" s="103"/>
      <c r="D164" s="26">
        <f>'KY_Cost by Plant Acct P8 (REG)'!D166</f>
        <v>-26081821.969999999</v>
      </c>
      <c r="E164" s="103"/>
      <c r="F164" s="26">
        <f>'KY_Cost by Plant Acct P8 (REG)'!F166</f>
        <v>0</v>
      </c>
      <c r="G164" s="103"/>
      <c r="H164" s="26">
        <f>'KY_Cost by Plant Acct P8 (REG)'!H166</f>
        <v>0</v>
      </c>
      <c r="I164" s="103"/>
      <c r="J164" s="26">
        <f t="shared" si="18"/>
        <v>-26081821.969999999</v>
      </c>
      <c r="K164" s="103"/>
      <c r="L164" s="26">
        <f t="shared" si="19"/>
        <v>695453.35000000149</v>
      </c>
    </row>
    <row r="165" spans="1:13" x14ac:dyDescent="0.2">
      <c r="A165" s="3" t="s">
        <v>3249</v>
      </c>
      <c r="B165" s="27">
        <f>'KY_Cost by Plant Acct P8 (REG)'!B167</f>
        <v>145378.61000000002</v>
      </c>
      <c r="C165" s="103"/>
      <c r="D165" s="27">
        <f>'KY_Cost by Plant Acct P8 (REG)'!D167</f>
        <v>272638.92</v>
      </c>
      <c r="E165" s="103"/>
      <c r="F165" s="27">
        <f>'KY_Cost by Plant Acct P8 (REG)'!F167</f>
        <v>0</v>
      </c>
      <c r="G165" s="103"/>
      <c r="H165" s="27">
        <f>'KY_Cost by Plant Acct P8 (REG)'!H167</f>
        <v>0</v>
      </c>
      <c r="I165" s="103"/>
      <c r="J165" s="27">
        <f t="shared" si="18"/>
        <v>272638.92</v>
      </c>
      <c r="K165" s="103"/>
      <c r="L165" s="27">
        <f t="shared" si="19"/>
        <v>418017.53</v>
      </c>
      <c r="M165" s="59"/>
    </row>
    <row r="166" spans="1:13" x14ac:dyDescent="0.2">
      <c r="B166" s="26">
        <f>SUM(B160:B165)</f>
        <v>420341785.69</v>
      </c>
      <c r="C166" s="103"/>
      <c r="D166" s="26">
        <f>SUM(D160:D165)</f>
        <v>-393268415.71999997</v>
      </c>
      <c r="E166" s="103"/>
      <c r="F166" s="26">
        <f>SUM(F160:F165)</f>
        <v>0</v>
      </c>
      <c r="G166" s="103"/>
      <c r="H166" s="26">
        <f>SUM(H160:H165)</f>
        <v>0</v>
      </c>
      <c r="I166" s="103"/>
      <c r="J166" s="26">
        <f>SUM(J160:J165)</f>
        <v>-393268415.71999997</v>
      </c>
      <c r="K166" s="103"/>
      <c r="L166" s="26">
        <f>SUM(L160:L165)</f>
        <v>27073369.970000014</v>
      </c>
      <c r="M166" s="59"/>
    </row>
    <row r="167" spans="1:13" x14ac:dyDescent="0.2">
      <c r="B167" s="26"/>
      <c r="C167" s="103"/>
      <c r="D167" s="26"/>
      <c r="E167" s="103"/>
      <c r="F167" s="26"/>
      <c r="G167" s="103"/>
      <c r="H167" s="26"/>
      <c r="I167" s="103"/>
      <c r="J167" s="26"/>
      <c r="K167" s="103"/>
      <c r="L167" s="26"/>
      <c r="M167" s="59"/>
    </row>
    <row r="168" spans="1:13" x14ac:dyDescent="0.2">
      <c r="A168" s="12" t="s">
        <v>17</v>
      </c>
      <c r="B168" s="26"/>
      <c r="C168" s="103"/>
      <c r="D168" s="26"/>
      <c r="E168" s="103"/>
      <c r="F168" s="26"/>
      <c r="G168" s="103"/>
      <c r="H168" s="26"/>
      <c r="I168" s="103"/>
      <c r="J168" s="26"/>
      <c r="K168" s="103"/>
      <c r="L168" s="26"/>
      <c r="M168" s="59"/>
    </row>
    <row r="169" spans="1:13" x14ac:dyDescent="0.2">
      <c r="A169" s="43" t="s">
        <v>214</v>
      </c>
      <c r="B169" s="26">
        <f>'KY_Cost by Plant Acct P8 (REG)'!B171</f>
        <v>10406297.27</v>
      </c>
      <c r="C169" s="103"/>
      <c r="D169" s="26">
        <f>'KY_Cost by Plant Acct P8 (REG)'!D171</f>
        <v>274092.44</v>
      </c>
      <c r="E169" s="103"/>
      <c r="F169" s="26">
        <f>'KY_Cost by Plant Acct P8 (REG)'!F171</f>
        <v>0</v>
      </c>
      <c r="G169" s="103"/>
      <c r="H169" s="26">
        <f>'KY_Cost by Plant Acct P8 (REG)'!H171</f>
        <v>0</v>
      </c>
      <c r="I169" s="103"/>
      <c r="J169" s="26">
        <f>H169+F169+D169</f>
        <v>274092.44</v>
      </c>
      <c r="K169" s="103"/>
      <c r="L169" s="26">
        <f>J169+B169</f>
        <v>10680389.709999999</v>
      </c>
      <c r="M169" s="59"/>
    </row>
    <row r="170" spans="1:13" x14ac:dyDescent="0.2">
      <c r="A170" s="3" t="s">
        <v>215</v>
      </c>
      <c r="B170" s="26">
        <f>'KY_Cost by Plant Acct P8 (REG)'!B172</f>
        <v>15368649.140000001</v>
      </c>
      <c r="C170" s="103"/>
      <c r="D170" s="26">
        <f>'KY_Cost by Plant Acct P8 (REG)'!D172</f>
        <v>-881655.85</v>
      </c>
      <c r="E170" s="103"/>
      <c r="F170" s="26">
        <f>'KY_Cost by Plant Acct P8 (REG)'!F172</f>
        <v>0</v>
      </c>
      <c r="G170" s="103"/>
      <c r="H170" s="26">
        <f>'KY_Cost by Plant Acct P8 (REG)'!H172</f>
        <v>0</v>
      </c>
      <c r="I170" s="103"/>
      <c r="J170" s="26">
        <f t="shared" ref="J170:J175" si="20">H170+F170+D170</f>
        <v>-881655.85</v>
      </c>
      <c r="K170" s="103"/>
      <c r="L170" s="26">
        <f t="shared" ref="L170:L175" si="21">J170+B170</f>
        <v>14486993.290000001</v>
      </c>
      <c r="M170" s="59"/>
    </row>
    <row r="171" spans="1:13" x14ac:dyDescent="0.2">
      <c r="A171" s="73" t="s">
        <v>3250</v>
      </c>
      <c r="B171" s="26">
        <f>'KY_Cost by Plant Acct P8 (REG)'!B173</f>
        <v>0</v>
      </c>
      <c r="C171" s="103"/>
      <c r="D171" s="26">
        <f>'KY_Cost by Plant Acct P8 (REG)'!D173</f>
        <v>0</v>
      </c>
      <c r="E171" s="103"/>
      <c r="F171" s="26">
        <f>'KY_Cost by Plant Acct P8 (REG)'!F173</f>
        <v>0</v>
      </c>
      <c r="G171" s="103"/>
      <c r="H171" s="26">
        <f>'KY_Cost by Plant Acct P8 (REG)'!H173</f>
        <v>0</v>
      </c>
      <c r="I171" s="103"/>
      <c r="J171" s="26">
        <f t="shared" si="20"/>
        <v>0</v>
      </c>
      <c r="K171" s="103"/>
      <c r="L171" s="26">
        <f t="shared" si="21"/>
        <v>0</v>
      </c>
      <c r="M171" s="59"/>
    </row>
    <row r="172" spans="1:13" x14ac:dyDescent="0.2">
      <c r="A172" s="3" t="s">
        <v>217</v>
      </c>
      <c r="B172" s="26">
        <f>'KY_Cost by Plant Acct P8 (REG)'!B174</f>
        <v>1026562191.62</v>
      </c>
      <c r="C172" s="103"/>
      <c r="D172" s="26">
        <f>'KY_Cost by Plant Acct P8 (REG)'!D174</f>
        <v>107415360.88</v>
      </c>
      <c r="E172" s="103"/>
      <c r="F172" s="26">
        <f>'KY_Cost by Plant Acct P8 (REG)'!F174</f>
        <v>0</v>
      </c>
      <c r="G172" s="103"/>
      <c r="H172" s="26">
        <f>'KY_Cost by Plant Acct P8 (REG)'!H174</f>
        <v>0</v>
      </c>
      <c r="I172" s="103"/>
      <c r="J172" s="26">
        <f t="shared" si="20"/>
        <v>107415360.88</v>
      </c>
      <c r="K172" s="103"/>
      <c r="L172" s="26">
        <f t="shared" si="21"/>
        <v>1133977552.5</v>
      </c>
      <c r="M172" s="59"/>
    </row>
    <row r="173" spans="1:13" x14ac:dyDescent="0.2">
      <c r="A173" s="3" t="s">
        <v>219</v>
      </c>
      <c r="B173" s="26">
        <f>'KY_Cost by Plant Acct P8 (REG)'!B175</f>
        <v>5469222</v>
      </c>
      <c r="C173" s="103"/>
      <c r="D173" s="26">
        <f>'KY_Cost by Plant Acct P8 (REG)'!D175</f>
        <v>311887.45</v>
      </c>
      <c r="E173" s="103"/>
      <c r="F173" s="26">
        <f>'KY_Cost by Plant Acct P8 (REG)'!F175</f>
        <v>0</v>
      </c>
      <c r="G173" s="103"/>
      <c r="H173" s="26">
        <f>'KY_Cost by Plant Acct P8 (REG)'!H175</f>
        <v>0</v>
      </c>
      <c r="I173" s="103"/>
      <c r="J173" s="26">
        <f t="shared" si="20"/>
        <v>311887.45</v>
      </c>
      <c r="K173" s="103"/>
      <c r="L173" s="26">
        <f t="shared" si="21"/>
        <v>5781109.4500000002</v>
      </c>
      <c r="M173" s="59"/>
    </row>
    <row r="174" spans="1:13" x14ac:dyDescent="0.2">
      <c r="A174" s="3" t="s">
        <v>221</v>
      </c>
      <c r="B174" s="26">
        <f>'KY_Cost by Plant Acct P8 (REG)'!B176</f>
        <v>10980426.439999999</v>
      </c>
      <c r="C174" s="103"/>
      <c r="D174" s="26">
        <f>'KY_Cost by Plant Acct P8 (REG)'!D176</f>
        <v>-633383.4</v>
      </c>
      <c r="E174" s="103"/>
      <c r="F174" s="26">
        <f>'KY_Cost by Plant Acct P8 (REG)'!F176</f>
        <v>0</v>
      </c>
      <c r="G174" s="103"/>
      <c r="H174" s="26">
        <f>'KY_Cost by Plant Acct P8 (REG)'!H176</f>
        <v>0</v>
      </c>
      <c r="I174" s="103"/>
      <c r="J174" s="26">
        <f t="shared" si="20"/>
        <v>-633383.4</v>
      </c>
      <c r="K174" s="103"/>
      <c r="L174" s="26">
        <f t="shared" si="21"/>
        <v>10347043.039999999</v>
      </c>
      <c r="M174" s="59"/>
    </row>
    <row r="175" spans="1:13" x14ac:dyDescent="0.2">
      <c r="A175" s="3" t="s">
        <v>223</v>
      </c>
      <c r="B175" s="27">
        <f>'KY_Cost by Plant Acct P8 (REG)'!B177</f>
        <v>3612386.2699999996</v>
      </c>
      <c r="C175" s="103"/>
      <c r="D175" s="27">
        <f>'KY_Cost by Plant Acct P8 (REG)'!D177</f>
        <v>-446262.21</v>
      </c>
      <c r="E175" s="103"/>
      <c r="F175" s="27">
        <f>'KY_Cost by Plant Acct P8 (REG)'!F177</f>
        <v>0</v>
      </c>
      <c r="G175" s="103"/>
      <c r="H175" s="27">
        <f>'KY_Cost by Plant Acct P8 (REG)'!H177</f>
        <v>0</v>
      </c>
      <c r="I175" s="103"/>
      <c r="J175" s="27">
        <f t="shared" si="20"/>
        <v>-446262.21</v>
      </c>
      <c r="K175" s="103"/>
      <c r="L175" s="27">
        <f t="shared" si="21"/>
        <v>3166124.0599999996</v>
      </c>
      <c r="M175" s="59"/>
    </row>
    <row r="176" spans="1:13" x14ac:dyDescent="0.2">
      <c r="B176" s="26">
        <f>SUM(B169:B175)</f>
        <v>1072399172.74</v>
      </c>
      <c r="C176" s="103"/>
      <c r="D176" s="26">
        <f>SUM(D169:D175)</f>
        <v>106040039.31</v>
      </c>
      <c r="E176" s="103"/>
      <c r="F176" s="26">
        <f>SUM(F169:F175)</f>
        <v>0</v>
      </c>
      <c r="G176" s="103"/>
      <c r="H176" s="26">
        <f>SUM(H169:H175)</f>
        <v>0</v>
      </c>
      <c r="I176" s="103"/>
      <c r="J176" s="26">
        <f>SUM(J169:J175)</f>
        <v>106040039.31</v>
      </c>
      <c r="K176" s="103"/>
      <c r="L176" s="26">
        <f>SUM(L169:L175)</f>
        <v>1178439212.05</v>
      </c>
      <c r="M176" s="59"/>
    </row>
    <row r="177" spans="1:13" x14ac:dyDescent="0.2">
      <c r="B177" s="26"/>
      <c r="C177" s="103"/>
      <c r="D177" s="26"/>
      <c r="E177" s="103"/>
      <c r="F177" s="26"/>
      <c r="G177" s="103"/>
      <c r="H177" s="26"/>
      <c r="I177" s="103"/>
      <c r="J177" s="26"/>
      <c r="K177" s="103"/>
      <c r="L177" s="26"/>
      <c r="M177" s="59"/>
    </row>
    <row r="178" spans="1:13" x14ac:dyDescent="0.2">
      <c r="A178" s="12" t="s">
        <v>18</v>
      </c>
      <c r="B178" s="26"/>
      <c r="C178" s="103"/>
      <c r="D178" s="26"/>
      <c r="E178" s="103"/>
      <c r="F178" s="26"/>
      <c r="G178" s="103"/>
      <c r="H178" s="26"/>
      <c r="I178" s="103"/>
      <c r="J178" s="26"/>
      <c r="K178" s="103"/>
      <c r="L178" s="26"/>
      <c r="M178" s="59"/>
    </row>
    <row r="179" spans="1:13" x14ac:dyDescent="0.2">
      <c r="A179" s="3" t="s">
        <v>227</v>
      </c>
      <c r="B179" s="26">
        <f>'KY_Cost by Plant Acct P8 (REG)'!B181</f>
        <v>0</v>
      </c>
      <c r="C179" s="103"/>
      <c r="D179" s="26">
        <f>'KY_Cost by Plant Acct P8 (REG)'!D181</f>
        <v>0</v>
      </c>
      <c r="E179" s="103"/>
      <c r="F179" s="26">
        <f>'KY_Cost by Plant Acct P8 (REG)'!F181</f>
        <v>0</v>
      </c>
      <c r="G179" s="103"/>
      <c r="H179" s="26">
        <f>'KY_Cost by Plant Acct P8 (REG)'!H181</f>
        <v>0</v>
      </c>
      <c r="I179" s="103"/>
      <c r="J179" s="26">
        <f t="shared" ref="J179:J187" si="22">H179+F179+D179</f>
        <v>0</v>
      </c>
      <c r="K179" s="103"/>
      <c r="L179" s="26">
        <f t="shared" ref="L179:L187" si="23">J179+B179</f>
        <v>0</v>
      </c>
      <c r="M179" s="59"/>
    </row>
    <row r="180" spans="1:13" x14ac:dyDescent="0.2">
      <c r="A180" s="3" t="s">
        <v>228</v>
      </c>
      <c r="B180" s="26">
        <f>'KY_Cost by Plant Acct P8 (REG)'!B182</f>
        <v>0</v>
      </c>
      <c r="C180" s="103"/>
      <c r="D180" s="26">
        <f>'KY_Cost by Plant Acct P8 (REG)'!D182</f>
        <v>0</v>
      </c>
      <c r="E180" s="103"/>
      <c r="F180" s="26">
        <f>'KY_Cost by Plant Acct P8 (REG)'!F182</f>
        <v>0</v>
      </c>
      <c r="G180" s="103"/>
      <c r="H180" s="26">
        <f>'KY_Cost by Plant Acct P8 (REG)'!H182</f>
        <v>0</v>
      </c>
      <c r="I180" s="103"/>
      <c r="J180" s="26">
        <f t="shared" si="22"/>
        <v>0</v>
      </c>
      <c r="K180" s="103"/>
      <c r="L180" s="26">
        <f t="shared" si="23"/>
        <v>0</v>
      </c>
      <c r="M180" s="59"/>
    </row>
    <row r="181" spans="1:13" x14ac:dyDescent="0.2">
      <c r="A181" s="3" t="s">
        <v>229</v>
      </c>
      <c r="B181" s="26">
        <f>'KY_Cost by Plant Acct P8 (REG)'!B183</f>
        <v>404739.03</v>
      </c>
      <c r="C181" s="103"/>
      <c r="D181" s="26">
        <f>'KY_Cost by Plant Acct P8 (REG)'!D183+'VA_Cost by Plant Acct P10 (REG)'!D81</f>
        <v>198123.99</v>
      </c>
      <c r="E181" s="103"/>
      <c r="F181" s="26">
        <f>'KY_Cost by Plant Acct P8 (REG)'!F183</f>
        <v>0</v>
      </c>
      <c r="G181" s="103"/>
      <c r="H181" s="26">
        <f>'KY_Cost by Plant Acct P8 (REG)'!H183</f>
        <v>0</v>
      </c>
      <c r="I181" s="103"/>
      <c r="J181" s="26">
        <f t="shared" si="22"/>
        <v>198123.99</v>
      </c>
      <c r="K181" s="103"/>
      <c r="L181" s="26">
        <f t="shared" si="23"/>
        <v>602863.02</v>
      </c>
      <c r="M181" s="59"/>
    </row>
    <row r="182" spans="1:13" x14ac:dyDescent="0.2">
      <c r="A182" s="3" t="s">
        <v>231</v>
      </c>
      <c r="B182" s="26">
        <f>'KY_Cost by Plant Acct P8 (REG)'!B184+'VA_Cost by Plant Acct P10 (REG)'!B82</f>
        <v>10144956.149999999</v>
      </c>
      <c r="C182" s="103"/>
      <c r="D182" s="26">
        <f>'KY_Cost by Plant Acct P8 (REG)'!D184+'VA_Cost by Plant Acct P10 (REG)'!D82</f>
        <v>6828732.7700000005</v>
      </c>
      <c r="E182" s="103"/>
      <c r="F182" s="26">
        <f>'KY_Cost by Plant Acct P8 (REG)'!F184+'VA_Cost by Plant Acct P10 (REG)'!F84</f>
        <v>0</v>
      </c>
      <c r="G182" s="103"/>
      <c r="H182" s="26">
        <f>'KY_Cost by Plant Acct P8 (REG)'!H184+'VA_Cost by Plant Acct P10 (REG)'!H84</f>
        <v>0</v>
      </c>
      <c r="I182" s="103"/>
      <c r="J182" s="26">
        <f t="shared" si="22"/>
        <v>6828732.7700000005</v>
      </c>
      <c r="K182" s="103"/>
      <c r="L182" s="26">
        <f t="shared" si="23"/>
        <v>16973688.919999998</v>
      </c>
      <c r="M182" s="59"/>
    </row>
    <row r="183" spans="1:13" x14ac:dyDescent="0.2">
      <c r="A183" s="3" t="s">
        <v>233</v>
      </c>
      <c r="B183" s="26">
        <f>'KY_Cost by Plant Acct P8 (REG)'!B185</f>
        <v>0</v>
      </c>
      <c r="C183" s="103"/>
      <c r="D183" s="26">
        <f>'KY_Cost by Plant Acct P8 (REG)'!D185</f>
        <v>0</v>
      </c>
      <c r="E183" s="103"/>
      <c r="F183" s="26">
        <f>'KY_Cost by Plant Acct P8 (REG)'!F185</f>
        <v>0</v>
      </c>
      <c r="G183" s="103"/>
      <c r="H183" s="26">
        <f>'KY_Cost by Plant Acct P8 (REG)'!H185</f>
        <v>0</v>
      </c>
      <c r="I183" s="103"/>
      <c r="J183" s="26">
        <f>H183+F183+D183</f>
        <v>0</v>
      </c>
      <c r="K183" s="103"/>
      <c r="L183" s="26">
        <f>J183+B183</f>
        <v>0</v>
      </c>
      <c r="M183" s="59"/>
    </row>
    <row r="184" spans="1:13" x14ac:dyDescent="0.2">
      <c r="A184" s="3" t="s">
        <v>234</v>
      </c>
      <c r="B184" s="26">
        <f>'KY_Cost by Plant Acct P8 (REG)'!B186</f>
        <v>35872.969999999506</v>
      </c>
      <c r="C184" s="103"/>
      <c r="D184" s="26">
        <f>'KY_Cost by Plant Acct P8 (REG)'!D186</f>
        <v>-35872.97</v>
      </c>
      <c r="E184" s="103"/>
      <c r="F184" s="26">
        <f>'KY_Cost by Plant Acct P8 (REG)'!F186</f>
        <v>0</v>
      </c>
      <c r="G184" s="103"/>
      <c r="H184" s="26">
        <f>'KY_Cost by Plant Acct P8 (REG)'!H186</f>
        <v>0</v>
      </c>
      <c r="I184" s="103"/>
      <c r="J184" s="26">
        <f t="shared" si="22"/>
        <v>-35872.97</v>
      </c>
      <c r="K184" s="103"/>
      <c r="L184" s="26">
        <f t="shared" si="23"/>
        <v>-4.9476511776447296E-10</v>
      </c>
      <c r="M184" s="59"/>
    </row>
    <row r="185" spans="1:13" x14ac:dyDescent="0.2">
      <c r="A185" s="3" t="s">
        <v>235</v>
      </c>
      <c r="B185" s="26">
        <f>'KY_Cost by Plant Acct P8 (REG)'!B187+'VA_Cost by Plant Acct P10 (REG)'!B83</f>
        <v>15011106.110000001</v>
      </c>
      <c r="C185" s="103"/>
      <c r="D185" s="26">
        <f>'KY_Cost by Plant Acct P8 (REG)'!D187+'VA_Cost by Plant Acct P10 (REG)'!D83</f>
        <v>15693288.390000001</v>
      </c>
      <c r="E185" s="103"/>
      <c r="F185" s="26">
        <f>'KY_Cost by Plant Acct P8 (REG)'!F187</f>
        <v>0</v>
      </c>
      <c r="G185" s="103"/>
      <c r="H185" s="26">
        <f>'KY_Cost by Plant Acct P8 (REG)'!H187</f>
        <v>0</v>
      </c>
      <c r="I185" s="103"/>
      <c r="J185" s="26">
        <f t="shared" si="22"/>
        <v>15693288.390000001</v>
      </c>
      <c r="K185" s="103"/>
      <c r="L185" s="26">
        <f t="shared" si="23"/>
        <v>30704394.5</v>
      </c>
      <c r="M185" s="59"/>
    </row>
    <row r="186" spans="1:13" x14ac:dyDescent="0.2">
      <c r="A186" s="3" t="s">
        <v>236</v>
      </c>
      <c r="B186" s="26">
        <f>'KY_Cost by Plant Acct P8 (REG)'!B188+'VA_Cost by Plant Acct P10 (REG)'!B84</f>
        <v>8185049.9100000011</v>
      </c>
      <c r="C186" s="103"/>
      <c r="D186" s="26">
        <f>'KY_Cost by Plant Acct P8 (REG)'!D188+'VA_Cost by Plant Acct P10 (REG)'!D84</f>
        <v>2440533.3800000004</v>
      </c>
      <c r="E186" s="103"/>
      <c r="F186" s="26">
        <f>'KY_Cost by Plant Acct P8 (REG)'!F188</f>
        <v>0</v>
      </c>
      <c r="G186" s="103"/>
      <c r="H186" s="26">
        <f>'KY_Cost by Plant Acct P8 (REG)'!H188</f>
        <v>0</v>
      </c>
      <c r="I186" s="103"/>
      <c r="J186" s="26">
        <f t="shared" si="22"/>
        <v>2440533.3800000004</v>
      </c>
      <c r="K186" s="103"/>
      <c r="L186" s="26">
        <f t="shared" si="23"/>
        <v>10625583.290000001</v>
      </c>
      <c r="M186" s="59"/>
    </row>
    <row r="187" spans="1:13" x14ac:dyDescent="0.2">
      <c r="A187" s="3" t="s">
        <v>238</v>
      </c>
      <c r="B187" s="26">
        <f>'KY_Cost by Plant Acct P8 (REG)'!B189</f>
        <v>0</v>
      </c>
      <c r="C187" s="26">
        <f>'KY_Cost by Plant Acct P8 (REG)'!C189</f>
        <v>0</v>
      </c>
      <c r="D187" s="26">
        <f>'KY_Cost by Plant Acct P8 (REG)'!D189</f>
        <v>0</v>
      </c>
      <c r="E187" s="26">
        <f>'KY_Cost by Plant Acct P8 (REG)'!E189</f>
        <v>0</v>
      </c>
      <c r="F187" s="26">
        <f>'KY_Cost by Plant Acct P8 (REG)'!F189</f>
        <v>0</v>
      </c>
      <c r="G187" s="26">
        <f>'KY_Cost by Plant Acct P8 (REG)'!G189</f>
        <v>0</v>
      </c>
      <c r="H187" s="26">
        <f>'KY_Cost by Plant Acct P8 (REG)'!H189</f>
        <v>0</v>
      </c>
      <c r="I187" s="103"/>
      <c r="J187" s="26">
        <f t="shared" si="22"/>
        <v>0</v>
      </c>
      <c r="K187" s="103"/>
      <c r="L187" s="26">
        <f t="shared" si="23"/>
        <v>0</v>
      </c>
      <c r="M187" s="59"/>
    </row>
    <row r="188" spans="1:13" x14ac:dyDescent="0.2">
      <c r="B188" s="32">
        <f>SUM(B179:B187)</f>
        <v>33781724.170000002</v>
      </c>
      <c r="C188" s="103"/>
      <c r="D188" s="32">
        <f>SUM(D179:D187)</f>
        <v>25124805.559999999</v>
      </c>
      <c r="E188" s="103"/>
      <c r="F188" s="32">
        <f>SUM(F179:F187)</f>
        <v>0</v>
      </c>
      <c r="G188" s="103"/>
      <c r="H188" s="32">
        <f>SUM(H179:H187)</f>
        <v>0</v>
      </c>
      <c r="I188" s="103"/>
      <c r="J188" s="32">
        <f>SUM(J179:J187)</f>
        <v>25124805.559999999</v>
      </c>
      <c r="K188" s="103"/>
      <c r="L188" s="32">
        <f>SUM(L179:L187)</f>
        <v>58906529.729999997</v>
      </c>
      <c r="M188" s="59"/>
    </row>
    <row r="189" spans="1:13" x14ac:dyDescent="0.2">
      <c r="B189" s="26"/>
      <c r="C189" s="103"/>
      <c r="D189" s="26"/>
      <c r="E189" s="103"/>
      <c r="F189" s="26"/>
      <c r="G189" s="103"/>
      <c r="H189" s="26"/>
      <c r="I189" s="103"/>
      <c r="J189" s="26"/>
      <c r="K189" s="103"/>
      <c r="L189" s="26"/>
      <c r="M189" s="59"/>
    </row>
    <row r="190" spans="1:13" x14ac:dyDescent="0.2">
      <c r="B190" s="19"/>
      <c r="C190" s="104"/>
      <c r="D190" s="19"/>
      <c r="E190" s="104"/>
      <c r="F190" s="19"/>
      <c r="G190" s="104"/>
      <c r="H190" s="19"/>
      <c r="I190" s="104"/>
      <c r="J190" s="19"/>
      <c r="K190" s="104"/>
      <c r="L190" s="19"/>
    </row>
    <row r="191" spans="1:13" x14ac:dyDescent="0.2">
      <c r="A191" s="12" t="s">
        <v>3251</v>
      </c>
      <c r="B191" s="31">
        <f>B188+B176+B166+B157+B152+B143+B129</f>
        <v>1581756561.05</v>
      </c>
      <c r="C191" s="103"/>
      <c r="D191" s="31">
        <f>D188+D176+D166+D157+D152+D143+D129</f>
        <v>-236330442.72999996</v>
      </c>
      <c r="E191" s="103"/>
      <c r="F191" s="31">
        <f>F188+F176+F166+F157+F152+F143+F129</f>
        <v>0</v>
      </c>
      <c r="G191" s="103"/>
      <c r="H191" s="31">
        <f>H188+H176+H166+H157+H152+H143+H129</f>
        <v>0</v>
      </c>
      <c r="I191" s="103"/>
      <c r="J191" s="31">
        <f>J188+J176+J166+J157+J152+J143+J129</f>
        <v>-236330442.72999996</v>
      </c>
      <c r="K191" s="103"/>
      <c r="L191" s="31">
        <f>L188+L176+L166+L157+L152+L143+L129</f>
        <v>1345426118.3199999</v>
      </c>
    </row>
    <row r="192" spans="1:13" x14ac:dyDescent="0.2">
      <c r="C192" s="88"/>
      <c r="E192" s="88"/>
      <c r="G192" s="88"/>
      <c r="I192" s="88"/>
      <c r="K192" s="88"/>
    </row>
    <row r="193" spans="1:12" ht="13.5" thickBot="1" x14ac:dyDescent="0.25">
      <c r="A193" s="12" t="s">
        <v>3232</v>
      </c>
      <c r="B193" s="78">
        <f>B191+B113</f>
        <v>8814348304.9899998</v>
      </c>
      <c r="C193" s="89"/>
      <c r="D193" s="78">
        <f>D191+D113</f>
        <v>410270093.53000003</v>
      </c>
      <c r="E193" s="89"/>
      <c r="F193" s="78">
        <f>F191+F113</f>
        <v>-60891331.049999997</v>
      </c>
      <c r="G193" s="89"/>
      <c r="H193" s="78">
        <f>H191+H113</f>
        <v>-78719772.749999985</v>
      </c>
      <c r="I193" s="89"/>
      <c r="J193" s="78">
        <f>J191+J113</f>
        <v>270658989.72999996</v>
      </c>
      <c r="K193" s="89"/>
      <c r="L193" s="78">
        <f>L191+L113</f>
        <v>9085007294.7199993</v>
      </c>
    </row>
    <row r="194" spans="1:12" ht="13.5" thickTop="1" x14ac:dyDescent="0.2">
      <c r="A194" s="12"/>
      <c r="B194" s="17"/>
      <c r="C194" s="89"/>
      <c r="D194" s="17"/>
      <c r="E194" s="89"/>
      <c r="F194" s="17"/>
      <c r="G194" s="89"/>
      <c r="H194" s="17"/>
      <c r="I194" s="89"/>
      <c r="J194" s="17"/>
      <c r="K194" s="89"/>
      <c r="L194" s="17"/>
    </row>
    <row r="195" spans="1:12" x14ac:dyDescent="0.2">
      <c r="C195" s="88"/>
      <c r="E195" s="88"/>
      <c r="G195" s="88"/>
      <c r="I195" s="88"/>
      <c r="K195" s="88"/>
    </row>
    <row r="196" spans="1:12" x14ac:dyDescent="0.2">
      <c r="C196" s="88"/>
      <c r="E196" s="88"/>
      <c r="G196" s="88"/>
      <c r="I196" s="88"/>
      <c r="K196" s="88"/>
    </row>
    <row r="197" spans="1:12" x14ac:dyDescent="0.2">
      <c r="C197" s="88"/>
      <c r="E197" s="88"/>
      <c r="G197" s="88"/>
      <c r="I197" s="88"/>
      <c r="K197" s="88"/>
    </row>
    <row r="198" spans="1:12" x14ac:dyDescent="0.2">
      <c r="C198" s="88"/>
      <c r="E198" s="88"/>
      <c r="G198" s="88"/>
      <c r="I198" s="88"/>
      <c r="K198" s="88"/>
    </row>
    <row r="199" spans="1:12" x14ac:dyDescent="0.2">
      <c r="C199" s="88"/>
      <c r="E199" s="88"/>
      <c r="G199" s="88"/>
      <c r="I199" s="88"/>
      <c r="K199" s="88"/>
    </row>
    <row r="200" spans="1:12" x14ac:dyDescent="0.2">
      <c r="C200" s="88"/>
      <c r="E200" s="88"/>
      <c r="G200" s="88"/>
      <c r="I200" s="88"/>
      <c r="K200" s="88"/>
    </row>
    <row r="201" spans="1:12" x14ac:dyDescent="0.2">
      <c r="C201" s="88"/>
      <c r="E201" s="88"/>
      <c r="G201" s="88"/>
      <c r="I201" s="88"/>
      <c r="K201" s="88"/>
    </row>
    <row r="202" spans="1:12" x14ac:dyDescent="0.2">
      <c r="C202" s="88"/>
      <c r="E202" s="88"/>
      <c r="G202" s="88"/>
      <c r="I202" s="88"/>
      <c r="K202" s="88"/>
    </row>
    <row r="203" spans="1:12" x14ac:dyDescent="0.2">
      <c r="C203" s="88"/>
      <c r="E203" s="88"/>
      <c r="G203" s="88"/>
      <c r="I203" s="88"/>
      <c r="K203" s="88"/>
    </row>
    <row r="204" spans="1:12" x14ac:dyDescent="0.2">
      <c r="C204" s="88"/>
      <c r="E204" s="88"/>
      <c r="G204" s="88"/>
      <c r="I204" s="88"/>
      <c r="K204" s="88"/>
    </row>
    <row r="205" spans="1:12" x14ac:dyDescent="0.2">
      <c r="C205" s="13"/>
      <c r="E205" s="13"/>
      <c r="G205" s="13"/>
      <c r="I205" s="13"/>
      <c r="K205" s="13"/>
    </row>
    <row r="206" spans="1:12" x14ac:dyDescent="0.2">
      <c r="C206" s="13"/>
      <c r="E206" s="13"/>
      <c r="G206" s="13"/>
      <c r="I206" s="13"/>
      <c r="K206" s="13"/>
    </row>
    <row r="207" spans="1:12" x14ac:dyDescent="0.2">
      <c r="C207" s="13"/>
      <c r="E207" s="13"/>
      <c r="G207" s="13"/>
      <c r="I207" s="13"/>
      <c r="K207" s="13"/>
    </row>
    <row r="208" spans="1:12" x14ac:dyDescent="0.2">
      <c r="C208" s="13"/>
      <c r="E208" s="13"/>
      <c r="G208" s="13"/>
      <c r="I208" s="13"/>
      <c r="K208" s="13"/>
    </row>
    <row r="209" spans="3:11" x14ac:dyDescent="0.2">
      <c r="C209" s="13"/>
      <c r="E209" s="13"/>
      <c r="G209" s="13"/>
      <c r="I209" s="13"/>
      <c r="K209" s="13"/>
    </row>
    <row r="210" spans="3:11" x14ac:dyDescent="0.2">
      <c r="C210" s="13"/>
      <c r="E210" s="13"/>
      <c r="G210" s="13"/>
      <c r="I210" s="13"/>
      <c r="K210" s="13"/>
    </row>
    <row r="211" spans="3:11" x14ac:dyDescent="0.2">
      <c r="C211" s="13"/>
      <c r="E211" s="13"/>
      <c r="G211" s="13"/>
      <c r="I211" s="13"/>
      <c r="K211" s="13"/>
    </row>
    <row r="212" spans="3:11" x14ac:dyDescent="0.2">
      <c r="C212" s="13"/>
      <c r="E212" s="13"/>
      <c r="G212" s="13"/>
      <c r="I212" s="13"/>
      <c r="K212" s="13"/>
    </row>
    <row r="213" spans="3:11" x14ac:dyDescent="0.2">
      <c r="C213" s="13"/>
      <c r="E213" s="13"/>
      <c r="G213" s="13"/>
      <c r="I213" s="13"/>
      <c r="K213" s="13"/>
    </row>
    <row r="214" spans="3:11" x14ac:dyDescent="0.2">
      <c r="C214" s="13"/>
      <c r="E214" s="13"/>
      <c r="G214" s="13"/>
      <c r="I214" s="13"/>
      <c r="K214" s="13"/>
    </row>
    <row r="215" spans="3:11" x14ac:dyDescent="0.2">
      <c r="C215" s="13"/>
      <c r="E215" s="13"/>
      <c r="G215" s="13"/>
      <c r="I215" s="13"/>
      <c r="K215" s="13"/>
    </row>
    <row r="216" spans="3:11" x14ac:dyDescent="0.2">
      <c r="C216" s="13"/>
      <c r="E216" s="13"/>
      <c r="G216" s="13"/>
      <c r="I216" s="13"/>
      <c r="K216" s="13"/>
    </row>
    <row r="217" spans="3:11" x14ac:dyDescent="0.2">
      <c r="C217" s="13"/>
      <c r="E217" s="13"/>
      <c r="G217" s="13"/>
      <c r="I217" s="13"/>
      <c r="K217" s="13"/>
    </row>
    <row r="218" spans="3:11" x14ac:dyDescent="0.2">
      <c r="C218" s="13"/>
      <c r="E218" s="13"/>
      <c r="G218" s="13"/>
      <c r="I218" s="13"/>
      <c r="K218" s="13"/>
    </row>
    <row r="219" spans="3:11" x14ac:dyDescent="0.2">
      <c r="C219" s="13"/>
      <c r="E219" s="13"/>
      <c r="G219" s="13"/>
      <c r="I219" s="13"/>
      <c r="K219" s="13"/>
    </row>
    <row r="220" spans="3:11" x14ac:dyDescent="0.2">
      <c r="C220" s="13"/>
      <c r="E220" s="13"/>
      <c r="G220" s="13"/>
      <c r="I220" s="13"/>
      <c r="K220" s="13"/>
    </row>
    <row r="221" spans="3:11" x14ac:dyDescent="0.2">
      <c r="C221" s="13"/>
      <c r="E221" s="13"/>
      <c r="G221" s="13"/>
      <c r="I221" s="13"/>
      <c r="K221" s="13"/>
    </row>
    <row r="222" spans="3:11" x14ac:dyDescent="0.2">
      <c r="C222" s="13"/>
      <c r="E222" s="13"/>
      <c r="G222" s="13"/>
      <c r="I222" s="13"/>
      <c r="K222" s="13"/>
    </row>
    <row r="223" spans="3:11" x14ac:dyDescent="0.2">
      <c r="C223" s="13"/>
      <c r="E223" s="13"/>
      <c r="G223" s="13"/>
      <c r="I223" s="13"/>
      <c r="K223" s="13"/>
    </row>
    <row r="224" spans="3:11" x14ac:dyDescent="0.2">
      <c r="C224" s="13"/>
      <c r="E224" s="13"/>
      <c r="G224" s="13"/>
      <c r="I224" s="13"/>
      <c r="K224" s="13"/>
    </row>
    <row r="225" spans="3:11" x14ac:dyDescent="0.2">
      <c r="C225" s="13"/>
      <c r="E225" s="13"/>
      <c r="G225" s="13"/>
      <c r="I225" s="13"/>
      <c r="K225" s="13"/>
    </row>
    <row r="226" spans="3:11" x14ac:dyDescent="0.2">
      <c r="C226" s="13"/>
      <c r="E226" s="13"/>
      <c r="G226" s="13"/>
      <c r="I226" s="13"/>
      <c r="K226" s="13"/>
    </row>
    <row r="227" spans="3:11" x14ac:dyDescent="0.2">
      <c r="C227" s="13"/>
      <c r="E227" s="13"/>
      <c r="G227" s="13"/>
      <c r="I227" s="13"/>
      <c r="K227" s="13"/>
    </row>
    <row r="228" spans="3:11" x14ac:dyDescent="0.2">
      <c r="C228" s="13"/>
      <c r="E228" s="13"/>
      <c r="G228" s="13"/>
      <c r="I228" s="13"/>
      <c r="K228" s="13"/>
    </row>
    <row r="229" spans="3:11" x14ac:dyDescent="0.2">
      <c r="C229" s="13"/>
      <c r="E229" s="13"/>
      <c r="G229" s="13"/>
      <c r="I229" s="13"/>
      <c r="K229" s="13"/>
    </row>
    <row r="230" spans="3:11" x14ac:dyDescent="0.2">
      <c r="C230" s="13"/>
      <c r="E230" s="13"/>
      <c r="G230" s="13"/>
      <c r="I230" s="13"/>
      <c r="K230" s="13"/>
    </row>
    <row r="231" spans="3:11" x14ac:dyDescent="0.2">
      <c r="C231" s="13"/>
      <c r="E231" s="13"/>
      <c r="G231" s="13"/>
      <c r="I231" s="13"/>
      <c r="K231" s="13"/>
    </row>
    <row r="232" spans="3:11" x14ac:dyDescent="0.2">
      <c r="C232" s="13"/>
      <c r="E232" s="13"/>
      <c r="G232" s="13"/>
      <c r="I232" s="13"/>
      <c r="K232" s="13"/>
    </row>
    <row r="233" spans="3:11" x14ac:dyDescent="0.2">
      <c r="C233" s="13"/>
      <c r="E233" s="13"/>
      <c r="G233" s="13"/>
      <c r="I233" s="13"/>
      <c r="K233" s="13"/>
    </row>
    <row r="234" spans="3:11" x14ac:dyDescent="0.2">
      <c r="C234" s="13"/>
      <c r="E234" s="13"/>
      <c r="G234" s="13"/>
      <c r="I234" s="13"/>
      <c r="K234" s="13"/>
    </row>
    <row r="235" spans="3:11" x14ac:dyDescent="0.2">
      <c r="C235" s="13"/>
      <c r="E235" s="13"/>
      <c r="G235" s="13"/>
      <c r="I235" s="13"/>
      <c r="K235" s="13"/>
    </row>
    <row r="236" spans="3:11" x14ac:dyDescent="0.2">
      <c r="C236" s="13"/>
      <c r="E236" s="13"/>
      <c r="G236" s="13"/>
      <c r="I236" s="13"/>
      <c r="K236" s="13"/>
    </row>
    <row r="237" spans="3:11" x14ac:dyDescent="0.2">
      <c r="C237" s="13"/>
      <c r="E237" s="13"/>
      <c r="G237" s="13"/>
      <c r="I237" s="13"/>
      <c r="K237" s="13"/>
    </row>
    <row r="238" spans="3:11" x14ac:dyDescent="0.2">
      <c r="C238" s="13"/>
      <c r="E238" s="13"/>
      <c r="G238" s="13"/>
      <c r="I238" s="13"/>
      <c r="K238" s="13"/>
    </row>
    <row r="239" spans="3:11" x14ac:dyDescent="0.2">
      <c r="C239" s="13"/>
      <c r="E239" s="13"/>
      <c r="G239" s="13"/>
      <c r="I239" s="13"/>
      <c r="K239" s="13"/>
    </row>
    <row r="240" spans="3:11" x14ac:dyDescent="0.2">
      <c r="C240" s="13"/>
      <c r="E240" s="13"/>
      <c r="G240" s="13"/>
      <c r="I240" s="13"/>
      <c r="K240" s="13"/>
    </row>
    <row r="241" spans="3:11" x14ac:dyDescent="0.2">
      <c r="C241" s="13"/>
      <c r="E241" s="13"/>
      <c r="G241" s="13"/>
      <c r="I241" s="13"/>
      <c r="K241" s="13"/>
    </row>
    <row r="242" spans="3:11" x14ac:dyDescent="0.2">
      <c r="C242" s="13"/>
      <c r="E242" s="13"/>
      <c r="G242" s="13"/>
      <c r="I242" s="13"/>
      <c r="K242" s="13"/>
    </row>
    <row r="243" spans="3:11" x14ac:dyDescent="0.2">
      <c r="C243" s="13"/>
      <c r="E243" s="13"/>
      <c r="G243" s="13"/>
      <c r="I243" s="13"/>
      <c r="K243" s="13"/>
    </row>
    <row r="244" spans="3:11" x14ac:dyDescent="0.2">
      <c r="C244" s="13"/>
      <c r="E244" s="13"/>
      <c r="G244" s="13"/>
      <c r="I244" s="13"/>
      <c r="K244" s="13"/>
    </row>
    <row r="245" spans="3:11" x14ac:dyDescent="0.2">
      <c r="C245" s="13"/>
      <c r="E245" s="13"/>
      <c r="G245" s="13"/>
      <c r="I245" s="13"/>
      <c r="K245" s="13"/>
    </row>
    <row r="246" spans="3:11" x14ac:dyDescent="0.2">
      <c r="C246" s="13"/>
      <c r="E246" s="13"/>
      <c r="G246" s="13"/>
      <c r="I246" s="13"/>
      <c r="K246" s="13"/>
    </row>
    <row r="247" spans="3:11" x14ac:dyDescent="0.2">
      <c r="C247" s="13"/>
      <c r="E247" s="13"/>
      <c r="G247" s="13"/>
      <c r="I247" s="13"/>
      <c r="K247" s="13"/>
    </row>
    <row r="248" spans="3:11" x14ac:dyDescent="0.2">
      <c r="C248" s="13"/>
      <c r="E248" s="13"/>
      <c r="G248" s="13"/>
      <c r="I248" s="13"/>
      <c r="K248" s="13"/>
    </row>
    <row r="249" spans="3:11" x14ac:dyDescent="0.2">
      <c r="C249" s="13"/>
      <c r="E249" s="13"/>
      <c r="G249" s="13"/>
      <c r="I249" s="13"/>
      <c r="K249" s="13"/>
    </row>
    <row r="250" spans="3:11" x14ac:dyDescent="0.2">
      <c r="C250" s="13"/>
      <c r="E250" s="13"/>
      <c r="G250" s="13"/>
      <c r="I250" s="13"/>
      <c r="K250" s="13"/>
    </row>
    <row r="251" spans="3:11" x14ac:dyDescent="0.2">
      <c r="C251" s="13"/>
      <c r="E251" s="13"/>
      <c r="G251" s="13"/>
      <c r="I251" s="13"/>
      <c r="K251" s="13"/>
    </row>
    <row r="252" spans="3:11" x14ac:dyDescent="0.2">
      <c r="C252" s="13"/>
      <c r="E252" s="13"/>
      <c r="G252" s="13"/>
      <c r="I252" s="13"/>
      <c r="K252" s="13"/>
    </row>
    <row r="253" spans="3:11" x14ac:dyDescent="0.2">
      <c r="C253" s="13"/>
      <c r="E253" s="13"/>
      <c r="G253" s="13"/>
      <c r="I253" s="13"/>
      <c r="K253" s="13"/>
    </row>
    <row r="254" spans="3:11" x14ac:dyDescent="0.2">
      <c r="C254" s="13"/>
      <c r="E254" s="13"/>
      <c r="G254" s="13"/>
      <c r="I254" s="13"/>
      <c r="K254" s="13"/>
    </row>
    <row r="255" spans="3:11" x14ac:dyDescent="0.2">
      <c r="C255" s="13"/>
      <c r="E255" s="13"/>
      <c r="G255" s="13"/>
      <c r="I255" s="13"/>
      <c r="K255" s="13"/>
    </row>
    <row r="256" spans="3:11" x14ac:dyDescent="0.2">
      <c r="C256" s="13"/>
      <c r="E256" s="13"/>
      <c r="G256" s="13"/>
      <c r="I256" s="13"/>
      <c r="K256" s="13"/>
    </row>
    <row r="257" spans="3:11" x14ac:dyDescent="0.2">
      <c r="C257" s="13"/>
      <c r="E257" s="13"/>
      <c r="G257" s="13"/>
      <c r="I257" s="13"/>
      <c r="K257" s="13"/>
    </row>
    <row r="258" spans="3:11" x14ac:dyDescent="0.2">
      <c r="C258" s="13"/>
      <c r="E258" s="13"/>
      <c r="G258" s="13"/>
      <c r="I258" s="13"/>
      <c r="K258" s="13"/>
    </row>
    <row r="259" spans="3:11" x14ac:dyDescent="0.2">
      <c r="C259" s="13"/>
      <c r="E259" s="13"/>
      <c r="G259" s="13"/>
      <c r="I259" s="13"/>
      <c r="K259" s="13"/>
    </row>
    <row r="260" spans="3:11" x14ac:dyDescent="0.2">
      <c r="C260" s="13"/>
      <c r="E260" s="13"/>
      <c r="G260" s="13"/>
      <c r="I260" s="13"/>
      <c r="K260" s="13"/>
    </row>
    <row r="261" spans="3:11" x14ac:dyDescent="0.2">
      <c r="C261" s="13"/>
      <c r="E261" s="13"/>
      <c r="G261" s="13"/>
      <c r="I261" s="13"/>
      <c r="K261" s="13"/>
    </row>
    <row r="262" spans="3:11" x14ac:dyDescent="0.2">
      <c r="C262" s="13"/>
      <c r="E262" s="13"/>
      <c r="G262" s="13"/>
      <c r="I262" s="13"/>
      <c r="K262" s="13"/>
    </row>
    <row r="263" spans="3:11" x14ac:dyDescent="0.2">
      <c r="C263" s="13"/>
      <c r="E263" s="13"/>
      <c r="G263" s="13"/>
      <c r="I263" s="13"/>
      <c r="K263" s="13"/>
    </row>
    <row r="264" spans="3:11" x14ac:dyDescent="0.2">
      <c r="C264" s="13"/>
      <c r="E264" s="13"/>
      <c r="G264" s="13"/>
      <c r="I264" s="13"/>
      <c r="K264" s="13"/>
    </row>
    <row r="265" spans="3:11" x14ac:dyDescent="0.2">
      <c r="C265" s="13"/>
      <c r="E265" s="13"/>
      <c r="G265" s="13"/>
      <c r="I265" s="13"/>
      <c r="K265" s="13"/>
    </row>
    <row r="266" spans="3:11" x14ac:dyDescent="0.2">
      <c r="C266" s="13"/>
      <c r="E266" s="13"/>
      <c r="G266" s="13"/>
      <c r="I266" s="13"/>
      <c r="K266" s="13"/>
    </row>
    <row r="267" spans="3:11" x14ac:dyDescent="0.2">
      <c r="C267" s="13"/>
      <c r="E267" s="13"/>
      <c r="G267" s="13"/>
      <c r="I267" s="13"/>
      <c r="K267" s="13"/>
    </row>
    <row r="268" spans="3:11" x14ac:dyDescent="0.2">
      <c r="C268" s="13"/>
      <c r="E268" s="13"/>
      <c r="G268" s="13"/>
      <c r="I268" s="13"/>
      <c r="K268" s="13"/>
    </row>
    <row r="269" spans="3:11" x14ac:dyDescent="0.2">
      <c r="C269" s="13"/>
      <c r="E269" s="13"/>
      <c r="G269" s="13"/>
      <c r="I269" s="13"/>
      <c r="K269" s="13"/>
    </row>
    <row r="270" spans="3:11" x14ac:dyDescent="0.2">
      <c r="C270" s="13"/>
      <c r="E270" s="13"/>
      <c r="G270" s="13"/>
      <c r="I270" s="13"/>
      <c r="K270" s="13"/>
    </row>
  </sheetData>
  <mergeCells count="3">
    <mergeCell ref="A1:M1"/>
    <mergeCell ref="A2:M2"/>
    <mergeCell ref="A3:M3"/>
  </mergeCells>
  <printOptions horizontalCentered="1"/>
  <pageMargins left="0.75" right="0.75" top="1" bottom="1" header="0.5" footer="0.5"/>
  <pageSetup scale="67" fitToHeight="0" orientation="landscape" r:id="rId1"/>
  <headerFooter alignWithMargins="0">
    <oddFooter>&amp;R&amp;"Times New Roman,Bold"&amp;12Case No. 2018-00295
Attachment 6 to Response to US DOD-2 Question No. 7   
Page &amp;P of &amp;N
Garrett</oddFooter>
  </headerFooter>
  <rowBreaks count="2" manualBreakCount="2">
    <brk id="47" max="16383" man="1"/>
    <brk id="79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1"/>
  <sheetViews>
    <sheetView zoomScale="90" zoomScaleNormal="90" workbookViewId="0">
      <selection sqref="A1:R1"/>
    </sheetView>
  </sheetViews>
  <sheetFormatPr defaultRowHeight="12.75" x14ac:dyDescent="0.2"/>
  <cols>
    <col min="1" max="1" width="51.42578125" style="3" bestFit="1" customWidth="1"/>
    <col min="2" max="2" width="17.7109375" style="14" customWidth="1"/>
    <col min="3" max="3" width="1.7109375" style="3" customWidth="1"/>
    <col min="4" max="4" width="17.7109375" style="14" customWidth="1"/>
    <col min="5" max="5" width="1.7109375" style="3" customWidth="1"/>
    <col min="6" max="6" width="17.7109375" style="14" customWidth="1"/>
    <col min="7" max="7" width="1.7109375" style="3" customWidth="1"/>
    <col min="8" max="8" width="17.7109375" style="14" customWidth="1"/>
    <col min="9" max="9" width="1.7109375" style="3" customWidth="1"/>
    <col min="10" max="10" width="17.7109375" style="14" customWidth="1"/>
    <col min="11" max="11" width="1.7109375" style="3" customWidth="1"/>
    <col min="12" max="12" width="17.7109375" style="14" customWidth="1"/>
    <col min="13" max="13" width="1.85546875" style="3" customWidth="1"/>
    <col min="14" max="14" width="19.42578125" style="3" customWidth="1"/>
    <col min="15" max="15" width="2.140625" style="3" customWidth="1"/>
    <col min="16" max="16" width="23.140625" style="3" bestFit="1" customWidth="1"/>
    <col min="17" max="16384" width="9.140625" style="3"/>
  </cols>
  <sheetData>
    <row r="1" spans="1:16" s="86" customFormat="1" ht="15.75" x14ac:dyDescent="0.25">
      <c r="A1" s="154" t="s">
        <v>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</row>
    <row r="2" spans="1:16" s="86" customFormat="1" ht="15.75" x14ac:dyDescent="0.25">
      <c r="A2" s="154" t="s">
        <v>3252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</row>
    <row r="3" spans="1:16" x14ac:dyDescent="0.2">
      <c r="A3" s="144" t="str">
        <f>'KU_Summary - Cost - P1 (REG)'!A3:N3</f>
        <v>DECEMBER 2016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</row>
    <row r="4" spans="1:16" x14ac:dyDescent="0.2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</row>
    <row r="5" spans="1:16" x14ac:dyDescent="0.2">
      <c r="A5" s="87"/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</row>
    <row r="6" spans="1:16" x14ac:dyDescent="0.2">
      <c r="B6" s="25" t="s">
        <v>2</v>
      </c>
      <c r="H6" s="25" t="s">
        <v>3</v>
      </c>
      <c r="L6" s="25" t="s">
        <v>4</v>
      </c>
      <c r="P6" s="12" t="s">
        <v>3232</v>
      </c>
    </row>
    <row r="7" spans="1:16" x14ac:dyDescent="0.2">
      <c r="B7" s="10" t="s">
        <v>5</v>
      </c>
      <c r="D7" s="10" t="s">
        <v>6</v>
      </c>
      <c r="F7" s="10" t="s">
        <v>7</v>
      </c>
      <c r="H7" s="10" t="s">
        <v>8</v>
      </c>
      <c r="J7" s="10" t="s">
        <v>9</v>
      </c>
      <c r="L7" s="10" t="s">
        <v>5</v>
      </c>
      <c r="N7" s="10" t="s">
        <v>3234</v>
      </c>
      <c r="P7" s="10" t="s">
        <v>3235</v>
      </c>
    </row>
    <row r="8" spans="1:16" x14ac:dyDescent="0.2">
      <c r="A8" s="12" t="s">
        <v>3236</v>
      </c>
      <c r="B8" s="11"/>
      <c r="D8" s="11"/>
      <c r="F8" s="11"/>
      <c r="H8" s="11"/>
      <c r="J8" s="11"/>
      <c r="L8" s="11"/>
    </row>
    <row r="9" spans="1:16" x14ac:dyDescent="0.2">
      <c r="A9" s="12" t="s">
        <v>3237</v>
      </c>
    </row>
    <row r="10" spans="1:16" x14ac:dyDescent="0.2">
      <c r="A10" s="12" t="s">
        <v>12</v>
      </c>
    </row>
    <row r="11" spans="1:16" x14ac:dyDescent="0.2">
      <c r="A11" s="3" t="s">
        <v>153</v>
      </c>
      <c r="B11" s="14">
        <f>'KY_Cost by Plant Acct P8 (REG)'!B11</f>
        <v>2075300.07</v>
      </c>
      <c r="C11" s="88"/>
      <c r="D11" s="14">
        <f>'KY_Cost by Plant Acct P8 (REG)'!D11</f>
        <v>0</v>
      </c>
      <c r="E11" s="88"/>
      <c r="F11" s="14">
        <f>'KY_Cost by Plant Acct P8 (REG)'!F11</f>
        <v>0</v>
      </c>
      <c r="G11" s="88"/>
      <c r="H11" s="14">
        <f>'KY_Cost by Plant Acct P8 (REG)'!H11</f>
        <v>0</v>
      </c>
      <c r="I11" s="88"/>
      <c r="J11" s="14">
        <f t="shared" ref="J11:J26" si="0">H11+F11+D11</f>
        <v>0</v>
      </c>
      <c r="K11" s="88"/>
      <c r="L11" s="14">
        <f t="shared" ref="L11:L26" si="1">J11+B11</f>
        <v>2075300.07</v>
      </c>
      <c r="N11" s="15">
        <f>'KY_Res by Plant Acct P16(REG)'!R10+'KY_Res by Plant Acct P16(REG)'!R11</f>
        <v>-1399697.5099999998</v>
      </c>
      <c r="P11" s="15">
        <f>L11+N11</f>
        <v>675602.56000000029</v>
      </c>
    </row>
    <row r="12" spans="1:16" x14ac:dyDescent="0.2">
      <c r="A12" s="3" t="s">
        <v>154</v>
      </c>
      <c r="B12" s="14">
        <f>'KY_Cost by Plant Acct P8 (REG)'!B12+'KY_Cost by Plant Acct P8 (REG)'!B119</f>
        <v>5569266.5200000005</v>
      </c>
      <c r="C12" s="88"/>
      <c r="D12" s="14">
        <f>'KY_Cost by Plant Acct P8 (REG)'!D12+'KY_Cost by Plant Acct P8 (REG)'!D119</f>
        <v>0</v>
      </c>
      <c r="E12" s="88"/>
      <c r="F12" s="14">
        <f>'KY_Cost by Plant Acct P8 (REG)'!F12</f>
        <v>0</v>
      </c>
      <c r="G12" s="88"/>
      <c r="H12" s="14">
        <f>'KY_Cost by Plant Acct P8 (REG)'!H12+'KY_Cost by Plant Acct P8 (REG)'!H119</f>
        <v>-113882.25</v>
      </c>
      <c r="I12" s="88"/>
      <c r="J12" s="14">
        <f t="shared" si="0"/>
        <v>-113882.25</v>
      </c>
      <c r="K12" s="88"/>
      <c r="L12" s="14">
        <f t="shared" si="1"/>
        <v>5455384.2700000005</v>
      </c>
      <c r="N12" s="15">
        <f>'KY_Res by Plant Acct P16(REG)'!R12</f>
        <v>-7.2759576141834259E-12</v>
      </c>
      <c r="P12" s="15">
        <f t="shared" ref="P12:P26" si="2">L12+N12</f>
        <v>5455384.2700000005</v>
      </c>
    </row>
    <row r="13" spans="1:16" x14ac:dyDescent="0.2">
      <c r="A13" s="3" t="s">
        <v>155</v>
      </c>
      <c r="B13" s="14">
        <f>'KY_Cost by Plant Acct P8 (REG)'!B13+'KY_Cost by Plant Acct P8 (REG)'!B120</f>
        <v>10229968.790000001</v>
      </c>
      <c r="C13" s="88"/>
      <c r="D13" s="14">
        <f>'KY_Cost by Plant Acct P8 (REG)'!D13+'KY_Cost by Plant Acct P8 (REG)'!D120</f>
        <v>2036525.69</v>
      </c>
      <c r="E13" s="88"/>
      <c r="F13" s="14">
        <f>'KY_Cost by Plant Acct P8 (REG)'!F13</f>
        <v>-11232.24</v>
      </c>
      <c r="G13" s="88"/>
      <c r="H13" s="14">
        <f>'KY_Cost by Plant Acct P8 (REG)'!H13+'KY_Cost by Plant Acct P8 (REG)'!H120</f>
        <v>4946.97</v>
      </c>
      <c r="I13" s="88"/>
      <c r="J13" s="14">
        <f t="shared" si="0"/>
        <v>2030240.42</v>
      </c>
      <c r="K13" s="88"/>
      <c r="L13" s="14">
        <f t="shared" si="1"/>
        <v>12260209.210000001</v>
      </c>
      <c r="N13" s="15">
        <f>'KY_Res by Plant Acct P16(REG)'!R13</f>
        <v>-2325563.2599999998</v>
      </c>
      <c r="P13" s="15">
        <f t="shared" si="2"/>
        <v>9934645.9500000011</v>
      </c>
    </row>
    <row r="14" spans="1:16" x14ac:dyDescent="0.2">
      <c r="A14" s="3" t="s">
        <v>156</v>
      </c>
      <c r="B14" s="14">
        <f>'KY_Cost by Plant Acct P8 (REG)'!B14+'KY_Cost by Plant Acct P8 (REG)'!B121</f>
        <v>165097647.80000001</v>
      </c>
      <c r="C14" s="88"/>
      <c r="D14" s="14">
        <f>'KY_Cost by Plant Acct P8 (REG)'!D14+'KY_Cost by Plant Acct P8 (REG)'!D121</f>
        <v>15073238.939999999</v>
      </c>
      <c r="E14" s="88"/>
      <c r="F14" s="14">
        <f>'KY_Cost by Plant Acct P8 (REG)'!F14+'KY_Cost by Plant Acct P8 (REG)'!F121</f>
        <v>-869796.52</v>
      </c>
      <c r="G14" s="88"/>
      <c r="H14" s="14">
        <f>'KY_Cost by Plant Acct P8 (REG)'!H14+'KY_Cost by Plant Acct P8 (REG)'!H121</f>
        <v>18563.830000000002</v>
      </c>
      <c r="I14" s="88"/>
      <c r="J14" s="14">
        <f t="shared" si="0"/>
        <v>14222006.25</v>
      </c>
      <c r="K14" s="88"/>
      <c r="L14" s="14">
        <f t="shared" si="1"/>
        <v>179319654.05000001</v>
      </c>
      <c r="N14" s="15">
        <f>'KY_Res by Plant Acct P16(REG)'!R14</f>
        <v>-47586642.369999982</v>
      </c>
      <c r="P14" s="15">
        <f t="shared" si="2"/>
        <v>131733011.68000004</v>
      </c>
    </row>
    <row r="15" spans="1:16" x14ac:dyDescent="0.2">
      <c r="A15" s="3" t="s">
        <v>157</v>
      </c>
      <c r="B15" s="14">
        <f>'KY_Cost by Plant Acct P8 (REG)'!B15+'KY_Cost by Plant Acct P8 (REG)'!B122</f>
        <v>328244734.98000002</v>
      </c>
      <c r="C15" s="88"/>
      <c r="D15" s="14">
        <f>'KY_Cost by Plant Acct P8 (REG)'!D15+'KY_Cost by Plant Acct P8 (REG)'!D122</f>
        <v>21579442.829999998</v>
      </c>
      <c r="E15" s="88"/>
      <c r="F15" s="14">
        <f>'KY_Cost by Plant Acct P8 (REG)'!F15</f>
        <v>-1561623.99</v>
      </c>
      <c r="G15" s="88"/>
      <c r="H15" s="14">
        <f>'KY_Cost by Plant Acct P8 (REG)'!H15+'KY_Cost by Plant Acct P8 (REG)'!H122</f>
        <v>0</v>
      </c>
      <c r="I15" s="88"/>
      <c r="J15" s="14">
        <f t="shared" si="0"/>
        <v>20017818.84</v>
      </c>
      <c r="K15" s="88"/>
      <c r="L15" s="14">
        <f t="shared" si="1"/>
        <v>348262553.81999999</v>
      </c>
      <c r="N15" s="15">
        <f>'KY_Res by Plant Acct P16(REG)'!R16+'KY_Res by Plant Acct P16(REG)'!R17+'KY_Res by Plant Acct P16(REG)'!R15</f>
        <v>-145542731.24999997</v>
      </c>
      <c r="P15" s="15">
        <f t="shared" si="2"/>
        <v>202719822.57000002</v>
      </c>
    </row>
    <row r="16" spans="1:16" x14ac:dyDescent="0.2">
      <c r="A16" s="3" t="s">
        <v>158</v>
      </c>
      <c r="B16" s="14">
        <f>'KY_Cost by Plant Acct P8 (REG)'!B16+'KY_Cost by Plant Acct P8 (REG)'!B123</f>
        <v>314153968.55000001</v>
      </c>
      <c r="C16" s="88"/>
      <c r="D16" s="14">
        <f>'KY_Cost by Plant Acct P8 (REG)'!D16+'KY_Cost by Plant Acct P8 (REG)'!D123</f>
        <v>26183223.959999997</v>
      </c>
      <c r="E16" s="88"/>
      <c r="F16" s="14">
        <f>'KY_Cost by Plant Acct P8 (REG)'!F16</f>
        <v>-9397625.2699999996</v>
      </c>
      <c r="G16" s="88"/>
      <c r="H16" s="14">
        <f>'KY_Cost by Plant Acct P8 (REG)'!H16+'KY_Cost by Plant Acct P8 (REG)'!H123</f>
        <v>21928.15</v>
      </c>
      <c r="I16" s="88"/>
      <c r="J16" s="14">
        <f t="shared" si="0"/>
        <v>16807526.839999996</v>
      </c>
      <c r="K16" s="88"/>
      <c r="L16" s="14">
        <f t="shared" si="1"/>
        <v>330961495.38999999</v>
      </c>
      <c r="N16" s="15">
        <f>'KY_Res by Plant Acct P16(REG)'!R18+'KY_Res by Plant Acct P16(REG)'!R19+'KY_Res by Plant Acct P16(REG)'!R20</f>
        <v>-109162383.42999996</v>
      </c>
      <c r="P16" s="15">
        <f t="shared" si="2"/>
        <v>221799111.96000004</v>
      </c>
    </row>
    <row r="17" spans="1:16" x14ac:dyDescent="0.2">
      <c r="A17" s="3" t="s">
        <v>159</v>
      </c>
      <c r="B17" s="14">
        <f>'KY_Cost by Plant Acct P8 (REG)'!B17+'KY_Cost by Plant Acct P8 (REG)'!B124</f>
        <v>2050521.6899999997</v>
      </c>
      <c r="C17" s="88"/>
      <c r="D17" s="14">
        <f>'KY_Cost by Plant Acct P8 (REG)'!D17+'KY_Cost by Plant Acct P8 (REG)'!D124</f>
        <v>341835.43</v>
      </c>
      <c r="E17" s="88"/>
      <c r="F17" s="14">
        <f>'KY_Cost by Plant Acct P8 (REG)'!F17</f>
        <v>-2186.06</v>
      </c>
      <c r="G17" s="88"/>
      <c r="H17" s="14">
        <f>'KY_Cost by Plant Acct P8 (REG)'!H17+'KY_Cost by Plant Acct P8 (REG)'!H124</f>
        <v>0</v>
      </c>
      <c r="I17" s="88"/>
      <c r="J17" s="14">
        <f t="shared" si="0"/>
        <v>339649.37</v>
      </c>
      <c r="K17" s="88"/>
      <c r="L17" s="14">
        <f t="shared" si="1"/>
        <v>2390171.0599999996</v>
      </c>
      <c r="N17" s="15">
        <f>'KY_Res by Plant Acct P16(REG)'!R21+'KY_Res by Plant Acct P16(REG)'!R22</f>
        <v>-891117.03</v>
      </c>
      <c r="P17" s="15">
        <f t="shared" si="2"/>
        <v>1499054.0299999996</v>
      </c>
    </row>
    <row r="18" spans="1:16" x14ac:dyDescent="0.2">
      <c r="A18" s="3" t="s">
        <v>160</v>
      </c>
      <c r="B18" s="14">
        <f>'KY_Cost by Plant Acct P8 (REG)'!B18+'KY_Cost by Plant Acct P8 (REG)'!B125</f>
        <v>177441231.46000001</v>
      </c>
      <c r="C18" s="88"/>
      <c r="D18" s="14">
        <f>'KY_Cost by Plant Acct P8 (REG)'!D18+'KY_Cost by Plant Acct P8 (REG)'!D125</f>
        <v>8795754.6500000004</v>
      </c>
      <c r="E18" s="88"/>
      <c r="F18" s="14">
        <f>'KY_Cost by Plant Acct P8 (REG)'!F18</f>
        <v>-916012.62</v>
      </c>
      <c r="G18" s="88"/>
      <c r="H18" s="14">
        <f>'KY_Cost by Plant Acct P8 (REG)'!H18+'KY_Cost by Plant Acct P8 (REG)'!H125</f>
        <v>0</v>
      </c>
      <c r="I18" s="88"/>
      <c r="J18" s="14">
        <f t="shared" si="0"/>
        <v>7879742.0300000003</v>
      </c>
      <c r="K18" s="88"/>
      <c r="L18" s="14">
        <f t="shared" si="1"/>
        <v>185320973.49000001</v>
      </c>
      <c r="N18" s="15">
        <f>'KY_Res by Plant Acct P16(REG)'!R23+'KY_Res by Plant Acct P16(REG)'!R24</f>
        <v>-43450483.459999986</v>
      </c>
      <c r="P18" s="15">
        <f t="shared" si="2"/>
        <v>141870490.03000003</v>
      </c>
    </row>
    <row r="19" spans="1:16" x14ac:dyDescent="0.2">
      <c r="A19" s="3" t="s">
        <v>161</v>
      </c>
      <c r="B19" s="14">
        <f>'KY_Cost by Plant Acct P8 (REG)'!B19+'KY_Cost by Plant Acct P8 (REG)'!B126</f>
        <v>294715993.29000002</v>
      </c>
      <c r="C19" s="88"/>
      <c r="D19" s="14">
        <f>'KY_Cost by Plant Acct P8 (REG)'!D19+'KY_Cost by Plant Acct P8 (REG)'!D126</f>
        <v>8052860.3399999999</v>
      </c>
      <c r="E19" s="88"/>
      <c r="F19" s="14">
        <f>'KY_Cost by Plant Acct P8 (REG)'!F19</f>
        <v>-835598.27</v>
      </c>
      <c r="G19" s="88"/>
      <c r="H19" s="14">
        <f>'KY_Cost by Plant Acct P8 (REG)'!H19+'KY_Cost by Plant Acct P8 (REG)'!H126</f>
        <v>0</v>
      </c>
      <c r="I19" s="88"/>
      <c r="J19" s="14">
        <f t="shared" si="0"/>
        <v>7217262.0700000003</v>
      </c>
      <c r="K19" s="88"/>
      <c r="L19" s="14">
        <f t="shared" si="1"/>
        <v>301933255.36000001</v>
      </c>
      <c r="N19" s="15">
        <f>'KY_Res by Plant Acct P16(REG)'!R25</f>
        <v>-140130275.53999999</v>
      </c>
      <c r="P19" s="15">
        <f t="shared" si="2"/>
        <v>161802979.82000002</v>
      </c>
    </row>
    <row r="20" spans="1:16" x14ac:dyDescent="0.2">
      <c r="A20" s="3" t="s">
        <v>162</v>
      </c>
      <c r="B20" s="14">
        <f>'KY_Cost by Plant Acct P8 (REG)'!B20+'KY_Cost by Plant Acct P8 (REG)'!B127</f>
        <v>89656407.00999999</v>
      </c>
      <c r="C20" s="88"/>
      <c r="D20" s="14">
        <f>'KY_Cost by Plant Acct P8 (REG)'!D20+'KY_Cost by Plant Acct P8 (REG)'!D127</f>
        <v>8567452.370000001</v>
      </c>
      <c r="E20" s="88"/>
      <c r="F20" s="14">
        <f>'KY_Cost by Plant Acct P8 (REG)'!F20</f>
        <v>-245526.64</v>
      </c>
      <c r="G20" s="88"/>
      <c r="H20" s="14">
        <f>'KY_Cost by Plant Acct P8 (REG)'!H20+'KY_Cost by Plant Acct P8 (REG)'!H127</f>
        <v>0</v>
      </c>
      <c r="I20" s="88"/>
      <c r="J20" s="14">
        <f t="shared" si="0"/>
        <v>8321925.7300000014</v>
      </c>
      <c r="K20" s="88"/>
      <c r="L20" s="14">
        <f t="shared" si="1"/>
        <v>97978332.739999995</v>
      </c>
      <c r="N20" s="15">
        <f>'KY_Res by Plant Acct P16(REG)'!R26</f>
        <v>-59026626.910000011</v>
      </c>
      <c r="P20" s="15">
        <f t="shared" si="2"/>
        <v>38951705.829999983</v>
      </c>
    </row>
    <row r="21" spans="1:16" x14ac:dyDescent="0.2">
      <c r="A21" s="3" t="s">
        <v>163</v>
      </c>
      <c r="B21" s="14">
        <f>'KY_Cost by Plant Acct P8 (REG)'!B21+'KY_Cost by Plant Acct P8 (REG)'!B128</f>
        <v>72583093.900000006</v>
      </c>
      <c r="C21" s="88"/>
      <c r="D21" s="14">
        <f>'KY_Cost by Plant Acct P8 (REG)'!D21+'KY_Cost by Plant Acct P8 (REG)'!D128</f>
        <v>2365801.2800000003</v>
      </c>
      <c r="E21" s="88"/>
      <c r="F21" s="14">
        <f>'KY_Cost by Plant Acct P8 (REG)'!F21+'KY_Cost by Plant Acct P8 (REG)'!F128</f>
        <v>-806455.03</v>
      </c>
      <c r="G21" s="88"/>
      <c r="H21" s="14">
        <f>'KY_Cost by Plant Acct P8 (REG)'!H21+'KY_Cost by Plant Acct P8 (REG)'!H128</f>
        <v>0</v>
      </c>
      <c r="I21" s="88"/>
      <c r="J21" s="14">
        <f t="shared" si="0"/>
        <v>1559346.2500000002</v>
      </c>
      <c r="K21" s="88"/>
      <c r="L21" s="14">
        <f t="shared" si="1"/>
        <v>74142440.150000006</v>
      </c>
      <c r="N21" s="15">
        <f>'KY_Res by Plant Acct P16(REG)'!R27</f>
        <v>-36150789.620000005</v>
      </c>
      <c r="P21" s="15">
        <f t="shared" si="2"/>
        <v>37991650.530000001</v>
      </c>
    </row>
    <row r="22" spans="1:16" x14ac:dyDescent="0.2">
      <c r="A22" s="43" t="s">
        <v>164</v>
      </c>
      <c r="B22" s="14">
        <f>'KY_Cost by Plant Acct P8 (REG)'!B22+'KY_Cost by Plant Acct P8 (REG)'!B129</f>
        <v>698893.34</v>
      </c>
      <c r="C22" s="88"/>
      <c r="D22" s="14">
        <f>'KY_Cost by Plant Acct P8 (REG)'!D22+'KY_Cost by Plant Acct P8 (REG)'!D129</f>
        <v>300884.67999999993</v>
      </c>
      <c r="E22" s="88"/>
      <c r="F22" s="14">
        <f>'KY_Cost by Plant Acct P8 (REG)'!F22+'KY_Cost by Plant Acct P8 (REG)'!F129</f>
        <v>0</v>
      </c>
      <c r="G22" s="88"/>
      <c r="H22" s="14">
        <f>'KY_Cost by Plant Acct P8 (REG)'!H22+'KY_Cost by Plant Acct P8 (REG)'!H129</f>
        <v>0</v>
      </c>
      <c r="I22" s="88"/>
      <c r="J22" s="14">
        <f t="shared" si="0"/>
        <v>300884.67999999993</v>
      </c>
      <c r="K22" s="88"/>
      <c r="L22" s="14">
        <f t="shared" si="1"/>
        <v>999778.0199999999</v>
      </c>
      <c r="N22" s="15">
        <f>'KY_Res by Plant Acct P16(REG)'!R28</f>
        <v>-23805.96</v>
      </c>
      <c r="P22" s="15">
        <f t="shared" si="2"/>
        <v>975972.05999999994</v>
      </c>
    </row>
    <row r="23" spans="1:16" x14ac:dyDescent="0.2">
      <c r="A23" s="3" t="s">
        <v>165</v>
      </c>
      <c r="B23" s="14">
        <f>'KY_Cost by Plant Acct P8 (REG)'!B23</f>
        <v>16198922.85</v>
      </c>
      <c r="C23" s="88"/>
      <c r="D23" s="14">
        <f>'KY_Cost by Plant Acct P8 (REG)'!D23</f>
        <v>0</v>
      </c>
      <c r="E23" s="88"/>
      <c r="F23" s="14">
        <f>'KY_Cost by Plant Acct P8 (REG)'!F23</f>
        <v>3735.54</v>
      </c>
      <c r="G23" s="88"/>
      <c r="H23" s="14">
        <f>'KY_Cost by Plant Acct P8 (REG)'!H23</f>
        <v>-16202658.390000001</v>
      </c>
      <c r="I23" s="88"/>
      <c r="J23" s="14">
        <f t="shared" si="0"/>
        <v>-16198922.850000001</v>
      </c>
      <c r="K23" s="88"/>
      <c r="L23" s="14">
        <f t="shared" si="1"/>
        <v>0</v>
      </c>
      <c r="N23" s="15">
        <f>'KY_Res by Plant Acct P16(REG)'!R29</f>
        <v>-6.0349520936142653E-9</v>
      </c>
      <c r="P23" s="15">
        <f t="shared" si="2"/>
        <v>-6.0349520936142653E-9</v>
      </c>
    </row>
    <row r="24" spans="1:16" x14ac:dyDescent="0.2">
      <c r="A24" s="3" t="s">
        <v>166</v>
      </c>
      <c r="B24" s="14">
        <f>'KY_Cost by Plant Acct P8 (REG)'!B24+'KY_Cost by Plant Acct P8 (REG)'!B130</f>
        <v>93376968.5</v>
      </c>
      <c r="C24" s="89"/>
      <c r="D24" s="14">
        <f>'KY_Cost by Plant Acct P8 (REG)'!D24+'KY_Cost by Plant Acct P8 (REG)'!D130</f>
        <v>7689155.0099999998</v>
      </c>
      <c r="E24" s="89"/>
      <c r="F24" s="14">
        <f>'KY_Cost by Plant Acct P8 (REG)'!F24</f>
        <v>-4507346.17</v>
      </c>
      <c r="G24" s="89"/>
      <c r="H24" s="14">
        <f>'KY_Cost by Plant Acct P8 (REG)'!H24+'KY_Cost by Plant Acct P8 (REG)'!H130</f>
        <v>16202658.390000001</v>
      </c>
      <c r="I24" s="89"/>
      <c r="J24" s="17">
        <f t="shared" si="0"/>
        <v>19384467.23</v>
      </c>
      <c r="K24" s="89"/>
      <c r="L24" s="17">
        <f t="shared" si="1"/>
        <v>112761435.73</v>
      </c>
      <c r="N24" s="15">
        <f>'KY_Res by Plant Acct P16(REG)'!R30</f>
        <v>-35834018.379999988</v>
      </c>
      <c r="P24" s="15">
        <f t="shared" si="2"/>
        <v>76927417.350000024</v>
      </c>
    </row>
    <row r="25" spans="1:16" x14ac:dyDescent="0.2">
      <c r="A25" s="3" t="s">
        <v>167</v>
      </c>
      <c r="B25" s="17">
        <f>'KY_Cost by Plant Acct P8 (REG)'!B25</f>
        <v>285453.15999999997</v>
      </c>
      <c r="C25" s="89"/>
      <c r="D25" s="17">
        <f>'KY_Cost by Plant Acct P8 (REG)'!D25</f>
        <v>0</v>
      </c>
      <c r="E25" s="89"/>
      <c r="F25" s="17">
        <f>'KY_Cost by Plant Acct P8 (REG)'!F25</f>
        <v>-2798.53</v>
      </c>
      <c r="G25" s="89"/>
      <c r="H25" s="17">
        <f>'KY_Cost by Plant Acct P8 (REG)'!H25</f>
        <v>339491.86</v>
      </c>
      <c r="I25" s="89"/>
      <c r="J25" s="17">
        <f t="shared" si="0"/>
        <v>336693.32999999996</v>
      </c>
      <c r="K25" s="89"/>
      <c r="L25" s="17">
        <f t="shared" si="1"/>
        <v>622146.49</v>
      </c>
      <c r="M25" s="59"/>
      <c r="N25" s="60">
        <f>'KY_Res by Plant Acct P16(REG)'!R31</f>
        <v>-23306.199999999964</v>
      </c>
      <c r="O25" s="59"/>
      <c r="P25" s="60">
        <f t="shared" si="2"/>
        <v>598840.29</v>
      </c>
    </row>
    <row r="26" spans="1:16" x14ac:dyDescent="0.2">
      <c r="A26" s="73" t="s">
        <v>168</v>
      </c>
      <c r="B26" s="17">
        <f>'KY_Cost by Plant Acct P8 (REG)'!B26</f>
        <v>622242.23</v>
      </c>
      <c r="C26" s="89"/>
      <c r="D26" s="17">
        <f>'KY_Cost by Plant Acct P8 (REG)'!D26</f>
        <v>0</v>
      </c>
      <c r="E26" s="89"/>
      <c r="F26" s="17">
        <f>'KY_Cost by Plant Acct P8 (REG)'!F26</f>
        <v>0</v>
      </c>
      <c r="G26" s="89"/>
      <c r="H26" s="17">
        <f>'KY_Cost by Plant Acct P8 (REG)'!H26</f>
        <v>-550985.65</v>
      </c>
      <c r="I26" s="89"/>
      <c r="J26" s="17">
        <f t="shared" si="0"/>
        <v>-550985.65</v>
      </c>
      <c r="K26" s="89"/>
      <c r="L26" s="17">
        <f t="shared" si="1"/>
        <v>71256.579999999958</v>
      </c>
      <c r="N26" s="60">
        <f>'KY_Res by Plant Acct P16(REG)'!R32</f>
        <v>-101191.59999999999</v>
      </c>
      <c r="P26" s="60">
        <f t="shared" si="2"/>
        <v>-29935.020000000033</v>
      </c>
    </row>
    <row r="27" spans="1:16" x14ac:dyDescent="0.2">
      <c r="B27" s="18">
        <f>SUM(B11:B26)</f>
        <v>1573000614.1400001</v>
      </c>
      <c r="C27" s="89"/>
      <c r="D27" s="18">
        <f>SUM(D11:D26)</f>
        <v>100986175.18000001</v>
      </c>
      <c r="E27" s="89"/>
      <c r="F27" s="18">
        <f>SUM(F11:F26)</f>
        <v>-19152465.800000001</v>
      </c>
      <c r="G27" s="89"/>
      <c r="H27" s="18">
        <f>SUM(H11:H26)</f>
        <v>-279937.09000000078</v>
      </c>
      <c r="I27" s="89"/>
      <c r="J27" s="18">
        <f>SUM(J11:J26)</f>
        <v>81553772.289999992</v>
      </c>
      <c r="K27" s="89"/>
      <c r="L27" s="18">
        <f>SUM(L11:L26)</f>
        <v>1654554386.4300001</v>
      </c>
      <c r="N27" s="18">
        <f>SUM(N11:N26)</f>
        <v>-621648632.51999998</v>
      </c>
      <c r="P27" s="18">
        <f>SUM(P11:P26)</f>
        <v>1032905753.9100002</v>
      </c>
    </row>
    <row r="28" spans="1:16" x14ac:dyDescent="0.2">
      <c r="B28" s="17"/>
      <c r="C28" s="89"/>
      <c r="D28" s="17"/>
      <c r="E28" s="89"/>
      <c r="F28" s="17"/>
      <c r="G28" s="89"/>
      <c r="H28" s="17"/>
      <c r="I28" s="89"/>
      <c r="J28" s="17"/>
      <c r="K28" s="89"/>
      <c r="L28" s="17"/>
    </row>
    <row r="29" spans="1:16" x14ac:dyDescent="0.2">
      <c r="A29" s="12" t="s">
        <v>13</v>
      </c>
      <c r="B29" s="17"/>
      <c r="C29" s="89"/>
      <c r="D29" s="17"/>
      <c r="E29" s="89"/>
      <c r="F29" s="17"/>
      <c r="G29" s="89"/>
      <c r="H29" s="17"/>
      <c r="I29" s="89"/>
      <c r="J29" s="17"/>
      <c r="K29" s="89"/>
      <c r="L29" s="17"/>
    </row>
    <row r="30" spans="1:16" x14ac:dyDescent="0.2">
      <c r="A30" s="43" t="s">
        <v>170</v>
      </c>
      <c r="B30" s="14">
        <f>'KY_Cost by Plant Acct P8 (REG)'!B30</f>
        <v>2729479.9</v>
      </c>
      <c r="C30" s="88"/>
      <c r="D30" s="14">
        <f>'KY_Cost by Plant Acct P8 (REG)'!D30</f>
        <v>320007.17</v>
      </c>
      <c r="E30" s="88"/>
      <c r="F30" s="14">
        <f>'KY_Cost by Plant Acct P8 (REG)'!F30</f>
        <v>0</v>
      </c>
      <c r="G30" s="88"/>
      <c r="H30" s="14">
        <f>'KY_Cost by Plant Acct P8 (REG)'!H30</f>
        <v>0</v>
      </c>
      <c r="I30" s="88"/>
      <c r="J30" s="14">
        <f>H30+F30+D30</f>
        <v>320007.17</v>
      </c>
      <c r="K30" s="88"/>
      <c r="L30" s="14">
        <f t="shared" ref="L30:L46" si="3">J30+B30</f>
        <v>3049487.07</v>
      </c>
      <c r="N30" s="15">
        <f>'KY_Res by Plant Acct P16(REG)'!R36</f>
        <v>1.8189894035458565E-12</v>
      </c>
      <c r="P30" s="15">
        <f t="shared" ref="P30:P46" si="4">L30+N30</f>
        <v>3049487.07</v>
      </c>
    </row>
    <row r="31" spans="1:16" x14ac:dyDescent="0.2">
      <c r="A31" s="3" t="s">
        <v>171</v>
      </c>
      <c r="B31" s="14">
        <f>'KY_Cost by Plant Acct P8 (REG)'!B31+'KY_Cost by Plant Acct P8 (REG)'!B134</f>
        <v>55642785.300000004</v>
      </c>
      <c r="C31" s="88"/>
      <c r="D31" s="14">
        <f>'KY_Cost by Plant Acct P8 (REG)'!D31+'KY_Cost by Plant Acct P8 (REG)'!D134</f>
        <v>2672693.67</v>
      </c>
      <c r="E31" s="88"/>
      <c r="F31" s="14">
        <f>'KY_Cost by Plant Acct P8 (REG)'!F31</f>
        <v>-675605.2</v>
      </c>
      <c r="G31" s="88"/>
      <c r="H31" s="14">
        <f>'KY_Cost by Plant Acct P8 (REG)'!H31+'KY_Cost by Plant Acct P8 (REG)'!H134</f>
        <v>46914.46</v>
      </c>
      <c r="I31" s="88"/>
      <c r="J31" s="14">
        <f>H31+F31+D31</f>
        <v>2044002.93</v>
      </c>
      <c r="K31" s="88"/>
      <c r="L31" s="14">
        <f t="shared" si="3"/>
        <v>57686788.230000004</v>
      </c>
      <c r="N31" s="15">
        <f>'KY_Res by Plant Acct P16(REG)'!R37+'KY_Res by Plant Acct P16(REG)'!R40+'KY_Res by Plant Acct P16(REG)'!R38+'KY_Res by Plant Acct P16(REG)'!R39+'KY_Res by Plant Acct P16(REG)'!R41</f>
        <v>-11213053.020000001</v>
      </c>
      <c r="P31" s="15">
        <f t="shared" si="4"/>
        <v>46473735.210000001</v>
      </c>
    </row>
    <row r="32" spans="1:16" x14ac:dyDescent="0.2">
      <c r="A32" s="3" t="s">
        <v>172</v>
      </c>
      <c r="B32" s="14">
        <f>'KY_Cost by Plant Acct P8 (REG)'!B32</f>
        <v>487774.73000000004</v>
      </c>
      <c r="C32" s="88"/>
      <c r="D32" s="14">
        <f>'KY_Cost by Plant Acct P8 (REG)'!D32</f>
        <v>0</v>
      </c>
      <c r="E32" s="88"/>
      <c r="F32" s="14">
        <f>'KY_Cost by Plant Acct P8 (REG)'!F32</f>
        <v>0</v>
      </c>
      <c r="G32" s="88"/>
      <c r="H32" s="14">
        <f>'KY_Cost by Plant Acct P8 (REG)'!H32</f>
        <v>-46914.46</v>
      </c>
      <c r="I32" s="88"/>
      <c r="J32" s="14">
        <f>H32+F32+D32</f>
        <v>-46914.46</v>
      </c>
      <c r="K32" s="88"/>
      <c r="L32" s="14">
        <f t="shared" si="3"/>
        <v>440860.27</v>
      </c>
      <c r="N32" s="15">
        <f>'KY_Res by Plant Acct P16(REG)'!R64</f>
        <v>-357227.38</v>
      </c>
      <c r="P32" s="15">
        <f t="shared" si="4"/>
        <v>83632.890000000014</v>
      </c>
    </row>
    <row r="33" spans="1:16" x14ac:dyDescent="0.2">
      <c r="A33" s="3" t="s">
        <v>173</v>
      </c>
      <c r="B33" s="14">
        <f>'KY_Cost by Plant Acct P8 (REG)'!B33+'KY_Cost by Plant Acct P8 (REG)'!B135</f>
        <v>9990361.7100000009</v>
      </c>
      <c r="C33" s="88"/>
      <c r="D33" s="14">
        <f>'KY_Cost by Plant Acct P8 (REG)'!D33+'KY_Cost by Plant Acct P8 (REG)'!D135</f>
        <v>1515880.88</v>
      </c>
      <c r="E33" s="88"/>
      <c r="F33" s="14">
        <f>'KY_Cost by Plant Acct P8 (REG)'!F33</f>
        <v>-1063656.6000000001</v>
      </c>
      <c r="G33" s="88"/>
      <c r="H33" s="14">
        <f>'KY_Cost by Plant Acct P8 (REG)'!H33+'KY_Cost by Plant Acct P8 (REG)'!H135</f>
        <v>0</v>
      </c>
      <c r="I33" s="88"/>
      <c r="J33" s="14">
        <f t="shared" ref="J33:J46" si="5">H33+F33+D33</f>
        <v>452224.2799999998</v>
      </c>
      <c r="K33" s="88"/>
      <c r="L33" s="14">
        <f t="shared" si="3"/>
        <v>10442585.99</v>
      </c>
      <c r="N33" s="15">
        <f>'KY_Res by Plant Acct P16(REG)'!R65</f>
        <v>-5027928.9599999981</v>
      </c>
      <c r="P33" s="15">
        <f t="shared" si="4"/>
        <v>5414657.0300000021</v>
      </c>
    </row>
    <row r="34" spans="1:16" x14ac:dyDescent="0.2">
      <c r="A34" s="3" t="s">
        <v>174</v>
      </c>
      <c r="B34" s="14">
        <f>'KY_Cost by Plant Acct P8 (REG)'!B34+'KY_Cost by Plant Acct P8 (REG)'!B136</f>
        <v>26955602.789999995</v>
      </c>
      <c r="C34" s="88"/>
      <c r="D34" s="14">
        <f>'KY_Cost by Plant Acct P8 (REG)'!D34+'KY_Cost by Plant Acct P8 (REG)'!D136</f>
        <v>3875093.38</v>
      </c>
      <c r="E34" s="88"/>
      <c r="F34" s="14">
        <f>'KY_Cost by Plant Acct P8 (REG)'!F34</f>
        <v>-4236675.62</v>
      </c>
      <c r="G34" s="88"/>
      <c r="H34" s="14">
        <f>'KY_Cost by Plant Acct P8 (REG)'!H34+'KY_Cost by Plant Acct P8 (REG)'!H136</f>
        <v>0</v>
      </c>
      <c r="I34" s="88"/>
      <c r="J34" s="14">
        <f t="shared" si="5"/>
        <v>-361582.24000000022</v>
      </c>
      <c r="K34" s="88"/>
      <c r="L34" s="14">
        <f t="shared" si="3"/>
        <v>26594020.549999997</v>
      </c>
      <c r="N34" s="15">
        <f>'KY_Res by Plant Acct P16(REG)'!R66</f>
        <v>-15524053.530000001</v>
      </c>
      <c r="P34" s="15">
        <f t="shared" si="4"/>
        <v>11069967.019999996</v>
      </c>
    </row>
    <row r="35" spans="1:16" x14ac:dyDescent="0.2">
      <c r="A35" s="3" t="s">
        <v>175</v>
      </c>
      <c r="B35" s="14">
        <f>'KY_Cost by Plant Acct P8 (REG)'!B35+'KY_Cost by Plant Acct P8 (REG)'!B137</f>
        <v>0</v>
      </c>
      <c r="C35" s="88"/>
      <c r="D35" s="14">
        <f>'KY_Cost by Plant Acct P8 (REG)'!D35+'KY_Cost by Plant Acct P8 (REG)'!D137</f>
        <v>0</v>
      </c>
      <c r="E35" s="88"/>
      <c r="F35" s="14">
        <f>'KY_Cost by Plant Acct P8 (REG)'!F35+'KY_Cost by Plant Acct P8 (REG)'!F137</f>
        <v>0</v>
      </c>
      <c r="G35" s="88"/>
      <c r="H35" s="14">
        <f>'KY_Cost by Plant Acct P8 (REG)'!H35+'KY_Cost by Plant Acct P8 (REG)'!H137</f>
        <v>0</v>
      </c>
      <c r="I35" s="88"/>
      <c r="J35" s="14">
        <f t="shared" si="5"/>
        <v>0</v>
      </c>
      <c r="K35" s="88"/>
      <c r="L35" s="14">
        <f t="shared" si="3"/>
        <v>0</v>
      </c>
      <c r="N35" s="15">
        <f>'KY_Res by Plant Acct P16(REG)'!R67</f>
        <v>0</v>
      </c>
      <c r="P35" s="15">
        <f t="shared" si="4"/>
        <v>0</v>
      </c>
    </row>
    <row r="36" spans="1:16" x14ac:dyDescent="0.2">
      <c r="A36" s="3" t="s">
        <v>176</v>
      </c>
      <c r="B36" s="14">
        <f>'KY_Cost by Plant Acct P8 (REG)'!B36+'KY_Cost by Plant Acct P8 (REG)'!B138</f>
        <v>7487177.8600000003</v>
      </c>
      <c r="C36" s="88"/>
      <c r="D36" s="14">
        <f>'KY_Cost by Plant Acct P8 (REG)'!D36+'KY_Cost by Plant Acct P8 (REG)'!D138</f>
        <v>192500.22999999998</v>
      </c>
      <c r="E36" s="88"/>
      <c r="F36" s="14">
        <f>'KY_Cost by Plant Acct P8 (REG)'!F36</f>
        <v>-3267500.19</v>
      </c>
      <c r="G36" s="88"/>
      <c r="H36" s="14">
        <f>'KY_Cost by Plant Acct P8 (REG)'!H36+'KY_Cost by Plant Acct P8 (REG)'!H138</f>
        <v>0</v>
      </c>
      <c r="I36" s="88"/>
      <c r="J36" s="14">
        <f t="shared" si="5"/>
        <v>-3074999.96</v>
      </c>
      <c r="K36" s="88"/>
      <c r="L36" s="14">
        <f t="shared" si="3"/>
        <v>4412177.9000000004</v>
      </c>
      <c r="N36" s="15">
        <f>'KY_Res by Plant Acct P16(REG)'!R68</f>
        <v>-607893.88999999966</v>
      </c>
      <c r="P36" s="15">
        <f t="shared" si="4"/>
        <v>3804284.0100000007</v>
      </c>
    </row>
    <row r="37" spans="1:16" x14ac:dyDescent="0.2">
      <c r="A37" s="3" t="s">
        <v>177</v>
      </c>
      <c r="B37" s="14">
        <f>'KY_Cost by Plant Acct P8 (REG)'!B37</f>
        <v>1080256.709999999</v>
      </c>
      <c r="C37" s="88"/>
      <c r="D37" s="14">
        <f>'KY_Cost by Plant Acct P8 (REG)'!D37</f>
        <v>397777.47</v>
      </c>
      <c r="E37" s="88"/>
      <c r="F37" s="14">
        <f>'KY_Cost by Plant Acct P8 (REG)'!F37</f>
        <v>-158179.93</v>
      </c>
      <c r="G37" s="88"/>
      <c r="H37" s="14">
        <f>'KY_Cost by Plant Acct P8 (REG)'!H37</f>
        <v>19403.82</v>
      </c>
      <c r="I37" s="88"/>
      <c r="J37" s="14">
        <f t="shared" si="5"/>
        <v>259001.36</v>
      </c>
      <c r="K37" s="88"/>
      <c r="L37" s="14">
        <f t="shared" si="3"/>
        <v>1339258.0699999989</v>
      </c>
      <c r="N37" s="15">
        <f>'KY_Res by Plant Acct P16(REG)'!R70+'KY_Res by Plant Acct P16(REG)'!R69</f>
        <v>-826252.80999999621</v>
      </c>
      <c r="P37" s="15">
        <f t="shared" si="4"/>
        <v>513005.26000000269</v>
      </c>
    </row>
    <row r="38" spans="1:16" x14ac:dyDescent="0.2">
      <c r="A38" s="3" t="s">
        <v>178</v>
      </c>
      <c r="B38" s="14">
        <f>'KY_Cost by Plant Acct P8 (REG)'!B38</f>
        <v>4496087.6400000006</v>
      </c>
      <c r="C38" s="88"/>
      <c r="D38" s="14">
        <f>'KY_Cost by Plant Acct P8 (REG)'!D38</f>
        <v>1456562.63</v>
      </c>
      <c r="E38" s="88"/>
      <c r="F38" s="14">
        <f>'KY_Cost by Plant Acct P8 (REG)'!F38</f>
        <v>-108408.86</v>
      </c>
      <c r="G38" s="88"/>
      <c r="H38" s="14">
        <f>'KY_Cost by Plant Acct P8 (REG)'!H38</f>
        <v>-19403.82</v>
      </c>
      <c r="I38" s="88"/>
      <c r="J38" s="14">
        <f>H38+F38+D38</f>
        <v>1328749.95</v>
      </c>
      <c r="K38" s="88"/>
      <c r="L38" s="14">
        <f>J38+B38</f>
        <v>5824837.5900000008</v>
      </c>
      <c r="N38" s="15">
        <f>'KY_Res by Plant Acct P16(REG)'!R71</f>
        <v>-3025515.290000001</v>
      </c>
      <c r="P38" s="15">
        <f>L38+N38</f>
        <v>2799322.3</v>
      </c>
    </row>
    <row r="39" spans="1:16" x14ac:dyDescent="0.2">
      <c r="A39" s="3" t="s">
        <v>179</v>
      </c>
      <c r="B39" s="14">
        <f>'KY_Cost by Plant Acct P8 (REG)'!B39+'KY_Cost by Plant Acct P8 (REG)'!B139</f>
        <v>1499899.69</v>
      </c>
      <c r="C39" s="88"/>
      <c r="D39" s="14">
        <f>'KY_Cost by Plant Acct P8 (REG)'!D39+'KY_Cost by Plant Acct P8 (REG)'!D139</f>
        <v>-593455.12</v>
      </c>
      <c r="E39" s="88"/>
      <c r="F39" s="14">
        <f>'KY_Cost by Plant Acct P8 (REG)'!F39+'KY_Cost by Plant Acct P8 (REG)'!F139</f>
        <v>0</v>
      </c>
      <c r="G39" s="88"/>
      <c r="H39" s="14">
        <f>'KY_Cost by Plant Acct P8 (REG)'!H39+'KY_Cost by Plant Acct P8 (REG)'!H139</f>
        <v>0</v>
      </c>
      <c r="I39" s="88"/>
      <c r="J39" s="14">
        <f t="shared" si="5"/>
        <v>-593455.12</v>
      </c>
      <c r="K39" s="88"/>
      <c r="L39" s="14">
        <f t="shared" si="3"/>
        <v>906444.57</v>
      </c>
      <c r="N39" s="15">
        <f>'KY_Res by Plant Acct P16(REG)'!R72</f>
        <v>-375959.54000000004</v>
      </c>
      <c r="P39" s="15">
        <f t="shared" si="4"/>
        <v>530485.02999999991</v>
      </c>
    </row>
    <row r="40" spans="1:16" x14ac:dyDescent="0.2">
      <c r="A40" s="3" t="s">
        <v>180</v>
      </c>
      <c r="B40" s="14">
        <f>'KY_Cost by Plant Acct P8 (REG)'!B40+'KY_Cost by Plant Acct P8 (REG)'!B140</f>
        <v>11682646.16</v>
      </c>
      <c r="C40" s="88"/>
      <c r="D40" s="14">
        <f>'KY_Cost by Plant Acct P8 (REG)'!D40+'KY_Cost by Plant Acct P8 (REG)'!D140</f>
        <v>611110.67000000004</v>
      </c>
      <c r="E40" s="88"/>
      <c r="F40" s="14">
        <f>'KY_Cost by Plant Acct P8 (REG)'!F40</f>
        <v>-100355.47</v>
      </c>
      <c r="G40" s="88"/>
      <c r="H40" s="14">
        <f>'KY_Cost by Plant Acct P8 (REG)'!H40+'KY_Cost by Plant Acct P8 (REG)'!H140</f>
        <v>0</v>
      </c>
      <c r="I40" s="88"/>
      <c r="J40" s="14">
        <f t="shared" si="5"/>
        <v>510755.20000000007</v>
      </c>
      <c r="K40" s="88"/>
      <c r="L40" s="14">
        <f t="shared" si="3"/>
        <v>12193401.359999999</v>
      </c>
      <c r="N40" s="15">
        <f>'KY_Res by Plant Acct P16(REG)'!R73</f>
        <v>-3828623.0399999996</v>
      </c>
      <c r="P40" s="15">
        <f t="shared" si="4"/>
        <v>8364778.3200000003</v>
      </c>
    </row>
    <row r="41" spans="1:16" x14ac:dyDescent="0.2">
      <c r="A41" s="3" t="s">
        <v>181</v>
      </c>
      <c r="B41" s="14">
        <f>'KY_Cost by Plant Acct P8 (REG)'!B41</f>
        <v>0</v>
      </c>
      <c r="C41" s="88"/>
      <c r="D41" s="14">
        <f>'KY_Cost by Plant Acct P8 (REG)'!D41</f>
        <v>0</v>
      </c>
      <c r="E41" s="88"/>
      <c r="F41" s="14">
        <f>'KY_Cost by Plant Acct P8 (REG)'!F41</f>
        <v>0</v>
      </c>
      <c r="G41" s="88"/>
      <c r="H41" s="14">
        <f>'KY_Cost by Plant Acct P8 (REG)'!H41</f>
        <v>0</v>
      </c>
      <c r="I41" s="88"/>
      <c r="J41" s="14">
        <f t="shared" si="5"/>
        <v>0</v>
      </c>
      <c r="K41" s="88"/>
      <c r="L41" s="14">
        <f t="shared" si="3"/>
        <v>0</v>
      </c>
      <c r="N41" s="15">
        <f>'KY_Res by Plant Acct P16(REG)'!R74</f>
        <v>-4.6566128730773926E-10</v>
      </c>
      <c r="P41" s="15">
        <f t="shared" si="4"/>
        <v>-4.6566128730773926E-10</v>
      </c>
    </row>
    <row r="42" spans="1:16" x14ac:dyDescent="0.2">
      <c r="A42" s="3" t="s">
        <v>3238</v>
      </c>
      <c r="B42" s="14">
        <f>'KY_Cost by Plant Acct P8 (REG)'!B42+'KY_Cost by Plant Acct P8 (REG)'!B141</f>
        <v>2010923.02</v>
      </c>
      <c r="C42" s="88"/>
      <c r="D42" s="14">
        <f>'KY_Cost by Plant Acct P8 (REG)'!D42+'KY_Cost by Plant Acct P8 (REG)'!D141</f>
        <v>125192.24000000002</v>
      </c>
      <c r="E42" s="88"/>
      <c r="F42" s="14">
        <f>'KY_Cost by Plant Acct P8 (REG)'!F42</f>
        <v>0</v>
      </c>
      <c r="G42" s="88"/>
      <c r="H42" s="14">
        <f>'KY_Cost by Plant Acct P8 (REG)'!H42+'KY_Cost by Plant Acct P8 (REG)'!H141</f>
        <v>0</v>
      </c>
      <c r="I42" s="88"/>
      <c r="J42" s="14">
        <f t="shared" si="5"/>
        <v>125192.24000000002</v>
      </c>
      <c r="K42" s="88"/>
      <c r="L42" s="14">
        <f t="shared" si="3"/>
        <v>2136115.2600000002</v>
      </c>
      <c r="N42" s="15">
        <f>'KY_Res by Plant Acct P16(REG)'!R75</f>
        <v>-848268.04</v>
      </c>
      <c r="P42" s="15">
        <f t="shared" si="4"/>
        <v>1287847.2200000002</v>
      </c>
    </row>
    <row r="43" spans="1:16" x14ac:dyDescent="0.2">
      <c r="A43" s="3" t="s">
        <v>3239</v>
      </c>
      <c r="B43" s="14">
        <f>'KY_Cost by Plant Acct P8 (REG)'!B43+'KY_Cost by Plant Acct P8 (REG)'!B142</f>
        <v>25314389.179999996</v>
      </c>
      <c r="C43" s="88"/>
      <c r="D43" s="14">
        <f>'KY_Cost by Plant Acct P8 (REG)'!D43+'KY_Cost by Plant Acct P8 (REG)'!D142</f>
        <v>4440775</v>
      </c>
      <c r="E43" s="88"/>
      <c r="F43" s="14">
        <f>'KY_Cost by Plant Acct P8 (REG)'!F43</f>
        <v>-641341.51</v>
      </c>
      <c r="G43" s="88"/>
      <c r="H43" s="14">
        <f>'KY_Cost by Plant Acct P8 (REG)'!H43+'KY_Cost by Plant Acct P8 (REG)'!H142</f>
        <v>0</v>
      </c>
      <c r="I43" s="88"/>
      <c r="J43" s="14">
        <f t="shared" si="5"/>
        <v>3799433.49</v>
      </c>
      <c r="K43" s="88"/>
      <c r="L43" s="14">
        <f t="shared" si="3"/>
        <v>29113822.669999994</v>
      </c>
      <c r="N43" s="15">
        <f>'KY_Res by Plant Acct P16(REG)'!R76</f>
        <v>-9506930.5600000024</v>
      </c>
      <c r="P43" s="15">
        <f t="shared" si="4"/>
        <v>19606892.109999992</v>
      </c>
    </row>
    <row r="44" spans="1:16" x14ac:dyDescent="0.2">
      <c r="A44" s="3" t="s">
        <v>3240</v>
      </c>
      <c r="B44" s="14">
        <f>'KY_Cost by Plant Acct P8 (REG)'!B44+'KY_Cost by Plant Acct P8 (REG)'!B143</f>
        <v>19627168.830000002</v>
      </c>
      <c r="C44" s="88"/>
      <c r="D44" s="14">
        <f>'KY_Cost by Plant Acct P8 (REG)'!D44+'KY_Cost by Plant Acct P8 (REG)'!D143</f>
        <v>-115177.95000000019</v>
      </c>
      <c r="E44" s="88"/>
      <c r="F44" s="14">
        <f>'KY_Cost by Plant Acct P8 (REG)'!F44</f>
        <v>-823769.21</v>
      </c>
      <c r="G44" s="88"/>
      <c r="H44" s="14">
        <f>'KY_Cost by Plant Acct P8 (REG)'!H44+'KY_Cost by Plant Acct P8 (REG)'!H143</f>
        <v>0</v>
      </c>
      <c r="I44" s="88"/>
      <c r="J44" s="14">
        <f t="shared" si="5"/>
        <v>-938947.16000000015</v>
      </c>
      <c r="K44" s="88"/>
      <c r="L44" s="14">
        <f t="shared" si="3"/>
        <v>18688221.670000002</v>
      </c>
      <c r="N44" s="15">
        <f>'KY_Res by Plant Acct P16(REG)'!R77</f>
        <v>-7409273.8700000001</v>
      </c>
      <c r="P44" s="15">
        <f t="shared" si="4"/>
        <v>11278947.800000001</v>
      </c>
    </row>
    <row r="45" spans="1:16" x14ac:dyDescent="0.2">
      <c r="A45" s="3" t="s">
        <v>185</v>
      </c>
      <c r="B45" s="14">
        <f>'KY_Cost by Plant Acct P8 (REG)'!B45+'KY_Cost by Plant Acct P8 (REG)'!B144</f>
        <v>5875508.0300000003</v>
      </c>
      <c r="C45" s="88"/>
      <c r="D45" s="14">
        <f>'KY_Cost by Plant Acct P8 (REG)'!D45+'KY_Cost by Plant Acct P8 (REG)'!D144</f>
        <v>1415194.44</v>
      </c>
      <c r="E45" s="88"/>
      <c r="F45" s="14">
        <f>'KY_Cost by Plant Acct P8 (REG)'!F45</f>
        <v>-438990.26</v>
      </c>
      <c r="G45" s="88"/>
      <c r="H45" s="14">
        <f>'KY_Cost by Plant Acct P8 (REG)'!H45+'KY_Cost by Plant Acct P8 (REG)'!H144</f>
        <v>0</v>
      </c>
      <c r="I45" s="88"/>
      <c r="J45" s="14">
        <f t="shared" si="5"/>
        <v>976204.17999999993</v>
      </c>
      <c r="K45" s="88"/>
      <c r="L45" s="14">
        <f t="shared" si="3"/>
        <v>6851712.21</v>
      </c>
      <c r="N45" s="15">
        <f>'KY_Res by Plant Acct P16(REG)'!R78</f>
        <v>-848576.6399999999</v>
      </c>
      <c r="P45" s="15">
        <f t="shared" si="4"/>
        <v>6003135.5700000003</v>
      </c>
    </row>
    <row r="46" spans="1:16" x14ac:dyDescent="0.2">
      <c r="A46" s="3" t="s">
        <v>186</v>
      </c>
      <c r="B46" s="16">
        <f>'KY_Cost by Plant Acct P8 (REG)'!B46</f>
        <v>0</v>
      </c>
      <c r="C46" s="89"/>
      <c r="D46" s="16">
        <f>'KY_Cost by Plant Acct P8 (REG)'!D46</f>
        <v>0</v>
      </c>
      <c r="E46" s="89"/>
      <c r="F46" s="16">
        <f>'KY_Cost by Plant Acct P8 (REG)'!F46</f>
        <v>0</v>
      </c>
      <c r="G46" s="89"/>
      <c r="H46" s="16">
        <f>'KY_Cost by Plant Acct P8 (REG)'!H46</f>
        <v>0</v>
      </c>
      <c r="I46" s="89"/>
      <c r="J46" s="16">
        <f t="shared" si="5"/>
        <v>0</v>
      </c>
      <c r="K46" s="89"/>
      <c r="L46" s="16">
        <f t="shared" si="3"/>
        <v>0</v>
      </c>
      <c r="N46" s="90">
        <f>'KY_Res by Plant Acct P16(REG)'!R79</f>
        <v>3.0850044741015381E-11</v>
      </c>
      <c r="P46" s="90">
        <f t="shared" si="4"/>
        <v>3.0850044741015381E-11</v>
      </c>
    </row>
    <row r="47" spans="1:16" x14ac:dyDescent="0.2">
      <c r="B47" s="17">
        <f>SUM(B30:B46)</f>
        <v>174880061.54999998</v>
      </c>
      <c r="C47" s="89"/>
      <c r="D47" s="17">
        <f>SUM(D30:D46)</f>
        <v>16314154.709999999</v>
      </c>
      <c r="E47" s="89"/>
      <c r="F47" s="17">
        <f>SUM(F30:F46)</f>
        <v>-11514482.85</v>
      </c>
      <c r="G47" s="89"/>
      <c r="H47" s="17">
        <f>SUM(H30:H46)</f>
        <v>0</v>
      </c>
      <c r="I47" s="89"/>
      <c r="J47" s="17">
        <f>SUM(J30:J46)</f>
        <v>4799671.8599999994</v>
      </c>
      <c r="K47" s="89"/>
      <c r="L47" s="17">
        <f>SUM(L30:L46)</f>
        <v>179679733.41</v>
      </c>
      <c r="N47" s="17">
        <f>SUM(N30:N46)</f>
        <v>-59399556.569999993</v>
      </c>
      <c r="P47" s="17">
        <f>SUM(P30:P46)</f>
        <v>120280176.84</v>
      </c>
    </row>
    <row r="48" spans="1:16" x14ac:dyDescent="0.2">
      <c r="B48" s="17"/>
      <c r="C48" s="89"/>
      <c r="D48" s="17"/>
      <c r="E48" s="89"/>
      <c r="F48" s="17"/>
      <c r="G48" s="89"/>
      <c r="H48" s="17"/>
      <c r="I48" s="89"/>
      <c r="J48" s="17"/>
      <c r="K48" s="89"/>
      <c r="L48" s="17"/>
    </row>
    <row r="49" spans="1:16" x14ac:dyDescent="0.2">
      <c r="A49" s="12" t="s">
        <v>14</v>
      </c>
      <c r="B49" s="17"/>
      <c r="C49" s="89"/>
      <c r="D49" s="17"/>
      <c r="E49" s="89"/>
      <c r="F49" s="17"/>
      <c r="G49" s="89"/>
      <c r="H49" s="17"/>
      <c r="I49" s="89"/>
      <c r="J49" s="17"/>
      <c r="K49" s="89"/>
      <c r="L49" s="17"/>
    </row>
    <row r="50" spans="1:16" x14ac:dyDescent="0.2">
      <c r="A50" s="43" t="s">
        <v>188</v>
      </c>
      <c r="B50" s="17">
        <f>'KY_Cost by Plant Acct P8 (REG)'!B50</f>
        <v>879311.47</v>
      </c>
      <c r="C50" s="89"/>
      <c r="D50" s="17">
        <f>'KY_Cost by Plant Acct P8 (REG)'!D50</f>
        <v>0</v>
      </c>
      <c r="E50" s="89"/>
      <c r="F50" s="17">
        <f>'KY_Cost by Plant Acct P8 (REG)'!F50</f>
        <v>0</v>
      </c>
      <c r="G50" s="89"/>
      <c r="H50" s="17">
        <f>'KY_Cost by Plant Acct P8 (REG)'!H50</f>
        <v>0</v>
      </c>
      <c r="I50" s="89"/>
      <c r="J50" s="17">
        <f t="shared" ref="J50:J57" si="6">H50+F50+D50</f>
        <v>0</v>
      </c>
      <c r="K50" s="89"/>
      <c r="L50" s="17">
        <f t="shared" ref="L50:L57" si="7">J50+B50</f>
        <v>879311.47</v>
      </c>
      <c r="N50" s="15">
        <f>'KY_Res by Plant Acct P16(REG)'!R83</f>
        <v>-912332.6</v>
      </c>
      <c r="P50" s="15">
        <f t="shared" ref="P50:P57" si="8">L50+N50</f>
        <v>-33021.130000000005</v>
      </c>
    </row>
    <row r="51" spans="1:16" x14ac:dyDescent="0.2">
      <c r="A51" s="3" t="s">
        <v>189</v>
      </c>
      <c r="B51" s="17">
        <f>'KY_Cost by Plant Acct P8 (REG)'!B51+'KY_Cost by Plant Acct P8 (REG)'!B148</f>
        <v>827602.64000000013</v>
      </c>
      <c r="C51" s="89"/>
      <c r="D51" s="17">
        <f>'KY_Cost by Plant Acct P8 (REG)'!D51+'KY_Cost by Plant Acct P8 (REG)'!D148</f>
        <v>2174143.44</v>
      </c>
      <c r="E51" s="89"/>
      <c r="F51" s="17">
        <f>'KY_Cost by Plant Acct P8 (REG)'!F51</f>
        <v>-2355.54</v>
      </c>
      <c r="G51" s="89"/>
      <c r="H51" s="17">
        <f>'KY_Cost by Plant Acct P8 (REG)'!H51+'KY_Cost by Plant Acct P8 (REG)'!H148</f>
        <v>0</v>
      </c>
      <c r="I51" s="89"/>
      <c r="J51" s="17">
        <f t="shared" si="6"/>
        <v>2171787.9</v>
      </c>
      <c r="K51" s="89"/>
      <c r="L51" s="17">
        <f t="shared" si="7"/>
        <v>2999390.54</v>
      </c>
      <c r="N51" s="15">
        <f>'KY_Res by Plant Acct P16(REG)'!R84</f>
        <v>-360879.55</v>
      </c>
      <c r="P51" s="15">
        <f t="shared" si="8"/>
        <v>2638510.9900000002</v>
      </c>
    </row>
    <row r="52" spans="1:16" x14ac:dyDescent="0.2">
      <c r="A52" s="3" t="s">
        <v>190</v>
      </c>
      <c r="B52" s="17">
        <f>'KY_Cost by Plant Acct P8 (REG)'!B52+'KY_Cost by Plant Acct P8 (REG)'!B149</f>
        <v>21885646.370000001</v>
      </c>
      <c r="C52" s="89"/>
      <c r="D52" s="17">
        <f>'KY_Cost by Plant Acct P8 (REG)'!D52+'KY_Cost by Plant Acct P8 (REG)'!D149</f>
        <v>0</v>
      </c>
      <c r="E52" s="89"/>
      <c r="F52" s="17">
        <f>'KY_Cost by Plant Acct P8 (REG)'!F52</f>
        <v>0</v>
      </c>
      <c r="G52" s="89"/>
      <c r="H52" s="17">
        <f>'KY_Cost by Plant Acct P8 (REG)'!H52+'KY_Cost by Plant Acct P8 (REG)'!H149</f>
        <v>0</v>
      </c>
      <c r="I52" s="89"/>
      <c r="J52" s="17">
        <f t="shared" si="6"/>
        <v>0</v>
      </c>
      <c r="K52" s="89"/>
      <c r="L52" s="17">
        <f t="shared" si="7"/>
        <v>21885646.370000001</v>
      </c>
      <c r="N52" s="15">
        <f>'KY_Res by Plant Acct P16(REG)'!R85</f>
        <v>-8759384.3899999987</v>
      </c>
      <c r="P52" s="15">
        <f t="shared" si="8"/>
        <v>13126261.980000002</v>
      </c>
    </row>
    <row r="53" spans="1:16" x14ac:dyDescent="0.2">
      <c r="A53" s="3" t="s">
        <v>191</v>
      </c>
      <c r="B53" s="17">
        <f>'KY_Cost by Plant Acct P8 (REG)'!B53+'KY_Cost by Plant Acct P8 (REG)'!B150</f>
        <v>14058896.32</v>
      </c>
      <c r="C53" s="89"/>
      <c r="D53" s="17">
        <f>'KY_Cost by Plant Acct P8 (REG)'!D53+'KY_Cost by Plant Acct P8 (REG)'!D150</f>
        <v>685.51999999996042</v>
      </c>
      <c r="E53" s="89"/>
      <c r="F53" s="17">
        <f>'KY_Cost by Plant Acct P8 (REG)'!F53</f>
        <v>-12840.26</v>
      </c>
      <c r="G53" s="89"/>
      <c r="H53" s="17">
        <f>'KY_Cost by Plant Acct P8 (REG)'!H53+'KY_Cost by Plant Acct P8 (REG)'!H150</f>
        <v>0</v>
      </c>
      <c r="I53" s="89"/>
      <c r="J53" s="17">
        <f t="shared" si="6"/>
        <v>-12154.74000000004</v>
      </c>
      <c r="K53" s="89"/>
      <c r="L53" s="17">
        <f t="shared" si="7"/>
        <v>14046741.58</v>
      </c>
      <c r="N53" s="15">
        <f>'KY_Res by Plant Acct P16(REG)'!R86</f>
        <v>-1319050.5900000001</v>
      </c>
      <c r="P53" s="15">
        <f t="shared" si="8"/>
        <v>12727690.99</v>
      </c>
    </row>
    <row r="54" spans="1:16" x14ac:dyDescent="0.2">
      <c r="A54" s="3" t="s">
        <v>192</v>
      </c>
      <c r="B54" s="17">
        <f>'KY_Cost by Plant Acct P8 (REG)'!B151+'KY_Cost by Plant Acct P8 (REG)'!B54</f>
        <v>1321688.77</v>
      </c>
      <c r="C54" s="89"/>
      <c r="D54" s="17">
        <f>'KY_Cost by Plant Acct P8 (REG)'!D151+'KY_Cost by Plant Acct P8 (REG)'!D54</f>
        <v>40896.019999999997</v>
      </c>
      <c r="E54" s="89"/>
      <c r="F54" s="17">
        <f>'KY_Cost by Plant Acct P8 (REG)'!F54</f>
        <v>0</v>
      </c>
      <c r="G54" s="89"/>
      <c r="H54" s="17">
        <f>'KY_Cost by Plant Acct P8 (REG)'!H151+'KY_Cost by Plant Acct P8 (REG)'!H54</f>
        <v>0</v>
      </c>
      <c r="I54" s="89"/>
      <c r="J54" s="17">
        <f t="shared" si="6"/>
        <v>40896.019999999997</v>
      </c>
      <c r="K54" s="89"/>
      <c r="L54" s="17">
        <f t="shared" si="7"/>
        <v>1362584.79</v>
      </c>
      <c r="N54" s="15">
        <f>'KY_Res by Plant Acct P16(REG)'!R87</f>
        <v>-268181.33</v>
      </c>
      <c r="P54" s="15">
        <f t="shared" si="8"/>
        <v>1094403.46</v>
      </c>
    </row>
    <row r="55" spans="1:16" x14ac:dyDescent="0.2">
      <c r="A55" s="3" t="s">
        <v>193</v>
      </c>
      <c r="B55" s="17">
        <f>'KY_Cost by Plant Acct P8 (REG)'!B55+'KY_Cost by Plant Acct P8 (REG)'!B152</f>
        <v>316946.74</v>
      </c>
      <c r="C55" s="89"/>
      <c r="D55" s="17">
        <f>'KY_Cost by Plant Acct P8 (REG)'!D55+'KY_Cost by Plant Acct P8 (REG)'!D152</f>
        <v>0</v>
      </c>
      <c r="E55" s="89"/>
      <c r="F55" s="17">
        <f>'KY_Cost by Plant Acct P8 (REG)'!F55</f>
        <v>0</v>
      </c>
      <c r="G55" s="89"/>
      <c r="H55" s="17">
        <f>'KY_Cost by Plant Acct P8 (REG)'!H55+'KY_Cost by Plant Acct P8 (REG)'!H152</f>
        <v>0</v>
      </c>
      <c r="I55" s="89"/>
      <c r="J55" s="17">
        <f t="shared" si="6"/>
        <v>0</v>
      </c>
      <c r="K55" s="89"/>
      <c r="L55" s="17">
        <f t="shared" si="7"/>
        <v>316946.74</v>
      </c>
      <c r="N55" s="15">
        <f>'KY_Res by Plant Acct P16(REG)'!R88</f>
        <v>-130439.87999999998</v>
      </c>
      <c r="P55" s="15">
        <f t="shared" si="8"/>
        <v>186506.86000000002</v>
      </c>
    </row>
    <row r="56" spans="1:16" x14ac:dyDescent="0.2">
      <c r="A56" s="3" t="s">
        <v>194</v>
      </c>
      <c r="B56" s="17">
        <f>'KY_Cost by Plant Acct P8 (REG)'!B56+'KY_Cost by Plant Acct P8 (REG)'!B153</f>
        <v>234509.12999999998</v>
      </c>
      <c r="C56" s="89"/>
      <c r="D56" s="17">
        <f>'KY_Cost by Plant Acct P8 (REG)'!D56+'KY_Cost by Plant Acct P8 (REG)'!D153</f>
        <v>0</v>
      </c>
      <c r="E56" s="89"/>
      <c r="F56" s="17">
        <f>'KY_Cost by Plant Acct P8 (REG)'!F56</f>
        <v>0</v>
      </c>
      <c r="G56" s="89"/>
      <c r="H56" s="17">
        <f>'KY_Cost by Plant Acct P8 (REG)'!H56+'KY_Cost by Plant Acct P8 (REG)'!H153</f>
        <v>0</v>
      </c>
      <c r="I56" s="89"/>
      <c r="J56" s="17">
        <f t="shared" si="6"/>
        <v>0</v>
      </c>
      <c r="K56" s="89"/>
      <c r="L56" s="17">
        <f t="shared" si="7"/>
        <v>234509.12999999998</v>
      </c>
      <c r="N56" s="15">
        <f>'KY_Res by Plant Acct P16(REG)'!R89</f>
        <v>-79595.899999999994</v>
      </c>
      <c r="P56" s="15">
        <f t="shared" si="8"/>
        <v>154913.22999999998</v>
      </c>
    </row>
    <row r="57" spans="1:16" x14ac:dyDescent="0.2">
      <c r="A57" s="3" t="s">
        <v>195</v>
      </c>
      <c r="B57" s="16">
        <f>'KY_Cost by Plant Acct P8 (REG)'!B57</f>
        <v>274310.54000000004</v>
      </c>
      <c r="C57" s="89"/>
      <c r="D57" s="16">
        <f>'KY_Cost by Plant Acct P8 (REG)'!D57</f>
        <v>0</v>
      </c>
      <c r="E57" s="89"/>
      <c r="F57" s="16">
        <f>'KY_Cost by Plant Acct P8 (REG)'!F57</f>
        <v>-86482.34</v>
      </c>
      <c r="G57" s="89"/>
      <c r="H57" s="16">
        <f>'KY_Cost by Plant Acct P8 (REG)'!H57</f>
        <v>457959.79</v>
      </c>
      <c r="I57" s="89"/>
      <c r="J57" s="16">
        <f t="shared" si="6"/>
        <v>371477.44999999995</v>
      </c>
      <c r="K57" s="89"/>
      <c r="L57" s="16">
        <f t="shared" si="7"/>
        <v>645787.99</v>
      </c>
      <c r="N57" s="90">
        <f>'KY_Res by Plant Acct P16(REG)'!R90</f>
        <v>-19701.790000000008</v>
      </c>
      <c r="P57" s="90">
        <f t="shared" si="8"/>
        <v>626086.19999999995</v>
      </c>
    </row>
    <row r="58" spans="1:16" x14ac:dyDescent="0.2">
      <c r="B58" s="17">
        <f>SUM(B50:B57)</f>
        <v>39798911.980000004</v>
      </c>
      <c r="C58" s="89"/>
      <c r="D58" s="17">
        <f>SUM(D50:D57)</f>
        <v>2215724.98</v>
      </c>
      <c r="E58" s="89"/>
      <c r="F58" s="17">
        <f>SUM(F50:F57)</f>
        <v>-101678.14</v>
      </c>
      <c r="G58" s="89"/>
      <c r="H58" s="17">
        <f>SUM(H50:H57)</f>
        <v>457959.79</v>
      </c>
      <c r="I58" s="89"/>
      <c r="J58" s="17">
        <f>SUM(J50:J57)</f>
        <v>2572006.63</v>
      </c>
      <c r="K58" s="89"/>
      <c r="L58" s="17">
        <f>SUM(L50:L57)</f>
        <v>42370918.610000007</v>
      </c>
      <c r="N58" s="17">
        <f>SUM(N50:N57)</f>
        <v>-11849566.029999999</v>
      </c>
      <c r="P58" s="17">
        <f>SUM(P50:P57)</f>
        <v>30521352.580000006</v>
      </c>
    </row>
    <row r="59" spans="1:16" x14ac:dyDescent="0.2">
      <c r="B59" s="17"/>
      <c r="C59" s="89"/>
      <c r="D59" s="17"/>
      <c r="E59" s="89"/>
      <c r="F59" s="17"/>
      <c r="G59" s="89"/>
      <c r="H59" s="17"/>
      <c r="I59" s="89"/>
      <c r="J59" s="17"/>
      <c r="K59" s="89"/>
      <c r="L59" s="17"/>
    </row>
    <row r="60" spans="1:16" x14ac:dyDescent="0.2">
      <c r="A60" s="12" t="s">
        <v>15</v>
      </c>
      <c r="B60" s="17"/>
      <c r="C60" s="89"/>
      <c r="D60" s="17"/>
      <c r="E60" s="89"/>
      <c r="F60" s="17"/>
      <c r="G60" s="89"/>
      <c r="H60" s="17"/>
      <c r="I60" s="89"/>
      <c r="J60" s="17"/>
      <c r="K60" s="89"/>
      <c r="L60" s="17"/>
    </row>
    <row r="61" spans="1:16" x14ac:dyDescent="0.2">
      <c r="A61" s="43" t="s">
        <v>197</v>
      </c>
      <c r="B61" s="17">
        <f>'KY_Cost by Plant Acct P8 (REG)'!B61</f>
        <v>39116.89</v>
      </c>
      <c r="C61" s="89"/>
      <c r="D61" s="17">
        <f>'KY_Cost by Plant Acct P8 (REG)'!D61</f>
        <v>0</v>
      </c>
      <c r="E61" s="89"/>
      <c r="F61" s="17">
        <f>'KY_Cost by Plant Acct P8 (REG)'!F61</f>
        <v>0</v>
      </c>
      <c r="G61" s="89"/>
      <c r="H61" s="17">
        <f>'KY_Cost by Plant Acct P8 (REG)'!H61</f>
        <v>0</v>
      </c>
      <c r="I61" s="89"/>
      <c r="J61" s="17">
        <f>H61+F61+D61</f>
        <v>0</v>
      </c>
      <c r="K61" s="89"/>
      <c r="L61" s="17">
        <f>J61+B61</f>
        <v>39116.89</v>
      </c>
      <c r="N61" s="15">
        <f>'KY_Res by Plant Acct P16(REG)'!R456</f>
        <v>0</v>
      </c>
      <c r="P61" s="15">
        <f>L61+N61</f>
        <v>39116.89</v>
      </c>
    </row>
    <row r="62" spans="1:16" x14ac:dyDescent="0.2">
      <c r="A62" s="3" t="s">
        <v>198</v>
      </c>
      <c r="B62" s="17">
        <f>'KY_Cost by Plant Acct P8 (REG)'!B62</f>
        <v>55918.829999999994</v>
      </c>
      <c r="C62" s="89"/>
      <c r="D62" s="17">
        <f>'KY_Cost by Plant Acct P8 (REG)'!D62</f>
        <v>0</v>
      </c>
      <c r="E62" s="89"/>
      <c r="F62" s="17">
        <f>'KY_Cost by Plant Acct P8 (REG)'!F62</f>
        <v>0</v>
      </c>
      <c r="G62" s="89"/>
      <c r="H62" s="17">
        <f>'KY_Cost by Plant Acct P8 (REG)'!H62</f>
        <v>0</v>
      </c>
      <c r="I62" s="89"/>
      <c r="J62" s="17">
        <f>H62+F62+D62</f>
        <v>0</v>
      </c>
      <c r="K62" s="89"/>
      <c r="L62" s="17">
        <f>J62+B62</f>
        <v>55918.829999999994</v>
      </c>
      <c r="N62" s="15">
        <f>'KY_Res by Plant Acct P16(REG)'!R457+'KY_Res by Plant Acct P16(REG)'!R458</f>
        <v>-63079.789999999994</v>
      </c>
      <c r="P62" s="15">
        <f>L62+N62</f>
        <v>-7160.9599999999991</v>
      </c>
    </row>
    <row r="63" spans="1:16" x14ac:dyDescent="0.2">
      <c r="A63" s="3" t="s">
        <v>199</v>
      </c>
      <c r="B63" s="17">
        <f>'KY_Cost by Plant Acct P8 (REG)'!B63+'KY_Cost by Plant Acct P8 (REG)'!B157</f>
        <v>51209431.959999993</v>
      </c>
      <c r="C63" s="89"/>
      <c r="D63" s="17">
        <f>'KY_Cost by Plant Acct P8 (REG)'!D63+'KY_Cost by Plant Acct P8 (REG)'!D157</f>
        <v>11706442.760000002</v>
      </c>
      <c r="E63" s="89"/>
      <c r="F63" s="17">
        <f>'KY_Cost by Plant Acct P8 (REG)'!F63</f>
        <v>-5795318.9000000004</v>
      </c>
      <c r="G63" s="89"/>
      <c r="H63" s="17">
        <f>'KY_Cost by Plant Acct P8 (REG)'!H63+'KY_Cost by Plant Acct P8 (REG)'!H157</f>
        <v>0</v>
      </c>
      <c r="I63" s="89"/>
      <c r="J63" s="17">
        <f>H63+F63+D63</f>
        <v>5911123.8600000013</v>
      </c>
      <c r="K63" s="89"/>
      <c r="L63" s="17">
        <f>J63+B63</f>
        <v>57120555.819999993</v>
      </c>
      <c r="N63" s="15">
        <f>'KY_Res by Plant Acct P16(REG)'!R459</f>
        <v>-19867146.920000002</v>
      </c>
      <c r="P63" s="15">
        <f>L63+N63</f>
        <v>37253408.899999991</v>
      </c>
    </row>
    <row r="64" spans="1:16" x14ac:dyDescent="0.2">
      <c r="A64" s="3" t="s">
        <v>200</v>
      </c>
      <c r="B64" s="16">
        <f>'KY_Cost by Plant Acct P8 (REG)'!B64+'KY_Cost by Plant Acct P8 (REG)'!B158</f>
        <v>41045494.530000001</v>
      </c>
      <c r="C64" s="89"/>
      <c r="D64" s="16">
        <f>'KY_Cost by Plant Acct P8 (REG)'!D64+'KY_Cost by Plant Acct P8 (REG)'!D158</f>
        <v>0</v>
      </c>
      <c r="E64" s="89"/>
      <c r="F64" s="16">
        <f>'KY_Cost by Plant Acct P8 (REG)'!F64</f>
        <v>0</v>
      </c>
      <c r="G64" s="89"/>
      <c r="H64" s="16">
        <f>'KY_Cost by Plant Acct P8 (REG)'!H64+'KY_Cost by Plant Acct P8 (REG)'!H158</f>
        <v>0</v>
      </c>
      <c r="I64" s="89"/>
      <c r="J64" s="16">
        <f>H64+F64+D64</f>
        <v>0</v>
      </c>
      <c r="K64" s="89"/>
      <c r="L64" s="16">
        <f>J64+B64</f>
        <v>41045494.530000001</v>
      </c>
      <c r="N64" s="90">
        <f>'KY_Res by Plant Acct P16(REG)'!R460</f>
        <v>-30666797.129999999</v>
      </c>
      <c r="P64" s="90">
        <f>L64+N64</f>
        <v>10378697.400000002</v>
      </c>
    </row>
    <row r="65" spans="1:16" x14ac:dyDescent="0.2">
      <c r="B65" s="17">
        <f>SUM(B61:B64)</f>
        <v>92349962.209999993</v>
      </c>
      <c r="C65" s="89"/>
      <c r="D65" s="17">
        <f>SUM(D61:D64)</f>
        <v>11706442.760000002</v>
      </c>
      <c r="E65" s="89"/>
      <c r="F65" s="17">
        <f>SUM(F61:F64)</f>
        <v>-5795318.9000000004</v>
      </c>
      <c r="G65" s="89"/>
      <c r="H65" s="17">
        <f>SUM(H61:H64)</f>
        <v>0</v>
      </c>
      <c r="I65" s="89"/>
      <c r="J65" s="17">
        <f>SUM(J61:J64)</f>
        <v>5911123.8600000013</v>
      </c>
      <c r="K65" s="89"/>
      <c r="L65" s="17">
        <f>SUM(L61:L64)</f>
        <v>98261086.069999993</v>
      </c>
      <c r="N65" s="17">
        <f>SUM(N61:N64)</f>
        <v>-50597023.840000004</v>
      </c>
      <c r="P65" s="17">
        <f>SUM(P61:P64)</f>
        <v>47664062.229999989</v>
      </c>
    </row>
    <row r="66" spans="1:16" x14ac:dyDescent="0.2">
      <c r="B66" s="17"/>
      <c r="C66" s="89"/>
      <c r="D66" s="17"/>
      <c r="E66" s="89"/>
      <c r="F66" s="17"/>
      <c r="G66" s="89"/>
      <c r="H66" s="17"/>
      <c r="I66" s="89"/>
      <c r="J66" s="17"/>
      <c r="K66" s="89"/>
      <c r="L66" s="17"/>
    </row>
    <row r="67" spans="1:16" x14ac:dyDescent="0.2">
      <c r="A67" s="12" t="s">
        <v>16</v>
      </c>
      <c r="B67" s="17"/>
      <c r="C67" s="89"/>
      <c r="D67" s="17"/>
      <c r="E67" s="89"/>
      <c r="F67" s="17"/>
      <c r="G67" s="89"/>
      <c r="H67" s="17"/>
      <c r="I67" s="89"/>
      <c r="J67" s="17"/>
      <c r="K67" s="89"/>
      <c r="L67" s="17"/>
    </row>
    <row r="68" spans="1:16" x14ac:dyDescent="0.2">
      <c r="A68" s="3" t="s">
        <v>202</v>
      </c>
      <c r="B68" s="17">
        <f>'KY_Cost by Plant Acct P8 (REG)'!B68</f>
        <v>176409.31</v>
      </c>
      <c r="C68" s="89"/>
      <c r="D68" s="17">
        <f>'KY_Cost by Plant Acct P8 (REG)'!D68</f>
        <v>0</v>
      </c>
      <c r="E68" s="89"/>
      <c r="F68" s="17">
        <f>'KY_Cost by Plant Acct P8 (REG)'!F68</f>
        <v>0</v>
      </c>
      <c r="G68" s="89"/>
      <c r="H68" s="17">
        <f>'KY_Cost by Plant Acct P8 (REG)'!H68</f>
        <v>0</v>
      </c>
      <c r="I68" s="89"/>
      <c r="J68" s="17">
        <f t="shared" ref="J68:J78" si="9">H68+F68+D68</f>
        <v>0</v>
      </c>
      <c r="K68" s="89"/>
      <c r="L68" s="17">
        <f t="shared" ref="L68:L78" si="10">J68+B68</f>
        <v>176409.31</v>
      </c>
      <c r="N68" s="15">
        <f>'KY_Res by Plant Acct P16(REG)'!R94</f>
        <v>-120484.00000000003</v>
      </c>
      <c r="P68" s="15">
        <f t="shared" ref="P68:P78" si="11">L68+N68</f>
        <v>55925.309999999969</v>
      </c>
    </row>
    <row r="69" spans="1:16" x14ac:dyDescent="0.2">
      <c r="A69" s="3" t="s">
        <v>203</v>
      </c>
      <c r="B69" s="17">
        <f>'KY_Cost by Plant Acct P8 (REG)'!B69</f>
        <v>135099.01999999999</v>
      </c>
      <c r="C69" s="89"/>
      <c r="D69" s="17">
        <f>'KY_Cost by Plant Acct P8 (REG)'!D69</f>
        <v>0</v>
      </c>
      <c r="E69" s="89"/>
      <c r="F69" s="17">
        <f>'KY_Cost by Plant Acct P8 (REG)'!F69</f>
        <v>0</v>
      </c>
      <c r="G69" s="89"/>
      <c r="H69" s="17">
        <f>'KY_Cost by Plant Acct P8 (REG)'!H69</f>
        <v>162070.19</v>
      </c>
      <c r="I69" s="89"/>
      <c r="J69" s="17">
        <f t="shared" si="9"/>
        <v>162070.19</v>
      </c>
      <c r="K69" s="89"/>
      <c r="L69" s="17">
        <f t="shared" si="10"/>
        <v>297169.20999999996</v>
      </c>
      <c r="N69" s="15">
        <f>'KY_Res by Plant Acct P16(REG)'!R95+'KY_Res by Plant Acct P16(REG)'!R97</f>
        <v>0</v>
      </c>
      <c r="P69" s="15">
        <f t="shared" si="11"/>
        <v>297169.20999999996</v>
      </c>
    </row>
    <row r="70" spans="1:16" x14ac:dyDescent="0.2">
      <c r="A70" s="3" t="s">
        <v>204</v>
      </c>
      <c r="B70" s="17">
        <f>'KY_Cost by Plant Acct P8 (REG)'!B70+'KY_Cost by Plant Acct P8 (REG)'!B162</f>
        <v>83072927.450000018</v>
      </c>
      <c r="C70" s="89"/>
      <c r="D70" s="17">
        <f>'KY_Cost by Plant Acct P8 (REG)'!D70+'KY_Cost by Plant Acct P8 (REG)'!D162</f>
        <v>2101990.0600000024</v>
      </c>
      <c r="E70" s="89"/>
      <c r="F70" s="17">
        <f>'KY_Cost by Plant Acct P8 (REG)'!F70</f>
        <v>-95642.86</v>
      </c>
      <c r="G70" s="89"/>
      <c r="H70" s="17">
        <f>'KY_Cost by Plant Acct P8 (REG)'!H70+'KY_Cost by Plant Acct P8 (REG)'!H162</f>
        <v>0</v>
      </c>
      <c r="I70" s="89"/>
      <c r="J70" s="17">
        <f t="shared" si="9"/>
        <v>2006347.2000000023</v>
      </c>
      <c r="K70" s="89"/>
      <c r="L70" s="17">
        <f t="shared" si="10"/>
        <v>85079274.650000021</v>
      </c>
      <c r="N70" s="15">
        <f>'KY_Res by Plant Acct P16(REG)'!R115</f>
        <v>-20949774.380000003</v>
      </c>
      <c r="P70" s="15">
        <f t="shared" si="11"/>
        <v>64129500.270000018</v>
      </c>
    </row>
    <row r="71" spans="1:16" x14ac:dyDescent="0.2">
      <c r="A71" s="3" t="s">
        <v>205</v>
      </c>
      <c r="B71" s="17">
        <f>'KY_Cost by Plant Acct P8 (REG)'!B71+'KY_Cost by Plant Acct P8 (REG)'!B163</f>
        <v>160050131.64000002</v>
      </c>
      <c r="C71" s="89"/>
      <c r="D71" s="17">
        <f>'KY_Cost by Plant Acct P8 (REG)'!D71+'KY_Cost by Plant Acct P8 (REG)'!D163</f>
        <v>-98286128.079999998</v>
      </c>
      <c r="E71" s="89"/>
      <c r="F71" s="17">
        <f>'KY_Cost by Plant Acct P8 (REG)'!F71</f>
        <v>0</v>
      </c>
      <c r="G71" s="89"/>
      <c r="H71" s="17">
        <f>'KY_Cost by Plant Acct P8 (REG)'!H71+'KY_Cost by Plant Acct P8 (REG)'!H163</f>
        <v>0</v>
      </c>
      <c r="I71" s="89"/>
      <c r="J71" s="17">
        <f t="shared" si="9"/>
        <v>-98286128.079999998</v>
      </c>
      <c r="K71" s="89"/>
      <c r="L71" s="17">
        <f t="shared" si="10"/>
        <v>61764003.560000017</v>
      </c>
      <c r="N71" s="15">
        <f>'KY_Res by Plant Acct P16(REG)'!R135</f>
        <v>-17131687.779999997</v>
      </c>
      <c r="P71" s="15">
        <f t="shared" si="11"/>
        <v>44632315.780000016</v>
      </c>
    </row>
    <row r="72" spans="1:16" x14ac:dyDescent="0.2">
      <c r="A72" s="3" t="s">
        <v>206</v>
      </c>
      <c r="B72" s="17">
        <f>'KY_Cost by Plant Acct P8 (REG)'!B72</f>
        <v>0</v>
      </c>
      <c r="C72" s="89"/>
      <c r="D72" s="17">
        <f>'KY_Cost by Plant Acct P8 (REG)'!D72</f>
        <v>0</v>
      </c>
      <c r="E72" s="89"/>
      <c r="F72" s="17">
        <f>'KY_Cost by Plant Acct P8 (REG)'!F72</f>
        <v>0</v>
      </c>
      <c r="G72" s="89"/>
      <c r="H72" s="17">
        <f>'KY_Cost by Plant Acct P8 (REG)'!H72</f>
        <v>0</v>
      </c>
      <c r="I72" s="89"/>
      <c r="J72" s="17">
        <f t="shared" si="9"/>
        <v>0</v>
      </c>
      <c r="K72" s="89"/>
      <c r="L72" s="17">
        <f t="shared" si="10"/>
        <v>0</v>
      </c>
      <c r="N72" s="15">
        <f>'KY_Res by Plant Acct P16(REG)'!R136</f>
        <v>2.9103830456733704E-11</v>
      </c>
      <c r="P72" s="15">
        <f t="shared" si="11"/>
        <v>2.9103830456733704E-11</v>
      </c>
    </row>
    <row r="73" spans="1:16" x14ac:dyDescent="0.2">
      <c r="A73" s="3" t="s">
        <v>207</v>
      </c>
      <c r="B73" s="17">
        <f>'KY_Cost by Plant Acct P8 (REG)'!B73+'KY_Cost by Plant Acct P8 (REG)'!B164</f>
        <v>473814317.67999995</v>
      </c>
      <c r="C73" s="89"/>
      <c r="D73" s="17">
        <f>'KY_Cost by Plant Acct P8 (REG)'!D73+'KY_Cost by Plant Acct P8 (REG)'!D164</f>
        <v>169197383.48000002</v>
      </c>
      <c r="E73" s="89"/>
      <c r="F73" s="17">
        <f>'KY_Cost by Plant Acct P8 (REG)'!F73</f>
        <v>-85818.98</v>
      </c>
      <c r="G73" s="89"/>
      <c r="H73" s="17">
        <f>'KY_Cost by Plant Acct P8 (REG)'!H73+'KY_Cost by Plant Acct P8 (REG)'!H164</f>
        <v>0</v>
      </c>
      <c r="I73" s="89"/>
      <c r="J73" s="17">
        <f t="shared" si="9"/>
        <v>169111564.50000003</v>
      </c>
      <c r="K73" s="89"/>
      <c r="L73" s="17">
        <f t="shared" si="10"/>
        <v>642925882.17999995</v>
      </c>
      <c r="N73" s="15">
        <f>'KY_Res by Plant Acct P16(REG)'!R152</f>
        <v>-180401058.19</v>
      </c>
      <c r="P73" s="15">
        <f t="shared" si="11"/>
        <v>462524823.98999995</v>
      </c>
    </row>
    <row r="74" spans="1:16" x14ac:dyDescent="0.2">
      <c r="A74" s="3" t="s">
        <v>208</v>
      </c>
      <c r="B74" s="17">
        <f>'KY_Cost by Plant Acct P8 (REG)'!B74+'KY_Cost by Plant Acct P8 (REG)'!B165</f>
        <v>172508939.62</v>
      </c>
      <c r="C74" s="89"/>
      <c r="D74" s="17">
        <f>'KY_Cost by Plant Acct P8 (REG)'!D74+'KY_Cost by Plant Acct P8 (REG)'!D165</f>
        <v>-40978432.049999997</v>
      </c>
      <c r="E74" s="89"/>
      <c r="F74" s="17">
        <f>'KY_Cost by Plant Acct P8 (REG)'!F74</f>
        <v>-432616.31</v>
      </c>
      <c r="G74" s="89"/>
      <c r="H74" s="17">
        <f>'KY_Cost by Plant Acct P8 (REG)'!H74+'KY_Cost by Plant Acct P8 (REG)'!H165</f>
        <v>0</v>
      </c>
      <c r="I74" s="89"/>
      <c r="J74" s="17">
        <f t="shared" si="9"/>
        <v>-41411048.359999999</v>
      </c>
      <c r="K74" s="89"/>
      <c r="L74" s="17">
        <f t="shared" si="10"/>
        <v>131097891.26000001</v>
      </c>
      <c r="N74" s="15">
        <f>'KY_Res by Plant Acct P16(REG)'!R170</f>
        <v>-37362377.209999993</v>
      </c>
      <c r="P74" s="15">
        <f t="shared" si="11"/>
        <v>93735514.050000012</v>
      </c>
    </row>
    <row r="75" spans="1:16" x14ac:dyDescent="0.2">
      <c r="A75" s="3" t="s">
        <v>209</v>
      </c>
      <c r="B75" s="17">
        <f>'KY_Cost by Plant Acct P8 (REG)'!B75+'KY_Cost by Plant Acct P8 (REG)'!B166</f>
        <v>73541848.189999998</v>
      </c>
      <c r="C75" s="89"/>
      <c r="D75" s="17">
        <f>'KY_Cost by Plant Acct P8 (REG)'!D75+'KY_Cost by Plant Acct P8 (REG)'!D166</f>
        <v>-7091081.0399999991</v>
      </c>
      <c r="E75" s="89"/>
      <c r="F75" s="17">
        <f>'KY_Cost by Plant Acct P8 (REG)'!F75</f>
        <v>-115501.18</v>
      </c>
      <c r="G75" s="89"/>
      <c r="H75" s="17">
        <f>'KY_Cost by Plant Acct P8 (REG)'!H75+'KY_Cost by Plant Acct P8 (REG)'!H166</f>
        <v>0</v>
      </c>
      <c r="I75" s="89"/>
      <c r="J75" s="17">
        <f t="shared" si="9"/>
        <v>-7206582.2199999988</v>
      </c>
      <c r="K75" s="89"/>
      <c r="L75" s="17">
        <f t="shared" si="10"/>
        <v>66335265.969999999</v>
      </c>
      <c r="N75" s="15">
        <f>'KY_Res by Plant Acct P16(REG)'!R188</f>
        <v>-22965453.669999994</v>
      </c>
      <c r="P75" s="15">
        <f t="shared" si="11"/>
        <v>43369812.300000004</v>
      </c>
    </row>
    <row r="76" spans="1:16" x14ac:dyDescent="0.2">
      <c r="A76" s="3" t="s">
        <v>210</v>
      </c>
      <c r="B76" s="17">
        <f>'KY_Cost by Plant Acct P8 (REG)'!B76</f>
        <v>0</v>
      </c>
      <c r="C76" s="89"/>
      <c r="D76" s="17">
        <f>'KY_Cost by Plant Acct P8 (REG)'!D76</f>
        <v>0</v>
      </c>
      <c r="E76" s="89"/>
      <c r="F76" s="17">
        <f>'KY_Cost by Plant Acct P8 (REG)'!F76</f>
        <v>0</v>
      </c>
      <c r="G76" s="89"/>
      <c r="H76" s="17">
        <f>'KY_Cost by Plant Acct P8 (REG)'!H76</f>
        <v>0</v>
      </c>
      <c r="I76" s="89"/>
      <c r="J76" s="17">
        <f t="shared" si="9"/>
        <v>0</v>
      </c>
      <c r="K76" s="89"/>
      <c r="L76" s="17">
        <f t="shared" si="10"/>
        <v>0</v>
      </c>
      <c r="N76" s="15">
        <f>'KY_Res by Plant Acct P16(REG)'!R198</f>
        <v>0</v>
      </c>
      <c r="P76" s="15">
        <f t="shared" si="11"/>
        <v>0</v>
      </c>
    </row>
    <row r="77" spans="1:16" x14ac:dyDescent="0.2">
      <c r="A77" s="3" t="s">
        <v>211</v>
      </c>
      <c r="B77" s="17">
        <f>'KY_Cost by Plant Acct P8 (REG)'!B77+'KY_Cost by Plant Acct P8 (REG)'!B167</f>
        <v>5655608.4399999995</v>
      </c>
      <c r="C77" s="89"/>
      <c r="D77" s="17">
        <f>'KY_Cost by Plant Acct P8 (REG)'!D77+'KY_Cost by Plant Acct P8 (REG)'!D167</f>
        <v>3454693.57</v>
      </c>
      <c r="E77" s="89"/>
      <c r="F77" s="17">
        <f>'KY_Cost by Plant Acct P8 (REG)'!F77+'KY_Cost by Plant Acct P8 (REG)'!F167</f>
        <v>-114855.08</v>
      </c>
      <c r="G77" s="89"/>
      <c r="H77" s="17">
        <f>'KY_Cost by Plant Acct P8 (REG)'!H77+'KY_Cost by Plant Acct P8 (REG)'!H167</f>
        <v>0</v>
      </c>
      <c r="I77" s="89"/>
      <c r="J77" s="17">
        <f t="shared" si="9"/>
        <v>3339838.4899999998</v>
      </c>
      <c r="K77" s="89"/>
      <c r="L77" s="17">
        <f t="shared" si="10"/>
        <v>8995446.9299999997</v>
      </c>
      <c r="N77" s="15">
        <f>'KY_Res by Plant Acct P16(REG)'!R215</f>
        <v>-3076810.1300000008</v>
      </c>
      <c r="P77" s="15">
        <f t="shared" si="11"/>
        <v>5918636.7999999989</v>
      </c>
    </row>
    <row r="78" spans="1:16" x14ac:dyDescent="0.2">
      <c r="A78" s="3" t="s">
        <v>212</v>
      </c>
      <c r="B78" s="16">
        <f>'KY_Cost by Plant Acct P8 (REG)'!B78</f>
        <v>403344.09</v>
      </c>
      <c r="C78" s="89"/>
      <c r="D78" s="16">
        <f>'KY_Cost by Plant Acct P8 (REG)'!D78</f>
        <v>0</v>
      </c>
      <c r="E78" s="89"/>
      <c r="F78" s="16">
        <f>'KY_Cost by Plant Acct P8 (REG)'!F78</f>
        <v>0</v>
      </c>
      <c r="G78" s="89"/>
      <c r="H78" s="16">
        <f>'KY_Cost by Plant Acct P8 (REG)'!H78</f>
        <v>0</v>
      </c>
      <c r="I78" s="89"/>
      <c r="J78" s="16">
        <f t="shared" si="9"/>
        <v>0</v>
      </c>
      <c r="K78" s="89"/>
      <c r="L78" s="16">
        <f t="shared" si="10"/>
        <v>403344.09</v>
      </c>
      <c r="N78" s="90">
        <f>'KY_Res by Plant Acct P16(REG)'!R216</f>
        <v>-32972.980000000003</v>
      </c>
      <c r="P78" s="90">
        <f t="shared" si="11"/>
        <v>370371.11000000004</v>
      </c>
    </row>
    <row r="79" spans="1:16" x14ac:dyDescent="0.2">
      <c r="B79" s="17">
        <f>SUM(B68:B78)</f>
        <v>969358625.43999994</v>
      </c>
      <c r="C79" s="89"/>
      <c r="D79" s="17">
        <f>SUM(D68:D78)</f>
        <v>28398425.940000027</v>
      </c>
      <c r="E79" s="89"/>
      <c r="F79" s="17">
        <f>SUM(F68:F78)</f>
        <v>-844434.41</v>
      </c>
      <c r="G79" s="89"/>
      <c r="H79" s="17">
        <f>SUM(H68:H78)</f>
        <v>162070.19</v>
      </c>
      <c r="I79" s="89"/>
      <c r="J79" s="17">
        <f>SUM(J68:J78)</f>
        <v>27716061.720000032</v>
      </c>
      <c r="K79" s="89"/>
      <c r="L79" s="17">
        <f>SUM(L68:L78)</f>
        <v>997074687.15999997</v>
      </c>
      <c r="N79" s="17">
        <f>SUM(N68:N78)</f>
        <v>-282040618.34000003</v>
      </c>
      <c r="P79" s="17">
        <f>SUM(P68:P78)</f>
        <v>715034068.81999981</v>
      </c>
    </row>
    <row r="80" spans="1:16" x14ac:dyDescent="0.2">
      <c r="B80" s="17"/>
      <c r="C80" s="89"/>
      <c r="D80" s="17"/>
      <c r="E80" s="89"/>
      <c r="F80" s="17"/>
      <c r="G80" s="89"/>
      <c r="H80" s="17"/>
      <c r="I80" s="89"/>
      <c r="J80" s="17"/>
      <c r="K80" s="89"/>
      <c r="L80" s="17"/>
    </row>
    <row r="81" spans="1:16" x14ac:dyDescent="0.2">
      <c r="A81" s="12" t="s">
        <v>17</v>
      </c>
      <c r="C81" s="88"/>
      <c r="E81" s="88"/>
      <c r="G81" s="88"/>
      <c r="I81" s="88"/>
      <c r="K81" s="88"/>
    </row>
    <row r="82" spans="1:16" x14ac:dyDescent="0.2">
      <c r="A82" s="3" t="s">
        <v>214</v>
      </c>
      <c r="B82" s="14">
        <f>'KY_Cost by Plant Acct P8 (REG)'!B82+'KY_Cost by Plant Acct P8 (REG)'!B171</f>
        <v>22958202.419999998</v>
      </c>
      <c r="C82" s="88"/>
      <c r="D82" s="14">
        <f>'KY_Cost by Plant Acct P8 (REG)'!D82+'KY_Cost by Plant Acct P8 (REG)'!D171</f>
        <v>274092.44</v>
      </c>
      <c r="E82" s="88"/>
      <c r="F82" s="14">
        <f>'KY_Cost by Plant Acct P8 (REG)'!F82+'KY_Cost by Plant Acct P8 (REG)'!F171</f>
        <v>0</v>
      </c>
      <c r="G82" s="88"/>
      <c r="H82" s="14">
        <f>'KY_Cost by Plant Acct P8 (REG)'!H82+'KY_Cost by Plant Acct P8 (REG)'!H171</f>
        <v>-265688.83999999997</v>
      </c>
      <c r="I82" s="88"/>
      <c r="J82" s="14">
        <f t="shared" ref="J82:J93" si="12">H82+F82+D82</f>
        <v>8403.6000000000349</v>
      </c>
      <c r="K82" s="88"/>
      <c r="L82" s="14">
        <f t="shared" ref="L82:L93" si="13">J82+B82</f>
        <v>22966606.02</v>
      </c>
      <c r="N82" s="15">
        <f>'KY_Res by Plant Acct P16(REG)'!R228</f>
        <v>0</v>
      </c>
      <c r="P82" s="15">
        <f t="shared" ref="P82:P93" si="14">L82+N82</f>
        <v>22966606.02</v>
      </c>
    </row>
    <row r="83" spans="1:16" x14ac:dyDescent="0.2">
      <c r="A83" s="3" t="s">
        <v>215</v>
      </c>
      <c r="B83" s="14">
        <f>'KY_Cost by Plant Acct P8 (REG)'!B83+'KY_Cost by Plant Acct P8 (REG)'!B172</f>
        <v>337599205.98000002</v>
      </c>
      <c r="C83" s="88"/>
      <c r="D83" s="14">
        <f>'KY_Cost by Plant Acct P8 (REG)'!D83+'KY_Cost by Plant Acct P8 (REG)'!D172</f>
        <v>3671829.4999999995</v>
      </c>
      <c r="E83" s="88"/>
      <c r="F83" s="14">
        <f>'KY_Cost by Plant Acct P8 (REG)'!F83</f>
        <v>-917939.39</v>
      </c>
      <c r="G83" s="88"/>
      <c r="H83" s="14">
        <f>'KY_Cost by Plant Acct P8 (REG)'!H83+'KY_Cost by Plant Acct P8 (REG)'!H172</f>
        <v>-4924909.4000000004</v>
      </c>
      <c r="I83" s="88"/>
      <c r="J83" s="14">
        <f t="shared" si="12"/>
        <v>-2171019.2900000005</v>
      </c>
      <c r="K83" s="88"/>
      <c r="L83" s="14">
        <f t="shared" si="13"/>
        <v>335428186.69</v>
      </c>
      <c r="N83" s="15">
        <f>'KY_Res by Plant Acct P16(REG)'!R263</f>
        <v>-175741363.19</v>
      </c>
      <c r="P83" s="15">
        <f t="shared" si="14"/>
        <v>159686823.5</v>
      </c>
    </row>
    <row r="84" spans="1:16" x14ac:dyDescent="0.2">
      <c r="A84" s="3" t="s">
        <v>216</v>
      </c>
      <c r="B84" s="14">
        <f>'KY_Cost by Plant Acct P8 (REG)'!B84+'KY_Cost by Plant Acct P8 (REG)'!B173</f>
        <v>0</v>
      </c>
      <c r="C84" s="88"/>
      <c r="D84" s="14">
        <f>'KY_Cost by Plant Acct P8 (REG)'!D84+'KY_Cost by Plant Acct P8 (REG)'!D173</f>
        <v>0</v>
      </c>
      <c r="E84" s="88"/>
      <c r="F84" s="14">
        <f>'KY_Cost by Plant Acct P8 (REG)'!F84</f>
        <v>0</v>
      </c>
      <c r="G84" s="88"/>
      <c r="H84" s="14">
        <f>'KY_Cost by Plant Acct P8 (REG)'!H84+'KY_Cost by Plant Acct P8 (REG)'!H173</f>
        <v>0</v>
      </c>
      <c r="I84" s="88"/>
      <c r="J84" s="14">
        <f t="shared" si="12"/>
        <v>0</v>
      </c>
      <c r="K84" s="88"/>
      <c r="L84" s="14">
        <f t="shared" si="13"/>
        <v>0</v>
      </c>
      <c r="N84" s="15">
        <f>'KY_Res by Plant Acct P16(REG)'!R272</f>
        <v>0</v>
      </c>
      <c r="P84" s="15">
        <f t="shared" si="14"/>
        <v>0</v>
      </c>
    </row>
    <row r="85" spans="1:16" x14ac:dyDescent="0.2">
      <c r="A85" s="3" t="s">
        <v>217</v>
      </c>
      <c r="B85" s="14">
        <f>'KY_Cost by Plant Acct P8 (REG)'!B85+'KY_Cost by Plant Acct P8 (REG)'!B174</f>
        <v>3789043791.29</v>
      </c>
      <c r="C85" s="88"/>
      <c r="D85" s="14">
        <f>'KY_Cost by Plant Acct P8 (REG)'!D85+'KY_Cost by Plant Acct P8 (REG)'!D174</f>
        <v>158237843.05000001</v>
      </c>
      <c r="E85" s="88"/>
      <c r="F85" s="14">
        <f>'KY_Cost by Plant Acct P8 (REG)'!F85</f>
        <v>-10563333.779999999</v>
      </c>
      <c r="G85" s="88"/>
      <c r="H85" s="14">
        <f>'KY_Cost by Plant Acct P8 (REG)'!H85+'KY_Cost by Plant Acct P8 (REG)'!H174</f>
        <v>4982726.8600000003</v>
      </c>
      <c r="I85" s="88"/>
      <c r="J85" s="14">
        <f t="shared" si="12"/>
        <v>152657236.13000003</v>
      </c>
      <c r="K85" s="88"/>
      <c r="L85" s="14">
        <f t="shared" si="13"/>
        <v>3941701027.4200001</v>
      </c>
      <c r="N85" s="15">
        <f>'KY_Res by Plant Acct P16(REG)'!R324</f>
        <v>-1111662726.3200002</v>
      </c>
      <c r="P85" s="15">
        <f t="shared" si="14"/>
        <v>2830038301.0999999</v>
      </c>
    </row>
    <row r="86" spans="1:16" x14ac:dyDescent="0.2">
      <c r="A86" s="3" t="s">
        <v>218</v>
      </c>
      <c r="B86" s="14">
        <f>'KY_Cost by Plant Acct P8 (REG)'!B86</f>
        <v>0</v>
      </c>
      <c r="C86" s="88"/>
      <c r="D86" s="14">
        <f>'KY_Cost by Plant Acct P8 (REG)'!D86</f>
        <v>0</v>
      </c>
      <c r="E86" s="88"/>
      <c r="F86" s="14">
        <f>'KY_Cost by Plant Acct P8 (REG)'!F86</f>
        <v>0</v>
      </c>
      <c r="G86" s="88"/>
      <c r="H86" s="14">
        <f>'KY_Cost by Plant Acct P8 (REG)'!H86</f>
        <v>0</v>
      </c>
      <c r="I86" s="88"/>
      <c r="J86" s="14">
        <f t="shared" si="12"/>
        <v>0</v>
      </c>
      <c r="K86" s="88"/>
      <c r="L86" s="14">
        <f t="shared" si="13"/>
        <v>0</v>
      </c>
      <c r="N86" s="15">
        <f>'KY_Res by Plant Acct P16(REG)'!R335</f>
        <v>0</v>
      </c>
      <c r="P86" s="15">
        <f t="shared" si="14"/>
        <v>0</v>
      </c>
    </row>
    <row r="87" spans="1:16" x14ac:dyDescent="0.2">
      <c r="A87" s="3" t="s">
        <v>219</v>
      </c>
      <c r="B87" s="14">
        <f>'KY_Cost by Plant Acct P8 (REG)'!B87+'KY_Cost by Plant Acct P8 (REG)'!B175</f>
        <v>329047128.63999993</v>
      </c>
      <c r="C87" s="88"/>
      <c r="D87" s="14">
        <f>'KY_Cost by Plant Acct P8 (REG)'!D87+'KY_Cost by Plant Acct P8 (REG)'!D175</f>
        <v>7372416.04</v>
      </c>
      <c r="E87" s="88"/>
      <c r="F87" s="14">
        <f>'KY_Cost by Plant Acct P8 (REG)'!F87</f>
        <v>-513877.9</v>
      </c>
      <c r="G87" s="88"/>
      <c r="H87" s="14">
        <f>'KY_Cost by Plant Acct P8 (REG)'!H87+'KY_Cost by Plant Acct P8 (REG)'!H175</f>
        <v>0</v>
      </c>
      <c r="I87" s="88"/>
      <c r="J87" s="14">
        <f t="shared" si="12"/>
        <v>6858538.1399999997</v>
      </c>
      <c r="K87" s="88"/>
      <c r="L87" s="14">
        <f t="shared" si="13"/>
        <v>335905666.77999991</v>
      </c>
      <c r="N87" s="15">
        <f>'KY_Res by Plant Acct P16(REG)'!R351</f>
        <v>-166320490.67999998</v>
      </c>
      <c r="P87" s="15">
        <f t="shared" si="14"/>
        <v>169585176.09999993</v>
      </c>
    </row>
    <row r="88" spans="1:16" x14ac:dyDescent="0.2">
      <c r="A88" s="3" t="s">
        <v>220</v>
      </c>
      <c r="B88" s="14">
        <f>'KY_Cost by Plant Acct P8 (REG)'!B88</f>
        <v>0</v>
      </c>
      <c r="C88" s="88"/>
      <c r="D88" s="14">
        <f>'KY_Cost by Plant Acct P8 (REG)'!D88</f>
        <v>0</v>
      </c>
      <c r="E88" s="88"/>
      <c r="F88" s="14">
        <f>'KY_Cost by Plant Acct P8 (REG)'!F88</f>
        <v>0</v>
      </c>
      <c r="G88" s="88"/>
      <c r="H88" s="14">
        <f>'KY_Cost by Plant Acct P8 (REG)'!H88</f>
        <v>0</v>
      </c>
      <c r="I88" s="88"/>
      <c r="J88" s="14">
        <f t="shared" si="12"/>
        <v>0</v>
      </c>
      <c r="K88" s="88"/>
      <c r="L88" s="14">
        <f t="shared" si="13"/>
        <v>0</v>
      </c>
      <c r="N88" s="15">
        <f>'KY_Res by Plant Acct P16(REG)'!R352</f>
        <v>0</v>
      </c>
      <c r="P88" s="15">
        <f t="shared" si="14"/>
        <v>0</v>
      </c>
    </row>
    <row r="89" spans="1:16" x14ac:dyDescent="0.2">
      <c r="A89" s="3" t="s">
        <v>221</v>
      </c>
      <c r="B89" s="14">
        <f>'KY_Cost by Plant Acct P8 (REG)'!B89+'KY_Cost by Plant Acct P8 (REG)'!B176</f>
        <v>221412504.41999999</v>
      </c>
      <c r="C89" s="88"/>
      <c r="D89" s="14">
        <f>'KY_Cost by Plant Acct P8 (REG)'!D89+'KY_Cost by Plant Acct P8 (REG)'!D176</f>
        <v>733224.95000000007</v>
      </c>
      <c r="E89" s="88"/>
      <c r="F89" s="14">
        <f>'KY_Cost by Plant Acct P8 (REG)'!F89</f>
        <v>-248391.82</v>
      </c>
      <c r="G89" s="88"/>
      <c r="H89" s="14">
        <f>'KY_Cost by Plant Acct P8 (REG)'!H89+'KY_Cost by Plant Acct P8 (REG)'!H176</f>
        <v>0</v>
      </c>
      <c r="I89" s="88"/>
      <c r="J89" s="14">
        <f t="shared" si="12"/>
        <v>484833.13000000006</v>
      </c>
      <c r="K89" s="88"/>
      <c r="L89" s="14">
        <f t="shared" si="13"/>
        <v>221897337.54999998</v>
      </c>
      <c r="N89" s="15">
        <f>'KY_Res by Plant Acct P16(REG)'!R388</f>
        <v>-104624959.48999999</v>
      </c>
      <c r="P89" s="15">
        <f t="shared" si="14"/>
        <v>117272378.05999999</v>
      </c>
    </row>
    <row r="90" spans="1:16" x14ac:dyDescent="0.2">
      <c r="A90" s="3" t="s">
        <v>222</v>
      </c>
      <c r="B90" s="14">
        <f>'KY_Cost by Plant Acct P8 (REG)'!B90</f>
        <v>0</v>
      </c>
      <c r="C90" s="88"/>
      <c r="D90" s="14">
        <f>'KY_Cost by Plant Acct P8 (REG)'!D90</f>
        <v>0</v>
      </c>
      <c r="E90" s="88"/>
      <c r="F90" s="14">
        <f>'KY_Cost by Plant Acct P8 (REG)'!F90</f>
        <v>0</v>
      </c>
      <c r="G90" s="88"/>
      <c r="H90" s="14">
        <f>'KY_Cost by Plant Acct P8 (REG)'!H90</f>
        <v>0</v>
      </c>
      <c r="I90" s="88"/>
      <c r="J90" s="14">
        <f t="shared" si="12"/>
        <v>0</v>
      </c>
      <c r="K90" s="88"/>
      <c r="L90" s="14">
        <f t="shared" si="13"/>
        <v>0</v>
      </c>
      <c r="N90" s="15">
        <f>'KY_Res by Plant Acct P16(REG)'!R398</f>
        <v>0</v>
      </c>
      <c r="P90" s="15">
        <f t="shared" si="14"/>
        <v>0</v>
      </c>
    </row>
    <row r="91" spans="1:16" x14ac:dyDescent="0.2">
      <c r="A91" s="3" t="s">
        <v>223</v>
      </c>
      <c r="B91" s="14">
        <f>'KY_Cost by Plant Acct P8 (REG)'!B91+'KY_Cost by Plant Acct P8 (REG)'!B177</f>
        <v>36265518.899999999</v>
      </c>
      <c r="C91" s="88"/>
      <c r="D91" s="14">
        <f>'KY_Cost by Plant Acct P8 (REG)'!D91+'KY_Cost by Plant Acct P8 (REG)'!D177</f>
        <v>1190929.94</v>
      </c>
      <c r="E91" s="88"/>
      <c r="F91" s="14">
        <f>'KY_Cost by Plant Acct P8 (REG)'!F91</f>
        <v>-482747.26</v>
      </c>
      <c r="G91" s="88"/>
      <c r="H91" s="14">
        <f>'KY_Cost by Plant Acct P8 (REG)'!H91+'KY_Cost by Plant Acct P8 (REG)'!H177</f>
        <v>-57817.46</v>
      </c>
      <c r="I91" s="88"/>
      <c r="J91" s="14">
        <f t="shared" si="12"/>
        <v>650365.22</v>
      </c>
      <c r="K91" s="88"/>
      <c r="L91" s="14">
        <f t="shared" si="13"/>
        <v>36915884.119999997</v>
      </c>
      <c r="N91" s="15">
        <f>'KY_Res by Plant Acct P16(REG)'!R417</f>
        <v>-16204760.220000003</v>
      </c>
      <c r="P91" s="15">
        <f t="shared" si="14"/>
        <v>20711123.899999995</v>
      </c>
    </row>
    <row r="92" spans="1:16" x14ac:dyDescent="0.2">
      <c r="A92" s="3" t="s">
        <v>224</v>
      </c>
      <c r="B92" s="17">
        <f>'KY_Cost by Plant Acct P8 (REG)'!B92</f>
        <v>329221435.25999999</v>
      </c>
      <c r="C92" s="89"/>
      <c r="D92" s="17">
        <f>'KY_Cost by Plant Acct P8 (REG)'!D92</f>
        <v>0</v>
      </c>
      <c r="E92" s="89"/>
      <c r="F92" s="17">
        <f>'KY_Cost by Plant Acct P8 (REG)'!F92</f>
        <v>-2172751.56</v>
      </c>
      <c r="G92" s="89"/>
      <c r="H92" s="17">
        <f>'KY_Cost by Plant Acct P8 (REG)'!H92</f>
        <v>-299395427.20000005</v>
      </c>
      <c r="I92" s="89"/>
      <c r="J92" s="17">
        <f t="shared" si="12"/>
        <v>-301568178.76000005</v>
      </c>
      <c r="K92" s="89"/>
      <c r="L92" s="17">
        <f t="shared" si="13"/>
        <v>27653256.49999994</v>
      </c>
      <c r="M92" s="59"/>
      <c r="N92" s="60">
        <f>'KY_Res by Plant Acct P16(REG)'!R418</f>
        <v>-2815947.9499999881</v>
      </c>
      <c r="O92" s="59"/>
      <c r="P92" s="60">
        <f t="shared" si="14"/>
        <v>24837308.549999952</v>
      </c>
    </row>
    <row r="93" spans="1:16" x14ac:dyDescent="0.2">
      <c r="A93" s="3" t="s">
        <v>225</v>
      </c>
      <c r="B93" s="17">
        <f>'KY_Cost by Plant Acct P8 (REG)'!B93</f>
        <v>0</v>
      </c>
      <c r="C93" s="89"/>
      <c r="D93" s="17">
        <f>'KY_Cost by Plant Acct P8 (REG)'!D93</f>
        <v>0</v>
      </c>
      <c r="E93" s="89"/>
      <c r="F93" s="17">
        <f>'KY_Cost by Plant Acct P8 (REG)'!F93</f>
        <v>0</v>
      </c>
      <c r="G93" s="89"/>
      <c r="H93" s="17">
        <f>'KY_Cost by Plant Acct P8 (REG)'!H93</f>
        <v>220491458.15000004</v>
      </c>
      <c r="I93" s="89"/>
      <c r="J93" s="17">
        <f t="shared" si="12"/>
        <v>220491458.15000004</v>
      </c>
      <c r="K93" s="89"/>
      <c r="L93" s="17">
        <f t="shared" si="13"/>
        <v>220491458.15000004</v>
      </c>
      <c r="M93" s="59"/>
      <c r="N93" s="60">
        <f>'KY_Res by Plant Acct P16(REG)'!R419</f>
        <v>-90540910.780000001</v>
      </c>
      <c r="O93" s="59"/>
      <c r="P93" s="60">
        <f t="shared" si="14"/>
        <v>129950547.37000003</v>
      </c>
    </row>
    <row r="94" spans="1:16" x14ac:dyDescent="0.2">
      <c r="B94" s="18">
        <f>SUM(B82:B93)</f>
        <v>5065547786.9099998</v>
      </c>
      <c r="C94" s="91"/>
      <c r="D94" s="18">
        <f>SUM(D82:D93)</f>
        <v>171480335.91999999</v>
      </c>
      <c r="E94" s="91"/>
      <c r="F94" s="18">
        <f>SUM(F82:F93)</f>
        <v>-14899041.710000001</v>
      </c>
      <c r="G94" s="91"/>
      <c r="H94" s="18">
        <f>SUM(H82:H93)</f>
        <v>-79169657.889999986</v>
      </c>
      <c r="I94" s="18">
        <f>SUM(I82:I93)</f>
        <v>0</v>
      </c>
      <c r="J94" s="18">
        <f>SUM(J82:J93)</f>
        <v>77411636.319999993</v>
      </c>
      <c r="K94" s="18">
        <f>SUM(K82:K93)</f>
        <v>0</v>
      </c>
      <c r="L94" s="18">
        <f>SUM(L82:L93)</f>
        <v>5142959423.2299995</v>
      </c>
      <c r="M94" s="77"/>
      <c r="N94" s="18">
        <f>SUM(N82:N93)</f>
        <v>-1667911158.6300004</v>
      </c>
      <c r="O94" s="77"/>
      <c r="P94" s="18">
        <f>SUM(P82:P93)</f>
        <v>3475048264.5999994</v>
      </c>
    </row>
    <row r="95" spans="1:16" x14ac:dyDescent="0.2">
      <c r="B95" s="17"/>
      <c r="C95" s="89"/>
      <c r="D95" s="17"/>
      <c r="E95" s="89"/>
      <c r="F95" s="17"/>
      <c r="G95" s="89"/>
      <c r="H95" s="17"/>
      <c r="I95" s="89"/>
      <c r="J95" s="17"/>
      <c r="K95" s="89"/>
      <c r="L95" s="17"/>
    </row>
    <row r="96" spans="1:16" x14ac:dyDescent="0.2">
      <c r="A96" s="12" t="s">
        <v>18</v>
      </c>
      <c r="B96" s="17"/>
      <c r="C96" s="89"/>
      <c r="D96" s="17"/>
      <c r="E96" s="89"/>
      <c r="F96" s="17"/>
      <c r="G96" s="89"/>
      <c r="H96" s="17"/>
      <c r="I96" s="89"/>
      <c r="J96" s="17"/>
      <c r="K96" s="89"/>
      <c r="L96" s="17"/>
    </row>
    <row r="97" spans="1:16" x14ac:dyDescent="0.2">
      <c r="A97" s="3" t="s">
        <v>227</v>
      </c>
      <c r="B97" s="17">
        <f>'KY_Cost by Plant Acct P8 (REG)'!B97+'KY_Cost by Plant Acct P8 (REG)'!B181</f>
        <v>27309924.549999997</v>
      </c>
      <c r="C97" s="89"/>
      <c r="D97" s="17">
        <f>'KY_Cost by Plant Acct P8 (REG)'!D97+'KY_Cost by Plant Acct P8 (REG)'!D181</f>
        <v>0</v>
      </c>
      <c r="E97" s="89"/>
      <c r="F97" s="17">
        <f>'KY_Cost by Plant Acct P8 (REG)'!F97+'KY_Cost by Plant Acct P8 (REG)'!F181</f>
        <v>0</v>
      </c>
      <c r="G97" s="89"/>
      <c r="H97" s="17">
        <f>'KY_Cost by Plant Acct P8 (REG)'!H97+'KY_Cost by Plant Acct P8 (REG)'!H181</f>
        <v>0</v>
      </c>
      <c r="I97" s="89"/>
      <c r="J97" s="17">
        <f t="shared" ref="J97:J110" si="15">H97+F97+D97</f>
        <v>0</v>
      </c>
      <c r="K97" s="89"/>
      <c r="L97" s="17">
        <f t="shared" ref="L97:L110" si="16">J97+B97</f>
        <v>27309924.549999997</v>
      </c>
      <c r="N97" s="15">
        <f>'KY_Res by Plant Acct P16(REG)'!R423+'KY_Res by Plant Acct P16(REG)'!R424</f>
        <v>-15400740.929999998</v>
      </c>
      <c r="P97" s="15">
        <f t="shared" ref="P97:P110" si="17">L97+N97</f>
        <v>11909183.619999999</v>
      </c>
    </row>
    <row r="98" spans="1:16" x14ac:dyDescent="0.2">
      <c r="A98" s="3" t="s">
        <v>228</v>
      </c>
      <c r="B98" s="17">
        <f>'KY_Cost by Plant Acct P8 (REG)'!B98+'KY_Cost by Plant Acct P8 (REG)'!B182</f>
        <v>2314569.5699999998</v>
      </c>
      <c r="C98" s="89"/>
      <c r="D98" s="17">
        <f>'KY_Cost by Plant Acct P8 (REG)'!D98+'KY_Cost by Plant Acct P8 (REG)'!D182</f>
        <v>0</v>
      </c>
      <c r="E98" s="89"/>
      <c r="F98" s="17">
        <f>'KY_Cost by Plant Acct P8 (REG)'!F98</f>
        <v>0</v>
      </c>
      <c r="G98" s="89"/>
      <c r="H98" s="17">
        <f>'KY_Cost by Plant Acct P8 (REG)'!H98+'KY_Cost by Plant Acct P8 (REG)'!H182</f>
        <v>0</v>
      </c>
      <c r="I98" s="89"/>
      <c r="J98" s="17">
        <f t="shared" si="15"/>
        <v>0</v>
      </c>
      <c r="K98" s="89"/>
      <c r="L98" s="17">
        <f t="shared" si="16"/>
        <v>2314569.5699999998</v>
      </c>
      <c r="N98" s="15">
        <f>'KY_Res by Plant Acct P16(REG)'!R425</f>
        <v>0</v>
      </c>
      <c r="P98" s="15">
        <f t="shared" si="17"/>
        <v>2314569.5699999998</v>
      </c>
    </row>
    <row r="99" spans="1:16" x14ac:dyDescent="0.2">
      <c r="A99" s="3" t="s">
        <v>229</v>
      </c>
      <c r="B99" s="17">
        <f>'KY_Cost by Plant Acct P8 (REG)'!B99+'KY_Cost by Plant Acct P8 (REG)'!B183</f>
        <v>23696543.660000004</v>
      </c>
      <c r="C99" s="89"/>
      <c r="D99" s="17">
        <f>'KY_Cost by Plant Acct P8 (REG)'!D99+'KY_Cost by Plant Acct P8 (REG)'!D183</f>
        <v>3709634.1500000004</v>
      </c>
      <c r="E99" s="89"/>
      <c r="F99" s="17">
        <f>'KY_Cost by Plant Acct P8 (REG)'!F99</f>
        <v>-173163.93</v>
      </c>
      <c r="G99" s="89"/>
      <c r="H99" s="17">
        <f>'KY_Cost by Plant Acct P8 (REG)'!H99+'KY_Cost by Plant Acct P8 (REG)'!H183</f>
        <v>-4946.97</v>
      </c>
      <c r="I99" s="89"/>
      <c r="J99" s="17">
        <f t="shared" si="15"/>
        <v>3531523.2500000005</v>
      </c>
      <c r="K99" s="89"/>
      <c r="L99" s="17">
        <f t="shared" si="16"/>
        <v>27228066.910000004</v>
      </c>
      <c r="N99" s="15">
        <f>'KY_Res by Plant Acct P16(REG)'!R426+'KY_Res by Plant Acct P16(REG)'!R427+'KY_Res by Plant Acct P16(REG)'!R428</f>
        <v>-6055699.3099999996</v>
      </c>
      <c r="P99" s="15">
        <f t="shared" si="17"/>
        <v>21172367.600000005</v>
      </c>
    </row>
    <row r="100" spans="1:16" x14ac:dyDescent="0.2">
      <c r="A100" s="3" t="s">
        <v>230</v>
      </c>
      <c r="B100" s="17">
        <f>'KY_Cost by Plant Acct P8 (REG)'!B100</f>
        <v>193226.00999999992</v>
      </c>
      <c r="C100" s="89"/>
      <c r="D100" s="17">
        <f>'KY_Cost by Plant Acct P8 (REG)'!D100</f>
        <v>0</v>
      </c>
      <c r="E100" s="89"/>
      <c r="F100" s="17">
        <f>'KY_Cost by Plant Acct P8 (REG)'!F100</f>
        <v>0</v>
      </c>
      <c r="G100" s="89"/>
      <c r="H100" s="17">
        <f>'KY_Cost by Plant Acct P8 (REG)'!H100</f>
        <v>0</v>
      </c>
      <c r="I100" s="89"/>
      <c r="J100" s="17">
        <f t="shared" si="15"/>
        <v>0</v>
      </c>
      <c r="K100" s="89"/>
      <c r="L100" s="17">
        <f t="shared" si="16"/>
        <v>193226.00999999992</v>
      </c>
      <c r="N100" s="15">
        <f>'KY_Res by Plant Acct P16(REG)'!R429</f>
        <v>-75023.19</v>
      </c>
      <c r="P100" s="15">
        <f t="shared" si="17"/>
        <v>118202.81999999992</v>
      </c>
    </row>
    <row r="101" spans="1:16" x14ac:dyDescent="0.2">
      <c r="A101" s="3" t="s">
        <v>231</v>
      </c>
      <c r="B101" s="17">
        <f>'KY_Cost by Plant Acct P8 (REG)'!B101+'KY_Cost by Plant Acct P8 (REG)'!B184</f>
        <v>235865521.24999997</v>
      </c>
      <c r="C101" s="89"/>
      <c r="D101" s="17">
        <f>'KY_Cost by Plant Acct P8 (REG)'!D101+'KY_Cost by Plant Acct P8 (REG)'!D184</f>
        <v>21838835.130000003</v>
      </c>
      <c r="E101" s="89"/>
      <c r="F101" s="17">
        <f>'KY_Cost by Plant Acct P8 (REG)'!F101</f>
        <v>-2119855.21</v>
      </c>
      <c r="G101" s="89"/>
      <c r="H101" s="17">
        <f>'KY_Cost by Plant Acct P8 (REG)'!H101+'KY_Cost by Plant Acct P8 (REG)'!H184</f>
        <v>158477.37</v>
      </c>
      <c r="I101" s="89"/>
      <c r="J101" s="17">
        <f t="shared" si="15"/>
        <v>19877457.290000003</v>
      </c>
      <c r="K101" s="89"/>
      <c r="L101" s="17">
        <f t="shared" si="16"/>
        <v>255742978.53999996</v>
      </c>
      <c r="N101" s="15">
        <f>'KY_Res by Plant Acct P16(REG)'!R430+'KY_Res by Plant Acct P16(REG)'!R431</f>
        <v>-63695835.009999976</v>
      </c>
      <c r="P101" s="15">
        <f t="shared" si="17"/>
        <v>192047143.52999997</v>
      </c>
    </row>
    <row r="102" spans="1:16" x14ac:dyDescent="0.2">
      <c r="A102" s="3" t="s">
        <v>232</v>
      </c>
      <c r="B102" s="17">
        <f>'KY_Cost by Plant Acct P8 (REG)'!B102</f>
        <v>0</v>
      </c>
      <c r="C102" s="89"/>
      <c r="D102" s="17">
        <f>'KY_Cost by Plant Acct P8 (REG)'!D102</f>
        <v>0</v>
      </c>
      <c r="E102" s="89"/>
      <c r="F102" s="17">
        <f>'KY_Cost by Plant Acct P8 (REG)'!F102</f>
        <v>0</v>
      </c>
      <c r="G102" s="89"/>
      <c r="H102" s="17">
        <f>'KY_Cost by Plant Acct P8 (REG)'!H102</f>
        <v>0</v>
      </c>
      <c r="I102" s="89"/>
      <c r="J102" s="17">
        <f t="shared" si="15"/>
        <v>0</v>
      </c>
      <c r="K102" s="89"/>
      <c r="L102" s="17">
        <f t="shared" si="16"/>
        <v>0</v>
      </c>
      <c r="N102" s="15">
        <f>'KY_Res by Plant Acct P16(REG)'!R432</f>
        <v>-1.1641532182693481E-10</v>
      </c>
      <c r="P102" s="15">
        <f t="shared" si="17"/>
        <v>-1.1641532182693481E-10</v>
      </c>
    </row>
    <row r="103" spans="1:16" x14ac:dyDescent="0.2">
      <c r="A103" s="3" t="s">
        <v>233</v>
      </c>
      <c r="B103" s="17">
        <f>'KY_Cost by Plant Acct P8 (REG)'!B103+'KY_Cost by Plant Acct P8 (REG)'!B185</f>
        <v>6568060.2699999996</v>
      </c>
      <c r="C103" s="89"/>
      <c r="D103" s="17">
        <f>'KY_Cost by Plant Acct P8 (REG)'!D103+'KY_Cost by Plant Acct P8 (REG)'!D185</f>
        <v>0</v>
      </c>
      <c r="E103" s="89"/>
      <c r="F103" s="17">
        <f>'KY_Cost by Plant Acct P8 (REG)'!F103+'KY_Cost by Plant Acct P8 (REG)'!F185</f>
        <v>-26900.38</v>
      </c>
      <c r="G103" s="89"/>
      <c r="H103" s="17">
        <f>'KY_Cost by Plant Acct P8 (REG)'!H103+'KY_Cost by Plant Acct P8 (REG)'!H185</f>
        <v>0</v>
      </c>
      <c r="I103" s="89"/>
      <c r="J103" s="17">
        <f t="shared" si="15"/>
        <v>-26900.38</v>
      </c>
      <c r="K103" s="89"/>
      <c r="L103" s="17">
        <f t="shared" si="16"/>
        <v>6541159.8899999997</v>
      </c>
      <c r="N103" s="15">
        <f>'KY_Res by Plant Acct P16(REG)'!R433</f>
        <v>-9686201.4800000004</v>
      </c>
      <c r="P103" s="15">
        <f t="shared" si="17"/>
        <v>-3145041.5900000008</v>
      </c>
    </row>
    <row r="104" spans="1:16" x14ac:dyDescent="0.2">
      <c r="A104" s="3" t="s">
        <v>234</v>
      </c>
      <c r="B104" s="17">
        <f>'KY_Cost by Plant Acct P8 (REG)'!B104+'KY_Cost by Plant Acct P8 (REG)'!B186</f>
        <v>69222217.339999989</v>
      </c>
      <c r="C104" s="89"/>
      <c r="D104" s="17">
        <f>'KY_Cost by Plant Acct P8 (REG)'!D104+'KY_Cost by Plant Acct P8 (REG)'!D186</f>
        <v>87546.33</v>
      </c>
      <c r="E104" s="89"/>
      <c r="F104" s="17">
        <f>'KY_Cost by Plant Acct P8 (REG)'!F104</f>
        <v>-32164.05</v>
      </c>
      <c r="G104" s="89"/>
      <c r="H104" s="17">
        <f>'KY_Cost by Plant Acct P8 (REG)'!H104+'KY_Cost by Plant Acct P8 (REG)'!H186</f>
        <v>0</v>
      </c>
      <c r="I104" s="89"/>
      <c r="J104" s="17">
        <f t="shared" si="15"/>
        <v>55382.28</v>
      </c>
      <c r="K104" s="89"/>
      <c r="L104" s="17">
        <f t="shared" si="16"/>
        <v>69277599.61999999</v>
      </c>
      <c r="N104" s="15">
        <f>'KY_Res by Plant Acct P16(REG)'!R436</f>
        <v>-45219354.319999993</v>
      </c>
      <c r="P104" s="15">
        <f t="shared" si="17"/>
        <v>24058245.299999997</v>
      </c>
    </row>
    <row r="105" spans="1:16" x14ac:dyDescent="0.2">
      <c r="A105" s="3" t="s">
        <v>235</v>
      </c>
      <c r="B105" s="17">
        <f>'KY_Cost by Plant Acct P8 (REG)'!B105+'KY_Cost by Plant Acct P8 (REG)'!B187</f>
        <v>217460282.55000001</v>
      </c>
      <c r="C105" s="89"/>
      <c r="D105" s="17">
        <f>'KY_Cost by Plant Acct P8 (REG)'!D105+'KY_Cost by Plant Acct P8 (REG)'!D187</f>
        <v>40095557.109999999</v>
      </c>
      <c r="E105" s="89"/>
      <c r="F105" s="17">
        <f>'KY_Cost by Plant Acct P8 (REG)'!F105</f>
        <v>-2551603.0299999998</v>
      </c>
      <c r="G105" s="89"/>
      <c r="H105" s="17">
        <f>'KY_Cost by Plant Acct P8 (REG)'!H105+'KY_Cost by Plant Acct P8 (REG)'!H187</f>
        <v>-84611.839999999997</v>
      </c>
      <c r="I105" s="89"/>
      <c r="J105" s="17">
        <f t="shared" si="15"/>
        <v>37459342.240000002</v>
      </c>
      <c r="K105" s="89"/>
      <c r="L105" s="17">
        <f t="shared" si="16"/>
        <v>254919624.79000002</v>
      </c>
      <c r="N105" s="15">
        <f>'KY_Res by Plant Acct P16(REG)'!R440</f>
        <v>-67646794.569999993</v>
      </c>
      <c r="P105" s="15">
        <f t="shared" si="17"/>
        <v>187272830.22000003</v>
      </c>
    </row>
    <row r="106" spans="1:16" x14ac:dyDescent="0.2">
      <c r="A106" s="3" t="s">
        <v>236</v>
      </c>
      <c r="B106" s="17">
        <f>'KY_Cost by Plant Acct P8 (REG)'!B106+'KY_Cost by Plant Acct P8 (REG)'!B188</f>
        <v>161638460.94</v>
      </c>
      <c r="C106" s="89"/>
      <c r="D106" s="17">
        <f>'KY_Cost by Plant Acct P8 (REG)'!D106+'KY_Cost by Plant Acct P8 (REG)'!D188</f>
        <v>7999300.7100000009</v>
      </c>
      <c r="E106" s="89"/>
      <c r="F106" s="17">
        <f>'KY_Cost by Plant Acct P8 (REG)'!F106</f>
        <v>-2088032.8</v>
      </c>
      <c r="G106" s="89"/>
      <c r="H106" s="17">
        <f>'KY_Cost by Plant Acct P8 (REG)'!H106+'KY_Cost by Plant Acct P8 (REG)'!H188</f>
        <v>0</v>
      </c>
      <c r="I106" s="89"/>
      <c r="J106" s="17">
        <f t="shared" si="15"/>
        <v>5911267.9100000011</v>
      </c>
      <c r="K106" s="89"/>
      <c r="L106" s="17">
        <f t="shared" si="16"/>
        <v>167549728.84999999</v>
      </c>
      <c r="N106" s="15">
        <f>'KY_Res by Plant Acct P16(REG)'!R441+'KY_Res by Plant Acct P16(REG)'!R444</f>
        <v>-103036917.63</v>
      </c>
      <c r="P106" s="15">
        <f t="shared" si="17"/>
        <v>64512811.219999999</v>
      </c>
    </row>
    <row r="107" spans="1:16" x14ac:dyDescent="0.2">
      <c r="A107" s="3" t="s">
        <v>237</v>
      </c>
      <c r="B107" s="17">
        <f>'KY_Cost by Plant Acct P8 (REG)'!B107</f>
        <v>448760.26</v>
      </c>
      <c r="C107" s="89"/>
      <c r="D107" s="17">
        <f>'KY_Cost by Plant Acct P8 (REG)'!D107</f>
        <v>0</v>
      </c>
      <c r="E107" s="89"/>
      <c r="F107" s="17">
        <f>'KY_Cost by Plant Acct P8 (REG)'!F107</f>
        <v>0</v>
      </c>
      <c r="G107" s="89"/>
      <c r="H107" s="17">
        <f>'KY_Cost by Plant Acct P8 (REG)'!H107</f>
        <v>0</v>
      </c>
      <c r="I107" s="89"/>
      <c r="J107" s="17">
        <f t="shared" si="15"/>
        <v>0</v>
      </c>
      <c r="K107" s="89"/>
      <c r="L107" s="17">
        <f t="shared" si="16"/>
        <v>448760.26</v>
      </c>
      <c r="N107" s="15">
        <f>'KY_Res by Plant Acct P16(REG)'!R445</f>
        <v>-239832.58999999997</v>
      </c>
      <c r="P107" s="15">
        <f t="shared" si="17"/>
        <v>208927.67000000004</v>
      </c>
    </row>
    <row r="108" spans="1:16" x14ac:dyDescent="0.2">
      <c r="A108" s="3" t="s">
        <v>238</v>
      </c>
      <c r="B108" s="17">
        <f>'KY_Cost by Plant Acct P8 (REG)'!B108</f>
        <v>1173303.32</v>
      </c>
      <c r="C108" s="89"/>
      <c r="D108" s="17">
        <f>'KY_Cost by Plant Acct P8 (REG)'!D108+'KY_Cost by Plant Acct P8 (REG)'!D189</f>
        <v>1730.09</v>
      </c>
      <c r="E108" s="17">
        <f>'KY_Cost by Plant Acct P8 (REG)'!E108+'KY_Cost by Plant Acct P8 (REG)'!E189</f>
        <v>0</v>
      </c>
      <c r="F108" s="17">
        <f>'KY_Cost by Plant Acct P8 (REG)'!F108+'KY_Cost by Plant Acct P8 (REG)'!F189</f>
        <v>-2412.09</v>
      </c>
      <c r="G108" s="17">
        <f>'KY_Cost by Plant Acct P8 (REG)'!G108+'KY_Cost by Plant Acct P8 (REG)'!G189</f>
        <v>0</v>
      </c>
      <c r="H108" s="17">
        <f>'KY_Cost by Plant Acct P8 (REG)'!H108+'KY_Cost by Plant Acct P8 (REG)'!H189</f>
        <v>-54177.15</v>
      </c>
      <c r="I108" s="89"/>
      <c r="J108" s="17">
        <f t="shared" si="15"/>
        <v>-54859.150000000009</v>
      </c>
      <c r="K108" s="89"/>
      <c r="L108" s="17">
        <f t="shared" si="16"/>
        <v>1118444.1700000002</v>
      </c>
      <c r="N108" s="15">
        <f>'KY_Res by Plant Acct P16(REG)'!R446</f>
        <v>-961757.24000000011</v>
      </c>
      <c r="P108" s="15">
        <f t="shared" si="17"/>
        <v>156686.93000000005</v>
      </c>
    </row>
    <row r="109" spans="1:16" x14ac:dyDescent="0.2">
      <c r="A109" s="3" t="s">
        <v>239</v>
      </c>
      <c r="B109" s="17">
        <f>'KY_Cost by Plant Acct P8 (REG)'!B109</f>
        <v>52117.709999999985</v>
      </c>
      <c r="C109" s="89"/>
      <c r="D109" s="17">
        <f>'KY_Cost by Plant Acct P8 (REG)'!D109</f>
        <v>0</v>
      </c>
      <c r="E109" s="89"/>
      <c r="F109" s="17">
        <f>'KY_Cost by Plant Acct P8 (REG)'!F109</f>
        <v>0</v>
      </c>
      <c r="G109" s="89"/>
      <c r="H109" s="17">
        <f>'KY_Cost by Plant Acct P8 (REG)'!H109</f>
        <v>32711.919999999998</v>
      </c>
      <c r="I109" s="89"/>
      <c r="J109" s="17">
        <f t="shared" si="15"/>
        <v>32711.919999999998</v>
      </c>
      <c r="K109" s="89"/>
      <c r="L109" s="17">
        <f t="shared" si="16"/>
        <v>84829.629999999976</v>
      </c>
      <c r="N109" s="15">
        <f>'KY_Res by Plant Acct P16(REG)'!R447</f>
        <v>-4894.1000000000004</v>
      </c>
      <c r="P109" s="15">
        <f t="shared" si="17"/>
        <v>79935.52999999997</v>
      </c>
    </row>
    <row r="110" spans="1:16" x14ac:dyDescent="0.2">
      <c r="A110" s="3" t="s">
        <v>240</v>
      </c>
      <c r="B110" s="16">
        <f>'KY_Cost by Plant Acct P8 (REG)'!B110</f>
        <v>361332.92</v>
      </c>
      <c r="C110" s="89"/>
      <c r="D110" s="16">
        <f>'KY_Cost by Plant Acct P8 (REG)'!D110</f>
        <v>0</v>
      </c>
      <c r="E110" s="89"/>
      <c r="F110" s="16">
        <f>'KY_Cost by Plant Acct P8 (REG)'!F110</f>
        <v>0</v>
      </c>
      <c r="G110" s="89"/>
      <c r="H110" s="16">
        <f>'KY_Cost by Plant Acct P8 (REG)'!H110</f>
        <v>122519.28</v>
      </c>
      <c r="I110" s="89"/>
      <c r="J110" s="16">
        <f t="shared" si="15"/>
        <v>122519.28</v>
      </c>
      <c r="K110" s="89"/>
      <c r="L110" s="16">
        <f t="shared" si="16"/>
        <v>483852.19999999995</v>
      </c>
      <c r="N110" s="90">
        <f>'KY_Res by Plant Acct P16(REG)'!R448</f>
        <v>-48810.01</v>
      </c>
      <c r="P110" s="90">
        <f t="shared" si="17"/>
        <v>435042.18999999994</v>
      </c>
    </row>
    <row r="111" spans="1:16" x14ac:dyDescent="0.2">
      <c r="B111" s="17">
        <f>SUM(B97:B110)</f>
        <v>746304320.3499999</v>
      </c>
      <c r="C111" s="89"/>
      <c r="D111" s="17">
        <f>SUM(D97:D110)</f>
        <v>73732603.520000011</v>
      </c>
      <c r="E111" s="89"/>
      <c r="F111" s="17">
        <f>SUM(F97:F110)</f>
        <v>-6994131.4899999993</v>
      </c>
      <c r="G111" s="89"/>
      <c r="H111" s="17">
        <f>SUM(H97:H110)</f>
        <v>169972.61</v>
      </c>
      <c r="I111" s="89"/>
      <c r="J111" s="17">
        <f>SUM(J97:J110)</f>
        <v>66908444.640000015</v>
      </c>
      <c r="K111" s="89"/>
      <c r="L111" s="17">
        <f>SUM(L97:L110)</f>
        <v>813212764.99000001</v>
      </c>
      <c r="N111" s="17">
        <f>SUM(N97:N110)</f>
        <v>-312071860.37999994</v>
      </c>
      <c r="P111" s="17">
        <f>SUM(P97:P110)</f>
        <v>501140904.60999995</v>
      </c>
    </row>
    <row r="112" spans="1:16" x14ac:dyDescent="0.2">
      <c r="B112" s="17"/>
      <c r="C112" s="88"/>
      <c r="D112" s="17"/>
      <c r="E112" s="88"/>
      <c r="F112" s="17"/>
      <c r="G112" s="88"/>
      <c r="H112" s="17"/>
      <c r="I112" s="88"/>
      <c r="J112" s="17"/>
      <c r="K112" s="88"/>
      <c r="L112" s="17"/>
    </row>
    <row r="113" spans="1:16" x14ac:dyDescent="0.2">
      <c r="C113" s="88"/>
      <c r="E113" s="88"/>
      <c r="G113" s="88"/>
      <c r="I113" s="88"/>
      <c r="K113" s="88"/>
    </row>
    <row r="114" spans="1:16" ht="13.5" thickBot="1" x14ac:dyDescent="0.25">
      <c r="A114" s="12" t="s">
        <v>3253</v>
      </c>
      <c r="B114" s="78">
        <f>B111+B94+B79+B65+B58+B47+B27</f>
        <v>8661240282.5799999</v>
      </c>
      <c r="C114" s="89"/>
      <c r="D114" s="78">
        <f>D111+D94+D79+D65+D58+D47+D27</f>
        <v>404833863.00999999</v>
      </c>
      <c r="E114" s="89"/>
      <c r="F114" s="78">
        <f>F111+F94+F79+F65+F58+F47+F27</f>
        <v>-59301553.299999997</v>
      </c>
      <c r="G114" s="89"/>
      <c r="H114" s="78">
        <f>H111+H94+H79+H65+H58+H47+H27</f>
        <v>-78659592.389999986</v>
      </c>
      <c r="I114" s="89"/>
      <c r="J114" s="78">
        <f>J111+J94+J79+J65+J58+J47+J27</f>
        <v>266872717.32000002</v>
      </c>
      <c r="K114" s="89"/>
      <c r="L114" s="78">
        <f>L111+L94+L79+L65+L58+L47+L27</f>
        <v>8928112999.8999977</v>
      </c>
      <c r="N114" s="78">
        <f>N111+N94+N79+N65+N58+N47+N27</f>
        <v>-3005518416.3100009</v>
      </c>
      <c r="P114" s="78">
        <f>P111+P94+P79+P65+P58+P47+P27</f>
        <v>5922594583.5899992</v>
      </c>
    </row>
    <row r="115" spans="1:16" ht="13.5" thickTop="1" x14ac:dyDescent="0.2">
      <c r="A115" s="12"/>
      <c r="B115" s="17"/>
      <c r="C115" s="89"/>
      <c r="D115" s="17"/>
      <c r="E115" s="89"/>
      <c r="F115" s="17"/>
      <c r="G115" s="89"/>
      <c r="H115" s="17"/>
      <c r="I115" s="89"/>
      <c r="J115" s="17"/>
      <c r="K115" s="89"/>
      <c r="L115" s="17"/>
    </row>
    <row r="116" spans="1:16" x14ac:dyDescent="0.2">
      <c r="C116" s="88"/>
      <c r="E116" s="88"/>
      <c r="G116" s="88"/>
      <c r="I116" s="88"/>
      <c r="K116" s="88"/>
    </row>
    <row r="117" spans="1:16" x14ac:dyDescent="0.2">
      <c r="C117" s="88"/>
      <c r="E117" s="88"/>
      <c r="G117" s="88"/>
      <c r="I117" s="88"/>
      <c r="K117" s="88"/>
    </row>
    <row r="118" spans="1:16" x14ac:dyDescent="0.2">
      <c r="C118" s="88"/>
      <c r="E118" s="88"/>
      <c r="G118" s="88"/>
      <c r="I118" s="88"/>
      <c r="K118" s="88"/>
    </row>
    <row r="119" spans="1:16" x14ac:dyDescent="0.2">
      <c r="C119" s="88"/>
      <c r="E119" s="88"/>
      <c r="G119" s="88"/>
      <c r="I119" s="88"/>
      <c r="K119" s="88"/>
    </row>
    <row r="120" spans="1:16" x14ac:dyDescent="0.2">
      <c r="C120" s="88"/>
      <c r="E120" s="88"/>
      <c r="G120" s="88"/>
      <c r="I120" s="88"/>
      <c r="K120" s="88"/>
    </row>
    <row r="121" spans="1:16" x14ac:dyDescent="0.2">
      <c r="C121" s="88"/>
      <c r="E121" s="88"/>
      <c r="G121" s="88"/>
      <c r="I121" s="88"/>
      <c r="K121" s="88"/>
    </row>
    <row r="122" spans="1:16" x14ac:dyDescent="0.2">
      <c r="C122" s="88"/>
      <c r="E122" s="88"/>
      <c r="G122" s="88"/>
      <c r="I122" s="88"/>
      <c r="K122" s="88"/>
    </row>
    <row r="123" spans="1:16" x14ac:dyDescent="0.2">
      <c r="C123" s="88"/>
      <c r="E123" s="88"/>
      <c r="G123" s="88"/>
      <c r="I123" s="88"/>
      <c r="K123" s="88"/>
    </row>
    <row r="124" spans="1:16" x14ac:dyDescent="0.2">
      <c r="C124" s="88"/>
      <c r="E124" s="88"/>
      <c r="G124" s="88"/>
      <c r="I124" s="88"/>
      <c r="K124" s="88"/>
    </row>
    <row r="125" spans="1:16" x14ac:dyDescent="0.2">
      <c r="C125" s="88"/>
      <c r="E125" s="88"/>
      <c r="G125" s="88"/>
      <c r="I125" s="88"/>
      <c r="K125" s="88"/>
    </row>
    <row r="126" spans="1:16" x14ac:dyDescent="0.2">
      <c r="C126" s="13"/>
      <c r="E126" s="13"/>
      <c r="G126" s="13"/>
      <c r="I126" s="13"/>
      <c r="K126" s="13"/>
    </row>
    <row r="127" spans="1:16" x14ac:dyDescent="0.2">
      <c r="C127" s="13"/>
      <c r="E127" s="13"/>
      <c r="G127" s="13"/>
      <c r="I127" s="13"/>
      <c r="K127" s="13"/>
    </row>
    <row r="128" spans="1:16" x14ac:dyDescent="0.2">
      <c r="C128" s="13"/>
      <c r="E128" s="13"/>
      <c r="G128" s="13"/>
      <c r="I128" s="13"/>
      <c r="K128" s="13"/>
    </row>
    <row r="129" spans="3:11" x14ac:dyDescent="0.2">
      <c r="C129" s="13"/>
      <c r="E129" s="13"/>
      <c r="G129" s="13"/>
      <c r="I129" s="13"/>
      <c r="K129" s="13"/>
    </row>
    <row r="130" spans="3:11" x14ac:dyDescent="0.2">
      <c r="C130" s="13"/>
      <c r="E130" s="13"/>
      <c r="G130" s="13"/>
      <c r="I130" s="13"/>
      <c r="K130" s="13"/>
    </row>
    <row r="131" spans="3:11" x14ac:dyDescent="0.2">
      <c r="C131" s="13"/>
      <c r="E131" s="13"/>
      <c r="G131" s="13"/>
      <c r="I131" s="13"/>
      <c r="K131" s="13"/>
    </row>
    <row r="132" spans="3:11" x14ac:dyDescent="0.2">
      <c r="C132" s="13"/>
      <c r="E132" s="13"/>
      <c r="G132" s="13"/>
      <c r="I132" s="13"/>
      <c r="K132" s="13"/>
    </row>
    <row r="133" spans="3:11" x14ac:dyDescent="0.2">
      <c r="C133" s="13"/>
      <c r="E133" s="13"/>
      <c r="G133" s="13"/>
      <c r="I133" s="13"/>
      <c r="K133" s="13"/>
    </row>
    <row r="134" spans="3:11" x14ac:dyDescent="0.2">
      <c r="C134" s="13"/>
      <c r="E134" s="13"/>
      <c r="G134" s="13"/>
      <c r="I134" s="13"/>
      <c r="K134" s="13"/>
    </row>
    <row r="135" spans="3:11" x14ac:dyDescent="0.2">
      <c r="C135" s="13"/>
      <c r="E135" s="13"/>
      <c r="G135" s="13"/>
      <c r="I135" s="13"/>
      <c r="K135" s="13"/>
    </row>
    <row r="136" spans="3:11" x14ac:dyDescent="0.2">
      <c r="C136" s="13"/>
      <c r="E136" s="13"/>
      <c r="G136" s="13"/>
      <c r="I136" s="13"/>
      <c r="K136" s="13"/>
    </row>
    <row r="137" spans="3:11" x14ac:dyDescent="0.2">
      <c r="C137" s="13"/>
      <c r="E137" s="13"/>
      <c r="G137" s="13"/>
      <c r="I137" s="13"/>
      <c r="K137" s="13"/>
    </row>
    <row r="138" spans="3:11" x14ac:dyDescent="0.2">
      <c r="C138" s="13"/>
      <c r="E138" s="13"/>
      <c r="G138" s="13"/>
      <c r="I138" s="13"/>
      <c r="K138" s="13"/>
    </row>
    <row r="139" spans="3:11" x14ac:dyDescent="0.2">
      <c r="C139" s="13"/>
      <c r="E139" s="13"/>
      <c r="G139" s="13"/>
      <c r="I139" s="13"/>
      <c r="K139" s="13"/>
    </row>
    <row r="140" spans="3:11" x14ac:dyDescent="0.2">
      <c r="C140" s="13"/>
      <c r="E140" s="13"/>
      <c r="G140" s="13"/>
      <c r="I140" s="13"/>
      <c r="K140" s="13"/>
    </row>
    <row r="141" spans="3:11" x14ac:dyDescent="0.2">
      <c r="C141" s="13"/>
      <c r="E141" s="13"/>
      <c r="G141" s="13"/>
      <c r="I141" s="13"/>
      <c r="K141" s="13"/>
    </row>
    <row r="142" spans="3:11" x14ac:dyDescent="0.2">
      <c r="C142" s="13"/>
      <c r="E142" s="13"/>
      <c r="G142" s="13"/>
      <c r="I142" s="13"/>
      <c r="K142" s="13"/>
    </row>
    <row r="143" spans="3:11" x14ac:dyDescent="0.2">
      <c r="C143" s="13"/>
      <c r="E143" s="13"/>
      <c r="G143" s="13"/>
      <c r="I143" s="13"/>
      <c r="K143" s="13"/>
    </row>
    <row r="144" spans="3:11" x14ac:dyDescent="0.2">
      <c r="C144" s="13"/>
      <c r="E144" s="13"/>
      <c r="G144" s="13"/>
      <c r="I144" s="13"/>
      <c r="K144" s="13"/>
    </row>
    <row r="145" spans="3:11" x14ac:dyDescent="0.2">
      <c r="C145" s="13"/>
      <c r="E145" s="13"/>
      <c r="G145" s="13"/>
      <c r="I145" s="13"/>
      <c r="K145" s="13"/>
    </row>
    <row r="146" spans="3:11" x14ac:dyDescent="0.2">
      <c r="C146" s="13"/>
      <c r="E146" s="13"/>
      <c r="G146" s="13"/>
      <c r="I146" s="13"/>
      <c r="K146" s="13"/>
    </row>
    <row r="147" spans="3:11" x14ac:dyDescent="0.2">
      <c r="C147" s="13"/>
      <c r="E147" s="13"/>
      <c r="G147" s="13"/>
      <c r="I147" s="13"/>
      <c r="K147" s="13"/>
    </row>
    <row r="148" spans="3:11" x14ac:dyDescent="0.2">
      <c r="C148" s="13"/>
      <c r="E148" s="13"/>
      <c r="G148" s="13"/>
      <c r="I148" s="13"/>
      <c r="K148" s="13"/>
    </row>
    <row r="149" spans="3:11" x14ac:dyDescent="0.2">
      <c r="C149" s="13"/>
      <c r="E149" s="13"/>
      <c r="G149" s="13"/>
      <c r="I149" s="13"/>
      <c r="K149" s="13"/>
    </row>
    <row r="150" spans="3:11" x14ac:dyDescent="0.2">
      <c r="C150" s="13"/>
      <c r="E150" s="13"/>
      <c r="G150" s="13"/>
      <c r="I150" s="13"/>
      <c r="K150" s="13"/>
    </row>
    <row r="151" spans="3:11" x14ac:dyDescent="0.2">
      <c r="C151" s="13"/>
      <c r="E151" s="13"/>
      <c r="G151" s="13"/>
      <c r="I151" s="13"/>
      <c r="K151" s="13"/>
    </row>
    <row r="152" spans="3:11" x14ac:dyDescent="0.2">
      <c r="C152" s="13"/>
      <c r="E152" s="13"/>
      <c r="G152" s="13"/>
      <c r="I152" s="13"/>
      <c r="K152" s="13"/>
    </row>
    <row r="153" spans="3:11" x14ac:dyDescent="0.2">
      <c r="C153" s="13"/>
      <c r="E153" s="13"/>
      <c r="G153" s="13"/>
      <c r="I153" s="13"/>
      <c r="K153" s="13"/>
    </row>
    <row r="154" spans="3:11" x14ac:dyDescent="0.2">
      <c r="C154" s="13"/>
      <c r="E154" s="13"/>
      <c r="G154" s="13"/>
      <c r="I154" s="13"/>
      <c r="K154" s="13"/>
    </row>
    <row r="155" spans="3:11" x14ac:dyDescent="0.2">
      <c r="C155" s="13"/>
      <c r="E155" s="13"/>
      <c r="G155" s="13"/>
      <c r="I155" s="13"/>
      <c r="K155" s="13"/>
    </row>
    <row r="156" spans="3:11" x14ac:dyDescent="0.2">
      <c r="C156" s="13"/>
      <c r="E156" s="13"/>
      <c r="G156" s="13"/>
      <c r="I156" s="13"/>
      <c r="K156" s="13"/>
    </row>
    <row r="157" spans="3:11" x14ac:dyDescent="0.2">
      <c r="C157" s="13"/>
      <c r="E157" s="13"/>
      <c r="G157" s="13"/>
      <c r="I157" s="13"/>
      <c r="K157" s="13"/>
    </row>
    <row r="158" spans="3:11" x14ac:dyDescent="0.2">
      <c r="C158" s="13"/>
      <c r="E158" s="13"/>
      <c r="G158" s="13"/>
      <c r="I158" s="13"/>
      <c r="K158" s="13"/>
    </row>
    <row r="159" spans="3:11" x14ac:dyDescent="0.2">
      <c r="C159" s="13"/>
      <c r="E159" s="13"/>
      <c r="G159" s="13"/>
      <c r="I159" s="13"/>
      <c r="K159" s="13"/>
    </row>
    <row r="160" spans="3:11" x14ac:dyDescent="0.2">
      <c r="C160" s="13"/>
      <c r="E160" s="13"/>
      <c r="G160" s="13"/>
      <c r="I160" s="13"/>
      <c r="K160" s="13"/>
    </row>
    <row r="161" spans="3:11" x14ac:dyDescent="0.2">
      <c r="C161" s="13"/>
      <c r="E161" s="13"/>
      <c r="G161" s="13"/>
      <c r="I161" s="13"/>
      <c r="K161" s="13"/>
    </row>
    <row r="162" spans="3:11" x14ac:dyDescent="0.2">
      <c r="C162" s="13"/>
      <c r="E162" s="13"/>
      <c r="G162" s="13"/>
      <c r="I162" s="13"/>
      <c r="K162" s="13"/>
    </row>
    <row r="163" spans="3:11" x14ac:dyDescent="0.2">
      <c r="C163" s="13"/>
      <c r="E163" s="13"/>
      <c r="G163" s="13"/>
      <c r="I163" s="13"/>
      <c r="K163" s="13"/>
    </row>
    <row r="164" spans="3:11" x14ac:dyDescent="0.2">
      <c r="C164" s="13"/>
      <c r="E164" s="13"/>
      <c r="G164" s="13"/>
      <c r="I164" s="13"/>
      <c r="K164" s="13"/>
    </row>
    <row r="165" spans="3:11" x14ac:dyDescent="0.2">
      <c r="C165" s="13"/>
      <c r="E165" s="13"/>
      <c r="G165" s="13"/>
      <c r="I165" s="13"/>
      <c r="K165" s="13"/>
    </row>
    <row r="166" spans="3:11" x14ac:dyDescent="0.2">
      <c r="C166" s="13"/>
      <c r="E166" s="13"/>
      <c r="G166" s="13"/>
      <c r="I166" s="13"/>
      <c r="K166" s="13"/>
    </row>
    <row r="167" spans="3:11" x14ac:dyDescent="0.2">
      <c r="C167" s="13"/>
      <c r="E167" s="13"/>
      <c r="G167" s="13"/>
      <c r="I167" s="13"/>
      <c r="K167" s="13"/>
    </row>
    <row r="168" spans="3:11" x14ac:dyDescent="0.2">
      <c r="C168" s="13"/>
      <c r="E168" s="13"/>
      <c r="G168" s="13"/>
      <c r="I168" s="13"/>
      <c r="K168" s="13"/>
    </row>
    <row r="169" spans="3:11" x14ac:dyDescent="0.2">
      <c r="C169" s="13"/>
      <c r="E169" s="13"/>
      <c r="G169" s="13"/>
      <c r="I169" s="13"/>
      <c r="K169" s="13"/>
    </row>
    <row r="170" spans="3:11" x14ac:dyDescent="0.2">
      <c r="C170" s="13"/>
      <c r="E170" s="13"/>
      <c r="G170" s="13"/>
      <c r="I170" s="13"/>
      <c r="K170" s="13"/>
    </row>
    <row r="171" spans="3:11" x14ac:dyDescent="0.2">
      <c r="C171" s="13"/>
      <c r="E171" s="13"/>
      <c r="G171" s="13"/>
      <c r="I171" s="13"/>
      <c r="K171" s="13"/>
    </row>
    <row r="172" spans="3:11" x14ac:dyDescent="0.2">
      <c r="C172" s="13"/>
      <c r="E172" s="13"/>
      <c r="G172" s="13"/>
      <c r="I172" s="13"/>
      <c r="K172" s="13"/>
    </row>
    <row r="173" spans="3:11" x14ac:dyDescent="0.2">
      <c r="C173" s="13"/>
      <c r="E173" s="13"/>
      <c r="G173" s="13"/>
      <c r="I173" s="13"/>
      <c r="K173" s="13"/>
    </row>
    <row r="174" spans="3:11" x14ac:dyDescent="0.2">
      <c r="C174" s="13"/>
      <c r="E174" s="13"/>
      <c r="G174" s="13"/>
      <c r="I174" s="13"/>
      <c r="K174" s="13"/>
    </row>
    <row r="175" spans="3:11" x14ac:dyDescent="0.2">
      <c r="C175" s="13"/>
      <c r="E175" s="13"/>
      <c r="G175" s="13"/>
      <c r="I175" s="13"/>
      <c r="K175" s="13"/>
    </row>
    <row r="176" spans="3:11" x14ac:dyDescent="0.2">
      <c r="C176" s="13"/>
      <c r="E176" s="13"/>
      <c r="G176" s="13"/>
      <c r="I176" s="13"/>
      <c r="K176" s="13"/>
    </row>
    <row r="177" spans="3:11" x14ac:dyDescent="0.2">
      <c r="C177" s="13"/>
      <c r="E177" s="13"/>
      <c r="G177" s="13"/>
      <c r="I177" s="13"/>
      <c r="K177" s="13"/>
    </row>
    <row r="178" spans="3:11" x14ac:dyDescent="0.2">
      <c r="C178" s="13"/>
      <c r="E178" s="13"/>
      <c r="G178" s="13"/>
      <c r="I178" s="13"/>
      <c r="K178" s="13"/>
    </row>
    <row r="179" spans="3:11" x14ac:dyDescent="0.2">
      <c r="C179" s="13"/>
      <c r="E179" s="13"/>
      <c r="G179" s="13"/>
      <c r="I179" s="13"/>
      <c r="K179" s="13"/>
    </row>
    <row r="180" spans="3:11" x14ac:dyDescent="0.2">
      <c r="C180" s="13"/>
      <c r="E180" s="13"/>
      <c r="G180" s="13"/>
      <c r="I180" s="13"/>
      <c r="K180" s="13"/>
    </row>
    <row r="181" spans="3:11" x14ac:dyDescent="0.2">
      <c r="C181" s="13"/>
      <c r="E181" s="13"/>
      <c r="G181" s="13"/>
      <c r="I181" s="13"/>
      <c r="K181" s="13"/>
    </row>
    <row r="182" spans="3:11" x14ac:dyDescent="0.2">
      <c r="C182" s="13"/>
      <c r="E182" s="13"/>
      <c r="G182" s="13"/>
      <c r="I182" s="13"/>
      <c r="K182" s="13"/>
    </row>
    <row r="183" spans="3:11" x14ac:dyDescent="0.2">
      <c r="C183" s="13"/>
      <c r="E183" s="13"/>
      <c r="G183" s="13"/>
      <c r="I183" s="13"/>
      <c r="K183" s="13"/>
    </row>
    <row r="184" spans="3:11" x14ac:dyDescent="0.2">
      <c r="C184" s="13"/>
      <c r="E184" s="13"/>
      <c r="G184" s="13"/>
      <c r="I184" s="13"/>
      <c r="K184" s="13"/>
    </row>
    <row r="185" spans="3:11" x14ac:dyDescent="0.2">
      <c r="C185" s="13"/>
      <c r="E185" s="13"/>
      <c r="G185" s="13"/>
      <c r="I185" s="13"/>
      <c r="K185" s="13"/>
    </row>
    <row r="186" spans="3:11" x14ac:dyDescent="0.2">
      <c r="C186" s="13"/>
      <c r="E186" s="13"/>
      <c r="G186" s="13"/>
      <c r="I186" s="13"/>
      <c r="K186" s="13"/>
    </row>
    <row r="187" spans="3:11" x14ac:dyDescent="0.2">
      <c r="C187" s="13"/>
      <c r="E187" s="13"/>
      <c r="G187" s="13"/>
      <c r="I187" s="13"/>
      <c r="K187" s="13"/>
    </row>
    <row r="188" spans="3:11" x14ac:dyDescent="0.2">
      <c r="C188" s="13"/>
      <c r="E188" s="13"/>
      <c r="G188" s="13"/>
      <c r="I188" s="13"/>
      <c r="K188" s="13"/>
    </row>
    <row r="189" spans="3:11" x14ac:dyDescent="0.2">
      <c r="C189" s="13"/>
      <c r="E189" s="13"/>
      <c r="G189" s="13"/>
      <c r="I189" s="13"/>
      <c r="K189" s="13"/>
    </row>
    <row r="190" spans="3:11" x14ac:dyDescent="0.2">
      <c r="C190" s="13"/>
      <c r="E190" s="13"/>
      <c r="G190" s="13"/>
      <c r="I190" s="13"/>
      <c r="K190" s="13"/>
    </row>
    <row r="191" spans="3:11" x14ac:dyDescent="0.2">
      <c r="C191" s="13"/>
      <c r="E191" s="13"/>
      <c r="G191" s="13"/>
      <c r="I191" s="13"/>
      <c r="K191" s="13"/>
    </row>
  </sheetData>
  <mergeCells count="3">
    <mergeCell ref="A1:P1"/>
    <mergeCell ref="A2:P2"/>
    <mergeCell ref="A3:P3"/>
  </mergeCells>
  <printOptions horizontalCentered="1"/>
  <pageMargins left="0.75" right="0.75" top="1" bottom="1" header="0.5" footer="0.5"/>
  <pageSetup scale="67" fitToHeight="0" orientation="landscape" r:id="rId1"/>
  <headerFooter alignWithMargins="0">
    <oddFooter>&amp;R&amp;"Times New Roman,Bold"&amp;12Case No. 2018-00295
Attachment 6 to Response to US DOD-2 Question No. 7   
Page &amp;P of &amp;N
Garrett</oddFooter>
  </headerFooter>
  <rowBreaks count="2" manualBreakCount="2">
    <brk id="48" max="16383" man="1"/>
    <brk id="80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O272"/>
  <sheetViews>
    <sheetView workbookViewId="0">
      <pane xSplit="1" ySplit="10" topLeftCell="B62" activePane="bottomRight" state="frozen"/>
      <selection sqref="A1:R1"/>
      <selection pane="topRight" sqref="A1:R1"/>
      <selection pane="bottomLeft" sqref="A1:R1"/>
      <selection pane="bottomRight" sqref="A1:R1"/>
    </sheetView>
  </sheetViews>
  <sheetFormatPr defaultRowHeight="12.75" x14ac:dyDescent="0.2"/>
  <cols>
    <col min="1" max="1" width="51.42578125" style="3" bestFit="1" customWidth="1"/>
    <col min="2" max="2" width="17.7109375" style="19" customWidth="1"/>
    <col min="3" max="3" width="1.7109375" style="3" customWidth="1"/>
    <col min="4" max="4" width="17.7109375" style="19" customWidth="1"/>
    <col min="5" max="5" width="1.7109375" style="3" customWidth="1"/>
    <col min="6" max="6" width="17.7109375" style="19" customWidth="1"/>
    <col min="7" max="7" width="1.7109375" style="3" customWidth="1"/>
    <col min="8" max="8" width="17.7109375" style="19" customWidth="1"/>
    <col min="9" max="9" width="1.7109375" style="3" customWidth="1"/>
    <col min="10" max="10" width="17.7109375" style="19" customWidth="1"/>
    <col min="11" max="11" width="1.7109375" style="3" customWidth="1"/>
    <col min="12" max="12" width="17.7109375" style="19" customWidth="1"/>
    <col min="13" max="13" width="11" style="3" bestFit="1" customWidth="1"/>
    <col min="14" max="14" width="14" style="3" bestFit="1" customWidth="1"/>
    <col min="15" max="15" width="11.140625" style="3" bestFit="1" customWidth="1"/>
    <col min="16" max="16384" width="9.140625" style="3"/>
  </cols>
  <sheetData>
    <row r="1" spans="1:15" s="86" customFormat="1" ht="15.75" x14ac:dyDescent="0.25">
      <c r="A1" s="154" t="s">
        <v>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</row>
    <row r="2" spans="1:15" s="86" customFormat="1" ht="15.75" x14ac:dyDescent="0.25">
      <c r="A2" s="154" t="s">
        <v>3254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</row>
    <row r="3" spans="1:15" x14ac:dyDescent="0.2">
      <c r="A3" s="144" t="str">
        <f>'KU_Summary - Cost - P1 (REG)'!A3:N3</f>
        <v>DECEMBER 2016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</row>
    <row r="4" spans="1:15" x14ac:dyDescent="0.2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</row>
    <row r="5" spans="1:15" x14ac:dyDescent="0.2">
      <c r="A5" s="87"/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</row>
    <row r="6" spans="1:15" x14ac:dyDescent="0.2">
      <c r="B6" s="25" t="s">
        <v>2</v>
      </c>
      <c r="H6" s="25" t="s">
        <v>3</v>
      </c>
      <c r="L6" s="25" t="s">
        <v>4</v>
      </c>
    </row>
    <row r="7" spans="1:15" x14ac:dyDescent="0.2">
      <c r="B7" s="10" t="s">
        <v>5</v>
      </c>
      <c r="D7" s="10" t="s">
        <v>6</v>
      </c>
      <c r="F7" s="10" t="s">
        <v>7</v>
      </c>
      <c r="H7" s="10" t="s">
        <v>8</v>
      </c>
      <c r="J7" s="10" t="s">
        <v>3255</v>
      </c>
      <c r="L7" s="10" t="s">
        <v>5</v>
      </c>
    </row>
    <row r="8" spans="1:15" x14ac:dyDescent="0.2">
      <c r="B8" s="11"/>
      <c r="D8" s="11"/>
      <c r="F8" s="11"/>
      <c r="H8" s="11"/>
      <c r="J8" s="11"/>
      <c r="L8" s="11"/>
    </row>
    <row r="9" spans="1:15" x14ac:dyDescent="0.2">
      <c r="A9" s="12" t="s">
        <v>3256</v>
      </c>
    </row>
    <row r="10" spans="1:15" x14ac:dyDescent="0.2">
      <c r="A10" s="12" t="s">
        <v>12</v>
      </c>
    </row>
    <row r="11" spans="1:15" x14ac:dyDescent="0.2">
      <c r="A11" s="43" t="s">
        <v>3257</v>
      </c>
      <c r="B11" s="19">
        <v>2075300.07</v>
      </c>
      <c r="C11" s="104"/>
      <c r="D11" s="19">
        <v>0</v>
      </c>
      <c r="E11" s="104"/>
      <c r="F11" s="19">
        <v>0</v>
      </c>
      <c r="G11" s="104"/>
      <c r="H11" s="19">
        <v>0</v>
      </c>
      <c r="I11" s="104"/>
      <c r="J11" s="19">
        <f>H11+F11+D11</f>
        <v>0</v>
      </c>
      <c r="K11" s="104"/>
      <c r="L11" s="19">
        <f>J11+B11</f>
        <v>2075300.07</v>
      </c>
      <c r="O11" s="19"/>
    </row>
    <row r="12" spans="1:15" x14ac:dyDescent="0.2">
      <c r="A12" s="43" t="s">
        <v>3258</v>
      </c>
      <c r="B12" s="19">
        <v>5569266.5200000005</v>
      </c>
      <c r="C12" s="104"/>
      <c r="D12" s="19">
        <v>0</v>
      </c>
      <c r="E12" s="104"/>
      <c r="F12" s="19">
        <v>0</v>
      </c>
      <c r="G12" s="104"/>
      <c r="H12" s="19">
        <v>-113882.25</v>
      </c>
      <c r="I12" s="104"/>
      <c r="J12" s="19">
        <f>H12+F12+D12</f>
        <v>-113882.25</v>
      </c>
      <c r="K12" s="104"/>
      <c r="L12" s="19">
        <f t="shared" ref="L12:L26" si="0">J12+B12</f>
        <v>5455384.2700000005</v>
      </c>
    </row>
    <row r="13" spans="1:15" x14ac:dyDescent="0.2">
      <c r="A13" s="43" t="s">
        <v>3259</v>
      </c>
      <c r="B13" s="19">
        <v>10060845.16</v>
      </c>
      <c r="C13" s="104"/>
      <c r="D13" s="19">
        <v>353474.62</v>
      </c>
      <c r="E13" s="104"/>
      <c r="F13" s="19">
        <v>-11232.24</v>
      </c>
      <c r="G13" s="104"/>
      <c r="H13" s="19">
        <v>4946.97</v>
      </c>
      <c r="I13" s="104"/>
      <c r="J13" s="19">
        <f>H13+F13+D13</f>
        <v>347189.35</v>
      </c>
      <c r="K13" s="104"/>
      <c r="L13" s="19">
        <f t="shared" si="0"/>
        <v>10408034.51</v>
      </c>
    </row>
    <row r="14" spans="1:15" x14ac:dyDescent="0.2">
      <c r="A14" s="43" t="s">
        <v>3260</v>
      </c>
      <c r="B14" s="19">
        <v>162595821.58000001</v>
      </c>
      <c r="C14" s="104"/>
      <c r="D14" s="19">
        <v>5586332.6500000004</v>
      </c>
      <c r="E14" s="104"/>
      <c r="F14" s="19">
        <v>-869796.52</v>
      </c>
      <c r="G14" s="104"/>
      <c r="H14" s="19">
        <v>18563.830000000002</v>
      </c>
      <c r="I14" s="104"/>
      <c r="J14" s="19">
        <f>H14+F14+D14</f>
        <v>4735099.96</v>
      </c>
      <c r="K14" s="104"/>
      <c r="L14" s="19">
        <f t="shared" si="0"/>
        <v>167330921.54000002</v>
      </c>
    </row>
    <row r="15" spans="1:15" x14ac:dyDescent="0.2">
      <c r="A15" s="43" t="s">
        <v>3261</v>
      </c>
      <c r="B15" s="19">
        <v>320927554.75999999</v>
      </c>
      <c r="C15" s="104"/>
      <c r="D15" s="19">
        <v>16414360.27</v>
      </c>
      <c r="E15" s="104"/>
      <c r="F15" s="19">
        <v>-1561623.99</v>
      </c>
      <c r="G15" s="104"/>
      <c r="H15" s="19">
        <v>0</v>
      </c>
      <c r="I15" s="104"/>
      <c r="J15" s="19">
        <f>H15+F15+D15</f>
        <v>14852736.279999999</v>
      </c>
      <c r="K15" s="104"/>
      <c r="L15" s="19">
        <f t="shared" si="0"/>
        <v>335780291.03999996</v>
      </c>
    </row>
    <row r="16" spans="1:15" x14ac:dyDescent="0.2">
      <c r="A16" s="43" t="s">
        <v>3262</v>
      </c>
      <c r="B16" s="19">
        <v>305496794.12</v>
      </c>
      <c r="C16" s="104"/>
      <c r="D16" s="19">
        <v>20081326.239999998</v>
      </c>
      <c r="E16" s="104"/>
      <c r="F16" s="19">
        <v>-9397625.2699999996</v>
      </c>
      <c r="G16" s="104"/>
      <c r="H16" s="19">
        <v>21928.15</v>
      </c>
      <c r="I16" s="104"/>
      <c r="J16" s="19">
        <f t="shared" ref="J16:J26" si="1">H16+F16+D16</f>
        <v>10705629.119999999</v>
      </c>
      <c r="K16" s="104"/>
      <c r="L16" s="19">
        <f t="shared" si="0"/>
        <v>316202423.24000001</v>
      </c>
    </row>
    <row r="17" spans="1:14" x14ac:dyDescent="0.2">
      <c r="A17" s="43" t="s">
        <v>3263</v>
      </c>
      <c r="B17" s="19">
        <v>1879519.1699999997</v>
      </c>
      <c r="C17" s="104"/>
      <c r="D17" s="19">
        <v>312042.18</v>
      </c>
      <c r="E17" s="104"/>
      <c r="F17" s="19">
        <v>-2186.06</v>
      </c>
      <c r="G17" s="104"/>
      <c r="H17" s="19">
        <v>0</v>
      </c>
      <c r="I17" s="104"/>
      <c r="J17" s="19">
        <f t="shared" si="1"/>
        <v>309856.12</v>
      </c>
      <c r="K17" s="104"/>
      <c r="L17" s="19">
        <f t="shared" si="0"/>
        <v>2189375.2899999996</v>
      </c>
    </row>
    <row r="18" spans="1:14" x14ac:dyDescent="0.2">
      <c r="A18" s="43" t="s">
        <v>3264</v>
      </c>
      <c r="B18" s="19">
        <v>171363991.14000002</v>
      </c>
      <c r="C18" s="104"/>
      <c r="D18" s="19">
        <v>5806787.2000000002</v>
      </c>
      <c r="E18" s="104"/>
      <c r="F18" s="19">
        <v>-916012.62</v>
      </c>
      <c r="G18" s="104"/>
      <c r="H18" s="19">
        <v>0</v>
      </c>
      <c r="I18" s="104"/>
      <c r="J18" s="19">
        <f t="shared" si="1"/>
        <v>4890774.58</v>
      </c>
      <c r="K18" s="104"/>
      <c r="L18" s="19">
        <f t="shared" si="0"/>
        <v>176254765.72000003</v>
      </c>
    </row>
    <row r="19" spans="1:14" x14ac:dyDescent="0.2">
      <c r="A19" s="43" t="s">
        <v>3265</v>
      </c>
      <c r="B19" s="19">
        <v>293556176.48000002</v>
      </c>
      <c r="C19" s="104"/>
      <c r="D19" s="19">
        <v>5801856.1900000004</v>
      </c>
      <c r="E19" s="104"/>
      <c r="F19" s="19">
        <v>-835598.27</v>
      </c>
      <c r="G19" s="104"/>
      <c r="H19" s="19">
        <v>0</v>
      </c>
      <c r="I19" s="104"/>
      <c r="J19" s="19">
        <f t="shared" si="1"/>
        <v>4966257.92</v>
      </c>
      <c r="K19" s="104"/>
      <c r="L19" s="19">
        <f t="shared" si="0"/>
        <v>298522434.40000004</v>
      </c>
    </row>
    <row r="20" spans="1:14" x14ac:dyDescent="0.2">
      <c r="A20" s="43" t="s">
        <v>3266</v>
      </c>
      <c r="B20" s="19">
        <v>89459666.669999987</v>
      </c>
      <c r="C20" s="104"/>
      <c r="D20" s="19">
        <v>8566789.4800000004</v>
      </c>
      <c r="E20" s="104"/>
      <c r="F20" s="19">
        <v>-245526.64</v>
      </c>
      <c r="G20" s="104"/>
      <c r="H20" s="19">
        <v>0</v>
      </c>
      <c r="I20" s="104"/>
      <c r="J20" s="19">
        <f t="shared" si="1"/>
        <v>8321262.8400000008</v>
      </c>
      <c r="K20" s="104"/>
      <c r="L20" s="19">
        <f t="shared" si="0"/>
        <v>97780929.50999999</v>
      </c>
    </row>
    <row r="21" spans="1:14" x14ac:dyDescent="0.2">
      <c r="A21" s="43" t="s">
        <v>3267</v>
      </c>
      <c r="B21" s="19">
        <v>72198913.950000003</v>
      </c>
      <c r="C21" s="104"/>
      <c r="D21" s="19">
        <v>2322976.6</v>
      </c>
      <c r="E21" s="104"/>
      <c r="F21" s="19">
        <v>-806455.03</v>
      </c>
      <c r="G21" s="104"/>
      <c r="H21" s="19">
        <v>0</v>
      </c>
      <c r="I21" s="104"/>
      <c r="J21" s="19">
        <f t="shared" si="1"/>
        <v>1516521.57</v>
      </c>
      <c r="K21" s="104"/>
      <c r="L21" s="19">
        <f t="shared" si="0"/>
        <v>73715435.519999996</v>
      </c>
      <c r="N21" s="15"/>
    </row>
    <row r="22" spans="1:14" x14ac:dyDescent="0.2">
      <c r="A22" s="43" t="s">
        <v>3268</v>
      </c>
      <c r="B22" s="19">
        <v>0</v>
      </c>
      <c r="C22" s="104"/>
      <c r="D22" s="19">
        <v>952365.7</v>
      </c>
      <c r="E22" s="104"/>
      <c r="F22" s="19">
        <v>0</v>
      </c>
      <c r="G22" s="104"/>
      <c r="H22" s="19">
        <v>0</v>
      </c>
      <c r="I22" s="104"/>
      <c r="J22" s="19">
        <f t="shared" si="1"/>
        <v>952365.7</v>
      </c>
      <c r="K22" s="104"/>
      <c r="L22" s="19">
        <f t="shared" si="0"/>
        <v>952365.7</v>
      </c>
      <c r="N22" s="15"/>
    </row>
    <row r="23" spans="1:14" x14ac:dyDescent="0.2">
      <c r="A23" s="43" t="s">
        <v>3269</v>
      </c>
      <c r="B23" s="19">
        <v>16198922.85</v>
      </c>
      <c r="C23" s="104"/>
      <c r="D23" s="19">
        <v>0</v>
      </c>
      <c r="E23" s="104"/>
      <c r="F23" s="19">
        <v>3735.54</v>
      </c>
      <c r="G23" s="104"/>
      <c r="H23" s="19">
        <v>-16202658.390000001</v>
      </c>
      <c r="I23" s="104"/>
      <c r="J23" s="19">
        <f t="shared" si="1"/>
        <v>-16198922.850000001</v>
      </c>
      <c r="K23" s="104"/>
      <c r="L23" s="19">
        <f t="shared" si="0"/>
        <v>0</v>
      </c>
    </row>
    <row r="24" spans="1:14" x14ac:dyDescent="0.2">
      <c r="A24" s="43" t="s">
        <v>3270</v>
      </c>
      <c r="B24" s="26">
        <v>91094518.909999996</v>
      </c>
      <c r="C24" s="103"/>
      <c r="D24" s="19">
        <v>4594935.74</v>
      </c>
      <c r="E24" s="104"/>
      <c r="F24" s="19">
        <v>-4507346.17</v>
      </c>
      <c r="G24" s="104"/>
      <c r="H24" s="19">
        <v>16202658.390000001</v>
      </c>
      <c r="I24" s="103"/>
      <c r="J24" s="19">
        <f t="shared" si="1"/>
        <v>16290247.960000001</v>
      </c>
      <c r="K24" s="103"/>
      <c r="L24" s="19">
        <f t="shared" si="0"/>
        <v>107384766.87</v>
      </c>
    </row>
    <row r="25" spans="1:14" x14ac:dyDescent="0.2">
      <c r="A25" s="43" t="s">
        <v>3271</v>
      </c>
      <c r="B25" s="26">
        <v>285453.15999999997</v>
      </c>
      <c r="C25" s="103"/>
      <c r="D25" s="19">
        <v>0</v>
      </c>
      <c r="E25" s="104"/>
      <c r="F25" s="19">
        <v>-2798.53</v>
      </c>
      <c r="G25" s="104"/>
      <c r="H25" s="19">
        <v>339491.86</v>
      </c>
      <c r="I25" s="103"/>
      <c r="J25" s="19">
        <f t="shared" si="1"/>
        <v>336693.32999999996</v>
      </c>
      <c r="K25" s="103"/>
      <c r="L25" s="19">
        <f t="shared" si="0"/>
        <v>622146.49</v>
      </c>
    </row>
    <row r="26" spans="1:14" x14ac:dyDescent="0.2">
      <c r="A26" s="96" t="s">
        <v>3272</v>
      </c>
      <c r="B26" s="26">
        <v>622242.23</v>
      </c>
      <c r="C26" s="103"/>
      <c r="D26" s="19">
        <v>0</v>
      </c>
      <c r="E26" s="104"/>
      <c r="F26" s="19">
        <v>0</v>
      </c>
      <c r="G26" s="104"/>
      <c r="H26" s="19">
        <v>-550985.65</v>
      </c>
      <c r="I26" s="103"/>
      <c r="J26" s="19">
        <f t="shared" si="1"/>
        <v>-550985.65</v>
      </c>
      <c r="K26" s="103"/>
      <c r="L26" s="19">
        <f t="shared" si="0"/>
        <v>71256.579999999958</v>
      </c>
    </row>
    <row r="27" spans="1:14" x14ac:dyDescent="0.2">
      <c r="B27" s="32">
        <f>SUM(B11:B26)</f>
        <v>1543384986.7700002</v>
      </c>
      <c r="C27" s="103"/>
      <c r="D27" s="32">
        <f>SUM(D11:D26)</f>
        <v>70793246.870000005</v>
      </c>
      <c r="E27" s="103"/>
      <c r="F27" s="32">
        <f>SUM(F11:F26)</f>
        <v>-19152465.800000001</v>
      </c>
      <c r="G27" s="103"/>
      <c r="H27" s="32">
        <f>SUM(H11:H26)</f>
        <v>-279937.09000000078</v>
      </c>
      <c r="I27" s="103"/>
      <c r="J27" s="32">
        <f>SUM(J11:J26)</f>
        <v>51360843.980000012</v>
      </c>
      <c r="K27" s="103"/>
      <c r="L27" s="32">
        <f>SUM(L11:L26)</f>
        <v>1594745830.7499998</v>
      </c>
    </row>
    <row r="28" spans="1:14" x14ac:dyDescent="0.2">
      <c r="B28" s="26"/>
      <c r="C28" s="103"/>
      <c r="D28" s="26"/>
      <c r="E28" s="103"/>
      <c r="F28" s="26"/>
      <c r="G28" s="103"/>
      <c r="H28" s="26"/>
      <c r="I28" s="103"/>
      <c r="J28" s="26"/>
      <c r="K28" s="103"/>
      <c r="L28" s="26"/>
    </row>
    <row r="29" spans="1:14" x14ac:dyDescent="0.2">
      <c r="A29" s="12" t="s">
        <v>13</v>
      </c>
      <c r="B29" s="26"/>
      <c r="C29" s="103"/>
      <c r="D29" s="26"/>
      <c r="E29" s="103"/>
      <c r="F29" s="26"/>
      <c r="G29" s="103"/>
      <c r="H29" s="26"/>
      <c r="I29" s="103"/>
      <c r="J29" s="26"/>
      <c r="K29" s="103"/>
      <c r="L29" s="26"/>
    </row>
    <row r="30" spans="1:14" x14ac:dyDescent="0.2">
      <c r="A30" s="43" t="s">
        <v>3273</v>
      </c>
      <c r="B30" s="19">
        <v>2729479.9</v>
      </c>
      <c r="C30" s="104"/>
      <c r="D30" s="19">
        <v>320007.17</v>
      </c>
      <c r="E30" s="104"/>
      <c r="F30" s="19">
        <v>0</v>
      </c>
      <c r="G30" s="104"/>
      <c r="H30" s="19">
        <v>0</v>
      </c>
      <c r="I30" s="104"/>
      <c r="J30" s="19">
        <f t="shared" ref="J30:J46" si="2">H30+F30+D30</f>
        <v>320007.17</v>
      </c>
      <c r="K30" s="104"/>
      <c r="L30" s="19">
        <f t="shared" ref="L30:L42" si="3">J30+B30</f>
        <v>3049487.07</v>
      </c>
    </row>
    <row r="31" spans="1:14" x14ac:dyDescent="0.2">
      <c r="A31" s="43" t="s">
        <v>3274</v>
      </c>
      <c r="B31" s="19">
        <v>53233158.230000004</v>
      </c>
      <c r="C31" s="104"/>
      <c r="D31" s="19">
        <v>4133951.05</v>
      </c>
      <c r="E31" s="104"/>
      <c r="F31" s="19">
        <v>-675605.2</v>
      </c>
      <c r="G31" s="104"/>
      <c r="H31" s="19">
        <v>46914.46</v>
      </c>
      <c r="I31" s="104"/>
      <c r="J31" s="19">
        <f>H31+F31+D31</f>
        <v>3505260.3099999996</v>
      </c>
      <c r="K31" s="104"/>
      <c r="L31" s="19">
        <f>J31+B31</f>
        <v>56738418.540000007</v>
      </c>
    </row>
    <row r="32" spans="1:14" x14ac:dyDescent="0.2">
      <c r="A32" s="3" t="s">
        <v>3275</v>
      </c>
      <c r="B32" s="19">
        <v>487774.73000000004</v>
      </c>
      <c r="C32" s="104"/>
      <c r="D32" s="19">
        <v>0</v>
      </c>
      <c r="E32" s="104"/>
      <c r="F32" s="19">
        <v>0</v>
      </c>
      <c r="G32" s="104"/>
      <c r="H32" s="19">
        <v>-46914.46</v>
      </c>
      <c r="I32" s="104"/>
      <c r="J32" s="19">
        <f t="shared" si="2"/>
        <v>-46914.46</v>
      </c>
      <c r="K32" s="104"/>
      <c r="L32" s="19">
        <f t="shared" si="3"/>
        <v>440860.27</v>
      </c>
    </row>
    <row r="33" spans="1:12" x14ac:dyDescent="0.2">
      <c r="A33" s="43" t="s">
        <v>3276</v>
      </c>
      <c r="B33" s="19">
        <v>9774612.8600000013</v>
      </c>
      <c r="C33" s="104"/>
      <c r="D33" s="19">
        <v>977161.68</v>
      </c>
      <c r="E33" s="104"/>
      <c r="F33" s="19">
        <v>-1063656.6000000001</v>
      </c>
      <c r="G33" s="104"/>
      <c r="H33" s="19">
        <v>0</v>
      </c>
      <c r="I33" s="104"/>
      <c r="J33" s="19">
        <f t="shared" si="2"/>
        <v>-86494.920000000042</v>
      </c>
      <c r="K33" s="104"/>
      <c r="L33" s="19">
        <f t="shared" si="3"/>
        <v>9688117.9400000013</v>
      </c>
    </row>
    <row r="34" spans="1:12" x14ac:dyDescent="0.2">
      <c r="A34" s="43" t="s">
        <v>3277</v>
      </c>
      <c r="B34" s="19">
        <v>21885619.819999997</v>
      </c>
      <c r="C34" s="104"/>
      <c r="D34" s="19">
        <v>4080141.77</v>
      </c>
      <c r="E34" s="104"/>
      <c r="F34" s="19">
        <v>-4236675.62</v>
      </c>
      <c r="G34" s="104"/>
      <c r="H34" s="19">
        <v>0</v>
      </c>
      <c r="I34" s="104"/>
      <c r="J34" s="19">
        <f t="shared" si="2"/>
        <v>-156533.85000000009</v>
      </c>
      <c r="K34" s="104"/>
      <c r="L34" s="19">
        <f t="shared" si="3"/>
        <v>21729085.969999995</v>
      </c>
    </row>
    <row r="35" spans="1:12" x14ac:dyDescent="0.2">
      <c r="A35" s="43" t="s">
        <v>3278</v>
      </c>
      <c r="B35" s="19">
        <v>0</v>
      </c>
      <c r="C35" s="104"/>
      <c r="D35" s="19">
        <v>0</v>
      </c>
      <c r="E35" s="104"/>
      <c r="F35" s="19">
        <v>0</v>
      </c>
      <c r="G35" s="104"/>
      <c r="H35" s="19">
        <v>0</v>
      </c>
      <c r="I35" s="104"/>
      <c r="J35" s="19">
        <f t="shared" si="2"/>
        <v>0</v>
      </c>
      <c r="K35" s="104"/>
      <c r="L35" s="19">
        <f t="shared" si="3"/>
        <v>0</v>
      </c>
    </row>
    <row r="36" spans="1:12" x14ac:dyDescent="0.2">
      <c r="A36" s="43" t="s">
        <v>3279</v>
      </c>
      <c r="B36" s="19">
        <v>6443079.9900000002</v>
      </c>
      <c r="C36" s="104"/>
      <c r="D36" s="19">
        <v>1178646.49</v>
      </c>
      <c r="E36" s="104"/>
      <c r="F36" s="19">
        <v>-3267500.19</v>
      </c>
      <c r="G36" s="104"/>
      <c r="H36" s="19">
        <v>0</v>
      </c>
      <c r="I36" s="104"/>
      <c r="J36" s="19">
        <f t="shared" si="2"/>
        <v>-2088853.7</v>
      </c>
      <c r="K36" s="104"/>
      <c r="L36" s="19">
        <f t="shared" si="3"/>
        <v>4354226.29</v>
      </c>
    </row>
    <row r="37" spans="1:12" x14ac:dyDescent="0.2">
      <c r="A37" s="43" t="s">
        <v>3280</v>
      </c>
      <c r="B37" s="19">
        <v>1080256.709999999</v>
      </c>
      <c r="C37" s="104"/>
      <c r="D37" s="19">
        <v>397777.47</v>
      </c>
      <c r="E37" s="104"/>
      <c r="F37" s="19">
        <v>-158179.93</v>
      </c>
      <c r="G37" s="104"/>
      <c r="H37" s="19">
        <v>19403.82</v>
      </c>
      <c r="I37" s="104"/>
      <c r="J37" s="19">
        <f t="shared" si="2"/>
        <v>259001.36</v>
      </c>
      <c r="K37" s="104"/>
      <c r="L37" s="19">
        <f t="shared" si="3"/>
        <v>1339258.0699999989</v>
      </c>
    </row>
    <row r="38" spans="1:12" x14ac:dyDescent="0.2">
      <c r="A38" s="43" t="s">
        <v>3281</v>
      </c>
      <c r="B38" s="19">
        <v>4496087.6400000006</v>
      </c>
      <c r="C38" s="104"/>
      <c r="D38" s="19">
        <v>1456562.63</v>
      </c>
      <c r="E38" s="104"/>
      <c r="F38" s="19">
        <v>-108408.86</v>
      </c>
      <c r="G38" s="104"/>
      <c r="H38" s="19">
        <v>-19403.82</v>
      </c>
      <c r="I38" s="104"/>
      <c r="J38" s="19">
        <f t="shared" si="2"/>
        <v>1328749.95</v>
      </c>
      <c r="K38" s="104"/>
      <c r="L38" s="19">
        <f t="shared" si="3"/>
        <v>5824837.5900000008</v>
      </c>
    </row>
    <row r="39" spans="1:12" x14ac:dyDescent="0.2">
      <c r="A39" s="43" t="s">
        <v>3282</v>
      </c>
      <c r="B39" s="19">
        <v>901305.99</v>
      </c>
      <c r="C39" s="104"/>
      <c r="D39" s="19">
        <v>5138.58</v>
      </c>
      <c r="E39" s="104"/>
      <c r="F39" s="19">
        <v>0</v>
      </c>
      <c r="G39" s="104"/>
      <c r="H39" s="19">
        <v>0</v>
      </c>
      <c r="I39" s="104"/>
      <c r="J39" s="19">
        <f t="shared" si="2"/>
        <v>5138.58</v>
      </c>
      <c r="K39" s="104"/>
      <c r="L39" s="19">
        <f t="shared" si="3"/>
        <v>906444.57</v>
      </c>
    </row>
    <row r="40" spans="1:12" x14ac:dyDescent="0.2">
      <c r="A40" s="43" t="s">
        <v>3283</v>
      </c>
      <c r="B40" s="19">
        <v>11277812.5</v>
      </c>
      <c r="C40" s="104"/>
      <c r="D40" s="19">
        <v>762703.13</v>
      </c>
      <c r="E40" s="104"/>
      <c r="F40" s="19">
        <v>-100355.47</v>
      </c>
      <c r="G40" s="104"/>
      <c r="H40" s="19">
        <v>0</v>
      </c>
      <c r="I40" s="104"/>
      <c r="J40" s="19">
        <f t="shared" si="2"/>
        <v>662347.66</v>
      </c>
      <c r="K40" s="104"/>
      <c r="L40" s="19">
        <f t="shared" si="3"/>
        <v>11940160.16</v>
      </c>
    </row>
    <row r="41" spans="1:12" x14ac:dyDescent="0.2">
      <c r="A41" s="43" t="s">
        <v>3284</v>
      </c>
      <c r="B41" s="19">
        <v>0</v>
      </c>
      <c r="C41" s="104"/>
      <c r="D41" s="19">
        <v>0</v>
      </c>
      <c r="E41" s="104"/>
      <c r="F41" s="19">
        <v>0</v>
      </c>
      <c r="G41" s="104"/>
      <c r="H41" s="19">
        <v>0</v>
      </c>
      <c r="I41" s="104"/>
      <c r="J41" s="19">
        <f t="shared" si="2"/>
        <v>0</v>
      </c>
      <c r="K41" s="104"/>
      <c r="L41" s="19">
        <f t="shared" si="3"/>
        <v>0</v>
      </c>
    </row>
    <row r="42" spans="1:12" x14ac:dyDescent="0.2">
      <c r="A42" s="43" t="s">
        <v>3285</v>
      </c>
      <c r="B42" s="19">
        <v>1996237.34</v>
      </c>
      <c r="C42" s="104"/>
      <c r="D42" s="19">
        <v>139877.92000000001</v>
      </c>
      <c r="E42" s="104"/>
      <c r="F42" s="19">
        <v>0</v>
      </c>
      <c r="G42" s="104"/>
      <c r="H42" s="19">
        <v>0</v>
      </c>
      <c r="I42" s="104"/>
      <c r="J42" s="19">
        <f t="shared" si="2"/>
        <v>139877.92000000001</v>
      </c>
      <c r="K42" s="104"/>
      <c r="L42" s="19">
        <f t="shared" si="3"/>
        <v>2136115.2600000002</v>
      </c>
    </row>
    <row r="43" spans="1:12" x14ac:dyDescent="0.2">
      <c r="A43" s="3" t="s">
        <v>3286</v>
      </c>
      <c r="B43" s="19">
        <v>24508431.839999996</v>
      </c>
      <c r="C43" s="104"/>
      <c r="D43" s="19">
        <v>2415505.11</v>
      </c>
      <c r="E43" s="104"/>
      <c r="F43" s="19">
        <v>-641341.51</v>
      </c>
      <c r="G43" s="104"/>
      <c r="H43" s="19">
        <v>0</v>
      </c>
      <c r="I43" s="104"/>
      <c r="J43" s="19">
        <f t="shared" si="2"/>
        <v>1774163.5999999999</v>
      </c>
      <c r="K43" s="104"/>
      <c r="L43" s="19">
        <f>J43+B43</f>
        <v>26282595.439999998</v>
      </c>
    </row>
    <row r="44" spans="1:12" x14ac:dyDescent="0.2">
      <c r="A44" s="3" t="s">
        <v>3287</v>
      </c>
      <c r="B44" s="19">
        <v>16874293.950000003</v>
      </c>
      <c r="C44" s="104"/>
      <c r="D44" s="19">
        <v>1814128.65</v>
      </c>
      <c r="E44" s="104"/>
      <c r="F44" s="19">
        <v>-823769.21</v>
      </c>
      <c r="G44" s="104"/>
      <c r="H44" s="19">
        <v>0</v>
      </c>
      <c r="I44" s="104"/>
      <c r="J44" s="19">
        <f t="shared" si="2"/>
        <v>990359.44</v>
      </c>
      <c r="K44" s="104"/>
      <c r="L44" s="19">
        <f>J44+B44</f>
        <v>17864653.390000004</v>
      </c>
    </row>
    <row r="45" spans="1:12" x14ac:dyDescent="0.2">
      <c r="A45" s="43" t="s">
        <v>3288</v>
      </c>
      <c r="B45" s="19">
        <v>5614692.8399999999</v>
      </c>
      <c r="C45" s="104"/>
      <c r="D45" s="19">
        <v>1512780</v>
      </c>
      <c r="E45" s="104"/>
      <c r="F45" s="19">
        <v>-438990.26</v>
      </c>
      <c r="G45" s="104"/>
      <c r="H45" s="19">
        <v>0</v>
      </c>
      <c r="I45" s="104"/>
      <c r="J45" s="19">
        <f t="shared" si="2"/>
        <v>1073789.74</v>
      </c>
      <c r="K45" s="104"/>
      <c r="L45" s="19">
        <f>J45+B45</f>
        <v>6688482.5800000001</v>
      </c>
    </row>
    <row r="46" spans="1:12" x14ac:dyDescent="0.2">
      <c r="A46" s="43" t="s">
        <v>3289</v>
      </c>
      <c r="B46" s="27">
        <v>0</v>
      </c>
      <c r="C46" s="103"/>
      <c r="D46" s="19">
        <v>0</v>
      </c>
      <c r="E46" s="103"/>
      <c r="F46" s="19">
        <v>0</v>
      </c>
      <c r="G46" s="103"/>
      <c r="H46" s="19">
        <v>0</v>
      </c>
      <c r="I46" s="103"/>
      <c r="J46" s="27">
        <f t="shared" si="2"/>
        <v>0</v>
      </c>
      <c r="K46" s="103"/>
      <c r="L46" s="27">
        <f>J46+B46</f>
        <v>0</v>
      </c>
    </row>
    <row r="47" spans="1:12" x14ac:dyDescent="0.2">
      <c r="B47" s="26">
        <f>SUM(B30:B46)</f>
        <v>161302844.34</v>
      </c>
      <c r="C47" s="103"/>
      <c r="D47" s="32">
        <f>SUM(D30:D46)</f>
        <v>19194381.650000002</v>
      </c>
      <c r="E47" s="103"/>
      <c r="F47" s="32">
        <f>SUM(F30:F46)</f>
        <v>-11514482.85</v>
      </c>
      <c r="G47" s="103"/>
      <c r="H47" s="32">
        <f>SUM(H30:H46)</f>
        <v>0</v>
      </c>
      <c r="I47" s="103"/>
      <c r="J47" s="26">
        <f>SUM(J30:J46)</f>
        <v>7679898.7999999989</v>
      </c>
      <c r="K47" s="103"/>
      <c r="L47" s="26">
        <f>SUM(L30:L46)</f>
        <v>168982743.14000005</v>
      </c>
    </row>
    <row r="48" spans="1:12" x14ac:dyDescent="0.2">
      <c r="B48" s="26"/>
      <c r="C48" s="103"/>
      <c r="D48" s="26"/>
      <c r="E48" s="103"/>
      <c r="F48" s="26"/>
      <c r="G48" s="103"/>
      <c r="H48" s="26"/>
      <c r="I48" s="103"/>
      <c r="J48" s="26"/>
      <c r="K48" s="103"/>
      <c r="L48" s="26"/>
    </row>
    <row r="49" spans="1:12" x14ac:dyDescent="0.2">
      <c r="A49" s="12" t="s">
        <v>14</v>
      </c>
      <c r="B49" s="26"/>
      <c r="C49" s="103"/>
      <c r="D49" s="26"/>
      <c r="E49" s="103"/>
      <c r="F49" s="26"/>
      <c r="G49" s="103"/>
      <c r="H49" s="26"/>
      <c r="I49" s="103"/>
      <c r="J49" s="26"/>
      <c r="K49" s="103"/>
      <c r="L49" s="26"/>
    </row>
    <row r="50" spans="1:12" x14ac:dyDescent="0.2">
      <c r="A50" s="43" t="s">
        <v>3290</v>
      </c>
      <c r="B50" s="26">
        <v>879311.47</v>
      </c>
      <c r="C50" s="103"/>
      <c r="D50" s="19">
        <v>0</v>
      </c>
      <c r="E50" s="104"/>
      <c r="F50" s="19">
        <v>0</v>
      </c>
      <c r="G50" s="104"/>
      <c r="H50" s="19">
        <v>0</v>
      </c>
      <c r="I50" s="104"/>
      <c r="J50" s="19">
        <f t="shared" ref="J50:J57" si="4">H50+F50+D50</f>
        <v>0</v>
      </c>
      <c r="K50" s="103"/>
      <c r="L50" s="26">
        <f t="shared" ref="L50:L57" si="5">J50+B50</f>
        <v>879311.47</v>
      </c>
    </row>
    <row r="51" spans="1:12" x14ac:dyDescent="0.2">
      <c r="A51" s="43" t="s">
        <v>3291</v>
      </c>
      <c r="B51" s="26">
        <v>827602.64000000013</v>
      </c>
      <c r="C51" s="103"/>
      <c r="D51" s="19">
        <v>2174143.44</v>
      </c>
      <c r="E51" s="104"/>
      <c r="F51" s="19">
        <v>-2355.54</v>
      </c>
      <c r="G51" s="104"/>
      <c r="H51" s="19">
        <v>0</v>
      </c>
      <c r="I51" s="104"/>
      <c r="J51" s="19">
        <f t="shared" si="4"/>
        <v>2171787.9</v>
      </c>
      <c r="K51" s="103"/>
      <c r="L51" s="26">
        <f t="shared" si="5"/>
        <v>2999390.54</v>
      </c>
    </row>
    <row r="52" spans="1:12" x14ac:dyDescent="0.2">
      <c r="A52" s="43" t="s">
        <v>3292</v>
      </c>
      <c r="B52" s="26">
        <v>21850674.220000003</v>
      </c>
      <c r="C52" s="103"/>
      <c r="D52" s="19">
        <v>34972.15</v>
      </c>
      <c r="E52" s="104"/>
      <c r="F52" s="19">
        <v>0</v>
      </c>
      <c r="G52" s="104"/>
      <c r="H52" s="19">
        <v>0</v>
      </c>
      <c r="I52" s="104"/>
      <c r="J52" s="19">
        <f t="shared" si="4"/>
        <v>34972.15</v>
      </c>
      <c r="K52" s="103"/>
      <c r="L52" s="26">
        <f t="shared" si="5"/>
        <v>21885646.370000001</v>
      </c>
    </row>
    <row r="53" spans="1:12" x14ac:dyDescent="0.2">
      <c r="A53" s="43" t="s">
        <v>3293</v>
      </c>
      <c r="B53" s="26">
        <v>13732503.48</v>
      </c>
      <c r="C53" s="103"/>
      <c r="D53" s="19">
        <v>327078.36</v>
      </c>
      <c r="E53" s="104"/>
      <c r="F53" s="19">
        <v>-12840.26</v>
      </c>
      <c r="G53" s="104"/>
      <c r="H53" s="19">
        <v>0</v>
      </c>
      <c r="I53" s="104"/>
      <c r="J53" s="19">
        <f t="shared" si="4"/>
        <v>314238.09999999998</v>
      </c>
      <c r="K53" s="103"/>
      <c r="L53" s="26">
        <f t="shared" si="5"/>
        <v>14046741.58</v>
      </c>
    </row>
    <row r="54" spans="1:12" x14ac:dyDescent="0.2">
      <c r="A54" s="43" t="s">
        <v>3294</v>
      </c>
      <c r="B54" s="26">
        <v>1321688.77</v>
      </c>
      <c r="C54" s="103"/>
      <c r="D54" s="19">
        <v>40896.019999999997</v>
      </c>
      <c r="E54" s="104"/>
      <c r="F54" s="19">
        <v>0</v>
      </c>
      <c r="G54" s="104"/>
      <c r="H54" s="19">
        <v>0</v>
      </c>
      <c r="I54" s="104"/>
      <c r="J54" s="19">
        <f t="shared" si="4"/>
        <v>40896.019999999997</v>
      </c>
      <c r="K54" s="103"/>
      <c r="L54" s="26">
        <f t="shared" si="5"/>
        <v>1362584.79</v>
      </c>
    </row>
    <row r="55" spans="1:12" x14ac:dyDescent="0.2">
      <c r="A55" s="43" t="s">
        <v>3295</v>
      </c>
      <c r="B55" s="26">
        <v>316946.74</v>
      </c>
      <c r="C55" s="103"/>
      <c r="D55" s="19">
        <v>0</v>
      </c>
      <c r="E55" s="104"/>
      <c r="F55" s="19">
        <v>0</v>
      </c>
      <c r="G55" s="104"/>
      <c r="H55" s="19">
        <v>0</v>
      </c>
      <c r="I55" s="104"/>
      <c r="J55" s="19">
        <f t="shared" si="4"/>
        <v>0</v>
      </c>
      <c r="K55" s="103"/>
      <c r="L55" s="26">
        <f t="shared" si="5"/>
        <v>316946.74</v>
      </c>
    </row>
    <row r="56" spans="1:12" x14ac:dyDescent="0.2">
      <c r="A56" s="43" t="s">
        <v>3296</v>
      </c>
      <c r="B56" s="26">
        <v>225715.78999999998</v>
      </c>
      <c r="C56" s="103"/>
      <c r="D56" s="19">
        <v>8793.34</v>
      </c>
      <c r="E56" s="104"/>
      <c r="F56" s="19">
        <v>0</v>
      </c>
      <c r="G56" s="104"/>
      <c r="H56" s="19">
        <v>0</v>
      </c>
      <c r="I56" s="104"/>
      <c r="J56" s="19">
        <f t="shared" si="4"/>
        <v>8793.34</v>
      </c>
      <c r="K56" s="103"/>
      <c r="L56" s="26">
        <f t="shared" si="5"/>
        <v>234509.12999999998</v>
      </c>
    </row>
    <row r="57" spans="1:12" x14ac:dyDescent="0.2">
      <c r="A57" s="43" t="s">
        <v>3297</v>
      </c>
      <c r="B57" s="27">
        <v>274310.54000000004</v>
      </c>
      <c r="C57" s="103"/>
      <c r="D57" s="19">
        <v>0</v>
      </c>
      <c r="E57" s="104"/>
      <c r="F57" s="19">
        <v>-86482.34</v>
      </c>
      <c r="G57" s="104"/>
      <c r="H57" s="19">
        <v>457959.79</v>
      </c>
      <c r="I57" s="104"/>
      <c r="J57" s="19">
        <f t="shared" si="4"/>
        <v>371477.44999999995</v>
      </c>
      <c r="K57" s="103"/>
      <c r="L57" s="27">
        <f t="shared" si="5"/>
        <v>645787.99</v>
      </c>
    </row>
    <row r="58" spans="1:12" x14ac:dyDescent="0.2">
      <c r="B58" s="26">
        <f>SUM(B50:B57)</f>
        <v>39428753.650000006</v>
      </c>
      <c r="C58" s="103"/>
      <c r="D58" s="32">
        <f>SUM(D50:D57)</f>
        <v>2585883.3099999996</v>
      </c>
      <c r="E58" s="103"/>
      <c r="F58" s="32">
        <f>SUM(F50:F57)</f>
        <v>-101678.14</v>
      </c>
      <c r="G58" s="103"/>
      <c r="H58" s="32">
        <f>SUM(H50:H57)</f>
        <v>457959.79</v>
      </c>
      <c r="I58" s="103"/>
      <c r="J58" s="32">
        <f>SUM(J50:J57)</f>
        <v>2942164.96</v>
      </c>
      <c r="K58" s="103"/>
      <c r="L58" s="26">
        <f>SUM(L50:L57)</f>
        <v>42370918.610000007</v>
      </c>
    </row>
    <row r="59" spans="1:12" x14ac:dyDescent="0.2">
      <c r="B59" s="26"/>
      <c r="C59" s="103"/>
      <c r="D59" s="26"/>
      <c r="E59" s="103"/>
      <c r="F59" s="26"/>
      <c r="G59" s="103"/>
      <c r="H59" s="26"/>
      <c r="I59" s="103"/>
      <c r="J59" s="26"/>
      <c r="K59" s="103"/>
      <c r="L59" s="26"/>
    </row>
    <row r="60" spans="1:12" x14ac:dyDescent="0.2">
      <c r="A60" s="12" t="s">
        <v>15</v>
      </c>
      <c r="B60" s="26"/>
      <c r="C60" s="103"/>
      <c r="D60" s="26"/>
      <c r="E60" s="103"/>
      <c r="F60" s="26"/>
      <c r="G60" s="103"/>
      <c r="H60" s="26"/>
      <c r="I60" s="103"/>
      <c r="J60" s="26"/>
      <c r="K60" s="103"/>
      <c r="L60" s="26"/>
    </row>
    <row r="61" spans="1:12" x14ac:dyDescent="0.2">
      <c r="A61" s="43" t="s">
        <v>3298</v>
      </c>
      <c r="B61" s="26">
        <v>39116.89</v>
      </c>
      <c r="C61" s="103"/>
      <c r="D61" s="19">
        <v>0</v>
      </c>
      <c r="E61" s="103"/>
      <c r="F61" s="19">
        <v>0</v>
      </c>
      <c r="G61" s="103"/>
      <c r="H61" s="19">
        <v>0</v>
      </c>
      <c r="I61" s="103"/>
      <c r="J61" s="26">
        <f>H61+F61+D61</f>
        <v>0</v>
      </c>
      <c r="K61" s="103"/>
      <c r="L61" s="26">
        <f>J61+B61</f>
        <v>39116.89</v>
      </c>
    </row>
    <row r="62" spans="1:12" x14ac:dyDescent="0.2">
      <c r="A62" s="43" t="s">
        <v>3299</v>
      </c>
      <c r="B62" s="26">
        <v>55918.829999999994</v>
      </c>
      <c r="C62" s="103"/>
      <c r="D62" s="19">
        <v>0</v>
      </c>
      <c r="E62" s="103"/>
      <c r="F62" s="19">
        <v>0</v>
      </c>
      <c r="G62" s="103"/>
      <c r="H62" s="19">
        <v>0</v>
      </c>
      <c r="I62" s="103"/>
      <c r="J62" s="26">
        <f>H62+F62+D62</f>
        <v>0</v>
      </c>
      <c r="K62" s="103"/>
      <c r="L62" s="26">
        <f>J62+B62</f>
        <v>55918.829999999994</v>
      </c>
    </row>
    <row r="63" spans="1:12" x14ac:dyDescent="0.2">
      <c r="A63" s="43" t="s">
        <v>3300</v>
      </c>
      <c r="B63" s="26">
        <v>40521476.659999996</v>
      </c>
      <c r="C63" s="103"/>
      <c r="D63" s="19">
        <v>14107204.210000001</v>
      </c>
      <c r="E63" s="103"/>
      <c r="F63" s="19">
        <v>-5795318.9000000004</v>
      </c>
      <c r="G63" s="103"/>
      <c r="H63" s="19">
        <v>0</v>
      </c>
      <c r="I63" s="103"/>
      <c r="J63" s="26">
        <f>H63+F63+D63</f>
        <v>8311885.3100000005</v>
      </c>
      <c r="K63" s="103"/>
      <c r="L63" s="26">
        <f>J63+B63</f>
        <v>48833361.969999999</v>
      </c>
    </row>
    <row r="64" spans="1:12" x14ac:dyDescent="0.2">
      <c r="A64" s="43" t="s">
        <v>3301</v>
      </c>
      <c r="B64" s="27">
        <v>41045494.530000001</v>
      </c>
      <c r="C64" s="103"/>
      <c r="D64" s="19">
        <v>0</v>
      </c>
      <c r="E64" s="103"/>
      <c r="F64" s="19">
        <v>0</v>
      </c>
      <c r="G64" s="103"/>
      <c r="H64" s="19">
        <v>0</v>
      </c>
      <c r="I64" s="103"/>
      <c r="J64" s="27">
        <f>H64+F64+D64</f>
        <v>0</v>
      </c>
      <c r="K64" s="103"/>
      <c r="L64" s="27">
        <f>J64+B64</f>
        <v>41045494.530000001</v>
      </c>
    </row>
    <row r="65" spans="1:12" x14ac:dyDescent="0.2">
      <c r="B65" s="26">
        <f>SUM(B61:B64)</f>
        <v>81662006.909999996</v>
      </c>
      <c r="C65" s="103"/>
      <c r="D65" s="32">
        <f>SUM(D61:D64)</f>
        <v>14107204.210000001</v>
      </c>
      <c r="E65" s="103"/>
      <c r="F65" s="32">
        <f>SUM(F61:F64)</f>
        <v>-5795318.9000000004</v>
      </c>
      <c r="G65" s="103"/>
      <c r="H65" s="32">
        <f>SUM(H61:H64)</f>
        <v>0</v>
      </c>
      <c r="I65" s="103"/>
      <c r="J65" s="26">
        <f>SUM(J61:J64)</f>
        <v>8311885.3100000005</v>
      </c>
      <c r="K65" s="103"/>
      <c r="L65" s="26">
        <f>SUM(L61:L64)</f>
        <v>89973892.219999999</v>
      </c>
    </row>
    <row r="66" spans="1:12" x14ac:dyDescent="0.2">
      <c r="B66" s="26"/>
      <c r="C66" s="103"/>
      <c r="D66" s="26"/>
      <c r="E66" s="103"/>
      <c r="F66" s="26"/>
      <c r="G66" s="103"/>
      <c r="H66" s="26"/>
      <c r="I66" s="103"/>
      <c r="J66" s="26"/>
      <c r="K66" s="103"/>
      <c r="L66" s="26"/>
    </row>
    <row r="67" spans="1:12" x14ac:dyDescent="0.2">
      <c r="A67" s="12" t="s">
        <v>16</v>
      </c>
      <c r="B67" s="26"/>
      <c r="C67" s="103"/>
      <c r="D67" s="26"/>
      <c r="E67" s="103"/>
      <c r="F67" s="26"/>
      <c r="G67" s="103"/>
      <c r="H67" s="26"/>
      <c r="I67" s="103"/>
      <c r="J67" s="26"/>
      <c r="K67" s="103"/>
      <c r="L67" s="26"/>
    </row>
    <row r="68" spans="1:12" x14ac:dyDescent="0.2">
      <c r="A68" s="43" t="s">
        <v>3302</v>
      </c>
      <c r="B68" s="26">
        <v>176409.31</v>
      </c>
      <c r="C68" s="103"/>
      <c r="D68" s="19">
        <v>0</v>
      </c>
      <c r="E68" s="103"/>
      <c r="F68" s="19">
        <v>0</v>
      </c>
      <c r="G68" s="103"/>
      <c r="H68" s="19">
        <v>0</v>
      </c>
      <c r="I68" s="103"/>
      <c r="J68" s="26">
        <f t="shared" ref="J68:J77" si="6">H68+F68+D68</f>
        <v>0</v>
      </c>
      <c r="K68" s="103"/>
      <c r="L68" s="26">
        <f t="shared" ref="L68:L77" si="7">J68+B68</f>
        <v>176409.31</v>
      </c>
    </row>
    <row r="69" spans="1:12" x14ac:dyDescent="0.2">
      <c r="A69" s="43" t="s">
        <v>3303</v>
      </c>
      <c r="B69" s="26">
        <v>135099.01999999999</v>
      </c>
      <c r="C69" s="103"/>
      <c r="D69" s="19">
        <v>0</v>
      </c>
      <c r="E69" s="103"/>
      <c r="F69" s="19">
        <v>0</v>
      </c>
      <c r="G69" s="103"/>
      <c r="H69" s="19">
        <v>162070.19</v>
      </c>
      <c r="I69" s="103"/>
      <c r="J69" s="26">
        <f t="shared" si="6"/>
        <v>162070.19</v>
      </c>
      <c r="K69" s="103"/>
      <c r="L69" s="26">
        <f t="shared" si="7"/>
        <v>297169.20999999996</v>
      </c>
    </row>
    <row r="70" spans="1:12" x14ac:dyDescent="0.2">
      <c r="A70" s="43" t="s">
        <v>3304</v>
      </c>
      <c r="B70" s="26">
        <v>35960294.000000007</v>
      </c>
      <c r="C70" s="103"/>
      <c r="D70" s="19">
        <v>48252750.960000001</v>
      </c>
      <c r="E70" s="103"/>
      <c r="F70" s="19">
        <v>-95642.86</v>
      </c>
      <c r="G70" s="103"/>
      <c r="H70" s="19">
        <v>0</v>
      </c>
      <c r="I70" s="103"/>
      <c r="J70" s="26">
        <f t="shared" si="6"/>
        <v>48157108.100000001</v>
      </c>
      <c r="K70" s="103"/>
      <c r="L70" s="26">
        <f t="shared" si="7"/>
        <v>84117402.100000009</v>
      </c>
    </row>
    <row r="71" spans="1:12" x14ac:dyDescent="0.2">
      <c r="A71" s="43" t="s">
        <v>3305</v>
      </c>
      <c r="B71" s="26">
        <v>25066352.619999997</v>
      </c>
      <c r="C71" s="103"/>
      <c r="D71" s="19">
        <v>29756564.559999999</v>
      </c>
      <c r="E71" s="103"/>
      <c r="F71" s="19">
        <v>0</v>
      </c>
      <c r="G71" s="103"/>
      <c r="H71" s="19">
        <v>0</v>
      </c>
      <c r="I71" s="103"/>
      <c r="J71" s="26">
        <f t="shared" si="6"/>
        <v>29756564.559999999</v>
      </c>
      <c r="K71" s="103"/>
      <c r="L71" s="26">
        <f t="shared" si="7"/>
        <v>54822917.179999992</v>
      </c>
    </row>
    <row r="72" spans="1:12" x14ac:dyDescent="0.2">
      <c r="A72" s="43" t="s">
        <v>3306</v>
      </c>
      <c r="B72" s="26">
        <v>0</v>
      </c>
      <c r="C72" s="103"/>
      <c r="D72" s="19">
        <v>0</v>
      </c>
      <c r="E72" s="103"/>
      <c r="F72" s="19">
        <v>0</v>
      </c>
      <c r="G72" s="103"/>
      <c r="H72" s="19">
        <v>0</v>
      </c>
      <c r="I72" s="103"/>
      <c r="J72" s="26">
        <f t="shared" si="6"/>
        <v>0</v>
      </c>
      <c r="K72" s="103"/>
      <c r="L72" s="26">
        <f t="shared" si="7"/>
        <v>0</v>
      </c>
    </row>
    <row r="73" spans="1:12" x14ac:dyDescent="0.2">
      <c r="A73" s="43" t="s">
        <v>3307</v>
      </c>
      <c r="B73" s="26">
        <v>375881804.71999997</v>
      </c>
      <c r="C73" s="103"/>
      <c r="D73" s="19">
        <v>263497643.53</v>
      </c>
      <c r="E73" s="103"/>
      <c r="F73" s="19">
        <v>-85818.98</v>
      </c>
      <c r="G73" s="103"/>
      <c r="H73" s="19">
        <v>0</v>
      </c>
      <c r="I73" s="103"/>
      <c r="J73" s="26">
        <f t="shared" si="6"/>
        <v>263411824.55000001</v>
      </c>
      <c r="K73" s="103"/>
      <c r="L73" s="26">
        <f t="shared" si="7"/>
        <v>639293629.26999998</v>
      </c>
    </row>
    <row r="74" spans="1:12" x14ac:dyDescent="0.2">
      <c r="A74" s="43" t="s">
        <v>3308</v>
      </c>
      <c r="B74" s="26">
        <v>59118733.289999999</v>
      </c>
      <c r="C74" s="103"/>
      <c r="D74" s="19">
        <v>57987087.030000001</v>
      </c>
      <c r="E74" s="103"/>
      <c r="F74" s="19">
        <v>-432616.31</v>
      </c>
      <c r="G74" s="103"/>
      <c r="H74" s="19">
        <v>0</v>
      </c>
      <c r="I74" s="103"/>
      <c r="J74" s="26">
        <f t="shared" si="6"/>
        <v>57554470.719999999</v>
      </c>
      <c r="K74" s="103"/>
      <c r="L74" s="26">
        <f t="shared" si="7"/>
        <v>116673204.00999999</v>
      </c>
    </row>
    <row r="75" spans="1:12" x14ac:dyDescent="0.2">
      <c r="A75" s="43" t="s">
        <v>3309</v>
      </c>
      <c r="B75" s="26">
        <v>46764572.86999999</v>
      </c>
      <c r="C75" s="103"/>
      <c r="D75" s="19">
        <v>18990740.93</v>
      </c>
      <c r="E75" s="103"/>
      <c r="F75" s="19">
        <v>-115501.18</v>
      </c>
      <c r="G75" s="103"/>
      <c r="H75" s="19">
        <v>0</v>
      </c>
      <c r="I75" s="103"/>
      <c r="J75" s="26">
        <f t="shared" si="6"/>
        <v>18875239.75</v>
      </c>
      <c r="K75" s="103"/>
      <c r="L75" s="26">
        <f t="shared" si="7"/>
        <v>65639812.61999999</v>
      </c>
    </row>
    <row r="76" spans="1:12" x14ac:dyDescent="0.2">
      <c r="A76" s="43" t="s">
        <v>3310</v>
      </c>
      <c r="B76" s="26">
        <v>0</v>
      </c>
      <c r="C76" s="103"/>
      <c r="D76" s="19">
        <v>0</v>
      </c>
      <c r="E76" s="103"/>
      <c r="F76" s="19">
        <v>0</v>
      </c>
      <c r="G76" s="103"/>
      <c r="H76" s="19">
        <v>0</v>
      </c>
      <c r="I76" s="103"/>
      <c r="J76" s="26">
        <f t="shared" si="6"/>
        <v>0</v>
      </c>
      <c r="K76" s="103"/>
      <c r="L76" s="26">
        <f t="shared" si="7"/>
        <v>0</v>
      </c>
    </row>
    <row r="77" spans="1:12" x14ac:dyDescent="0.2">
      <c r="A77" s="43" t="s">
        <v>3311</v>
      </c>
      <c r="B77" s="26">
        <v>5510229.8299999991</v>
      </c>
      <c r="C77" s="103"/>
      <c r="D77" s="19">
        <v>3182054.65</v>
      </c>
      <c r="E77" s="103"/>
      <c r="F77" s="19">
        <v>-114855.08</v>
      </c>
      <c r="G77" s="103"/>
      <c r="H77" s="19">
        <v>0</v>
      </c>
      <c r="I77" s="103"/>
      <c r="J77" s="26">
        <f t="shared" si="6"/>
        <v>3067199.57</v>
      </c>
      <c r="K77" s="103"/>
      <c r="L77" s="26">
        <f t="shared" si="7"/>
        <v>8577429.3999999985</v>
      </c>
    </row>
    <row r="78" spans="1:12" x14ac:dyDescent="0.2">
      <c r="A78" s="43" t="s">
        <v>3312</v>
      </c>
      <c r="B78" s="27">
        <v>403344.09</v>
      </c>
      <c r="C78" s="103"/>
      <c r="D78" s="19">
        <v>0</v>
      </c>
      <c r="E78" s="103"/>
      <c r="F78" s="19">
        <v>0</v>
      </c>
      <c r="G78" s="103"/>
      <c r="H78" s="19">
        <v>0</v>
      </c>
      <c r="I78" s="103"/>
      <c r="J78" s="27">
        <f>H78+F78+D78</f>
        <v>0</v>
      </c>
      <c r="K78" s="103"/>
      <c r="L78" s="27">
        <f>J78+B78</f>
        <v>403344.09</v>
      </c>
    </row>
    <row r="79" spans="1:12" x14ac:dyDescent="0.2">
      <c r="B79" s="26">
        <f>SUM(B68:B78)</f>
        <v>549016839.75</v>
      </c>
      <c r="C79" s="103"/>
      <c r="D79" s="32">
        <f>SUM(D68:D78)</f>
        <v>421666841.66000003</v>
      </c>
      <c r="E79" s="103"/>
      <c r="F79" s="32">
        <f>SUM(F68:F78)</f>
        <v>-844434.41</v>
      </c>
      <c r="G79" s="103"/>
      <c r="H79" s="32">
        <f>SUM(H68:H78)</f>
        <v>162070.19</v>
      </c>
      <c r="I79" s="103"/>
      <c r="J79" s="26">
        <f>SUM(J68:J78)</f>
        <v>420984477.44</v>
      </c>
      <c r="K79" s="103"/>
      <c r="L79" s="26">
        <f>SUM(L68:L78)</f>
        <v>970001317.18999994</v>
      </c>
    </row>
    <row r="80" spans="1:12" x14ac:dyDescent="0.2">
      <c r="B80" s="26"/>
      <c r="C80" s="103"/>
      <c r="D80" s="26"/>
      <c r="E80" s="103"/>
      <c r="F80" s="26"/>
      <c r="G80" s="103"/>
      <c r="H80" s="26"/>
      <c r="I80" s="103"/>
      <c r="J80" s="26"/>
      <c r="K80" s="103"/>
      <c r="L80" s="26"/>
    </row>
    <row r="81" spans="1:12" x14ac:dyDescent="0.2">
      <c r="A81" s="12" t="s">
        <v>17</v>
      </c>
      <c r="C81" s="104"/>
      <c r="E81" s="104"/>
      <c r="G81" s="104"/>
      <c r="I81" s="104"/>
      <c r="K81" s="104"/>
    </row>
    <row r="82" spans="1:12" x14ac:dyDescent="0.2">
      <c r="A82" s="43" t="s">
        <v>3313</v>
      </c>
      <c r="B82" s="19">
        <v>12551905.149999999</v>
      </c>
      <c r="C82" s="104"/>
      <c r="D82" s="19">
        <v>0</v>
      </c>
      <c r="E82" s="103"/>
      <c r="F82" s="19">
        <v>0</v>
      </c>
      <c r="G82" s="103"/>
      <c r="H82" s="19">
        <v>-265688.83999999997</v>
      </c>
      <c r="I82" s="104"/>
      <c r="J82" s="19">
        <f t="shared" ref="J82:J93" si="8">H82+F82+D82</f>
        <v>-265688.83999999997</v>
      </c>
      <c r="K82" s="104"/>
      <c r="L82" s="19">
        <f t="shared" ref="L82:L93" si="9">J82+B82</f>
        <v>12286216.309999999</v>
      </c>
    </row>
    <row r="83" spans="1:12" x14ac:dyDescent="0.2">
      <c r="A83" s="43" t="s">
        <v>3314</v>
      </c>
      <c r="B83" s="19">
        <v>322230556.84000003</v>
      </c>
      <c r="C83" s="104"/>
      <c r="D83" s="19">
        <v>4553485.3499999996</v>
      </c>
      <c r="E83" s="103"/>
      <c r="F83" s="19">
        <v>-917939.39</v>
      </c>
      <c r="G83" s="103"/>
      <c r="H83" s="19">
        <v>-4924909.4000000004</v>
      </c>
      <c r="I83" s="104"/>
      <c r="J83" s="19">
        <f t="shared" si="8"/>
        <v>-1289363.4400000004</v>
      </c>
      <c r="K83" s="104"/>
      <c r="L83" s="19">
        <f t="shared" si="9"/>
        <v>320941193.40000004</v>
      </c>
    </row>
    <row r="84" spans="1:12" x14ac:dyDescent="0.2">
      <c r="A84" s="43" t="s">
        <v>3315</v>
      </c>
      <c r="B84" s="19">
        <v>0</v>
      </c>
      <c r="C84" s="104"/>
      <c r="D84" s="19">
        <v>0</v>
      </c>
      <c r="E84" s="103"/>
      <c r="F84" s="19">
        <v>0</v>
      </c>
      <c r="G84" s="103"/>
      <c r="H84" s="19">
        <v>0</v>
      </c>
      <c r="I84" s="104"/>
      <c r="J84" s="19">
        <f t="shared" si="8"/>
        <v>0</v>
      </c>
      <c r="K84" s="104"/>
      <c r="L84" s="19">
        <f t="shared" si="9"/>
        <v>0</v>
      </c>
    </row>
    <row r="85" spans="1:12" x14ac:dyDescent="0.2">
      <c r="A85" s="43" t="s">
        <v>3316</v>
      </c>
      <c r="B85" s="19">
        <v>2762481599.6700001</v>
      </c>
      <c r="C85" s="104"/>
      <c r="D85" s="19">
        <v>50822482.170000002</v>
      </c>
      <c r="E85" s="103"/>
      <c r="F85" s="19">
        <v>-10563333.779999999</v>
      </c>
      <c r="G85" s="103"/>
      <c r="H85" s="19">
        <v>4982726.8600000003</v>
      </c>
      <c r="I85" s="104"/>
      <c r="J85" s="19">
        <f t="shared" si="8"/>
        <v>45241875.25</v>
      </c>
      <c r="K85" s="104"/>
      <c r="L85" s="19">
        <f t="shared" si="9"/>
        <v>2807723474.9200001</v>
      </c>
    </row>
    <row r="86" spans="1:12" x14ac:dyDescent="0.2">
      <c r="A86" s="43" t="s">
        <v>3317</v>
      </c>
      <c r="B86" s="19">
        <v>0</v>
      </c>
      <c r="C86" s="104"/>
      <c r="D86" s="19">
        <v>0</v>
      </c>
      <c r="E86" s="103"/>
      <c r="F86" s="19">
        <v>0</v>
      </c>
      <c r="G86" s="103"/>
      <c r="H86" s="19">
        <v>0</v>
      </c>
      <c r="I86" s="104"/>
      <c r="J86" s="19">
        <f t="shared" si="8"/>
        <v>0</v>
      </c>
      <c r="K86" s="104"/>
      <c r="L86" s="19">
        <f t="shared" si="9"/>
        <v>0</v>
      </c>
    </row>
    <row r="87" spans="1:12" x14ac:dyDescent="0.2">
      <c r="A87" s="43" t="s">
        <v>3318</v>
      </c>
      <c r="B87" s="19">
        <v>323577906.63999993</v>
      </c>
      <c r="C87" s="104"/>
      <c r="D87" s="19">
        <v>7060528.5899999999</v>
      </c>
      <c r="E87" s="103"/>
      <c r="F87" s="19">
        <v>-513877.9</v>
      </c>
      <c r="G87" s="103"/>
      <c r="H87" s="19">
        <v>0</v>
      </c>
      <c r="I87" s="104"/>
      <c r="J87" s="19">
        <f t="shared" si="8"/>
        <v>6546650.6899999995</v>
      </c>
      <c r="K87" s="104"/>
      <c r="L87" s="19">
        <f t="shared" si="9"/>
        <v>330124557.32999992</v>
      </c>
    </row>
    <row r="88" spans="1:12" x14ac:dyDescent="0.2">
      <c r="A88" s="43" t="s">
        <v>3319</v>
      </c>
      <c r="B88" s="19">
        <v>0</v>
      </c>
      <c r="C88" s="104"/>
      <c r="D88" s="19">
        <v>0</v>
      </c>
      <c r="E88" s="103"/>
      <c r="F88" s="19">
        <v>0</v>
      </c>
      <c r="G88" s="103"/>
      <c r="H88" s="19">
        <v>0</v>
      </c>
      <c r="I88" s="104"/>
      <c r="J88" s="19">
        <f t="shared" si="8"/>
        <v>0</v>
      </c>
      <c r="K88" s="104"/>
      <c r="L88" s="19">
        <f t="shared" si="9"/>
        <v>0</v>
      </c>
    </row>
    <row r="89" spans="1:12" x14ac:dyDescent="0.2">
      <c r="A89" s="43" t="s">
        <v>3320</v>
      </c>
      <c r="B89" s="19">
        <v>210432077.97999999</v>
      </c>
      <c r="C89" s="104"/>
      <c r="D89" s="19">
        <v>1366608.35</v>
      </c>
      <c r="E89" s="103"/>
      <c r="F89" s="19">
        <v>-248391.82</v>
      </c>
      <c r="G89" s="103"/>
      <c r="H89" s="19">
        <v>0</v>
      </c>
      <c r="I89" s="104"/>
      <c r="J89" s="19">
        <f t="shared" si="8"/>
        <v>1118216.53</v>
      </c>
      <c r="K89" s="104"/>
      <c r="L89" s="19">
        <f t="shared" si="9"/>
        <v>211550294.50999999</v>
      </c>
    </row>
    <row r="90" spans="1:12" x14ac:dyDescent="0.2">
      <c r="A90" s="3" t="s">
        <v>3321</v>
      </c>
      <c r="B90" s="19">
        <v>0</v>
      </c>
      <c r="C90" s="104"/>
      <c r="D90" s="19">
        <v>0</v>
      </c>
      <c r="E90" s="103"/>
      <c r="F90" s="19">
        <v>0</v>
      </c>
      <c r="G90" s="103"/>
      <c r="H90" s="19">
        <v>0</v>
      </c>
      <c r="I90" s="104"/>
      <c r="J90" s="19">
        <f t="shared" si="8"/>
        <v>0</v>
      </c>
      <c r="K90" s="104"/>
      <c r="L90" s="19">
        <f t="shared" si="9"/>
        <v>0</v>
      </c>
    </row>
    <row r="91" spans="1:12" x14ac:dyDescent="0.2">
      <c r="A91" s="43" t="s">
        <v>3322</v>
      </c>
      <c r="B91" s="19">
        <v>32653132.629999999</v>
      </c>
      <c r="C91" s="104"/>
      <c r="D91" s="19">
        <v>1637192.15</v>
      </c>
      <c r="E91" s="103"/>
      <c r="F91" s="19">
        <v>-482747.26</v>
      </c>
      <c r="G91" s="103"/>
      <c r="H91" s="19">
        <v>-57817.46</v>
      </c>
      <c r="I91" s="104"/>
      <c r="J91" s="19">
        <f t="shared" si="8"/>
        <v>1096627.43</v>
      </c>
      <c r="K91" s="104"/>
      <c r="L91" s="19">
        <f t="shared" si="9"/>
        <v>33749760.060000002</v>
      </c>
    </row>
    <row r="92" spans="1:12" x14ac:dyDescent="0.2">
      <c r="A92" s="43" t="s">
        <v>3323</v>
      </c>
      <c r="B92" s="26">
        <v>329221435.25999999</v>
      </c>
      <c r="C92" s="103"/>
      <c r="D92" s="19">
        <v>0</v>
      </c>
      <c r="E92" s="103"/>
      <c r="F92" s="19">
        <v>-2172751.56</v>
      </c>
      <c r="G92" s="103"/>
      <c r="H92" s="19">
        <v>-299395427.20000005</v>
      </c>
      <c r="I92" s="103"/>
      <c r="J92" s="26">
        <f t="shared" si="8"/>
        <v>-301568178.76000005</v>
      </c>
      <c r="K92" s="103"/>
      <c r="L92" s="26">
        <f t="shared" si="9"/>
        <v>27653256.49999994</v>
      </c>
    </row>
    <row r="93" spans="1:12" x14ac:dyDescent="0.2">
      <c r="A93" s="43" t="s">
        <v>3324</v>
      </c>
      <c r="B93" s="26">
        <v>0</v>
      </c>
      <c r="C93" s="103"/>
      <c r="D93" s="19">
        <v>0</v>
      </c>
      <c r="E93" s="103"/>
      <c r="F93" s="19">
        <v>0</v>
      </c>
      <c r="G93" s="103"/>
      <c r="H93" s="19">
        <v>220491458.15000004</v>
      </c>
      <c r="I93" s="103"/>
      <c r="J93" s="26">
        <f t="shared" si="8"/>
        <v>220491458.15000004</v>
      </c>
      <c r="K93" s="103"/>
      <c r="L93" s="26">
        <f t="shared" si="9"/>
        <v>220491458.15000004</v>
      </c>
    </row>
    <row r="94" spans="1:12" x14ac:dyDescent="0.2">
      <c r="B94" s="32">
        <f>SUM(B82:B93)</f>
        <v>3993148614.1700001</v>
      </c>
      <c r="C94" s="103"/>
      <c r="D94" s="32">
        <f>SUM(D82:D93)</f>
        <v>65440296.609999999</v>
      </c>
      <c r="E94" s="103"/>
      <c r="F94" s="32">
        <f>SUM(F82:F93)</f>
        <v>-14899041.710000001</v>
      </c>
      <c r="G94" s="103"/>
      <c r="H94" s="32">
        <f>SUM(H82:H93)</f>
        <v>-79169657.889999986</v>
      </c>
      <c r="I94" s="103"/>
      <c r="J94" s="32">
        <f>SUM(J82:J93)</f>
        <v>-28628402.99000001</v>
      </c>
      <c r="K94" s="103"/>
      <c r="L94" s="32">
        <f>SUM(L82:L93)</f>
        <v>3964520211.1800003</v>
      </c>
    </row>
    <row r="95" spans="1:12" x14ac:dyDescent="0.2">
      <c r="B95" s="26"/>
      <c r="C95" s="103"/>
      <c r="D95" s="26"/>
      <c r="E95" s="103"/>
      <c r="F95" s="26"/>
      <c r="G95" s="103"/>
      <c r="H95" s="26"/>
      <c r="I95" s="103"/>
      <c r="J95" s="26"/>
      <c r="K95" s="103"/>
      <c r="L95" s="26"/>
    </row>
    <row r="96" spans="1:12" x14ac:dyDescent="0.2">
      <c r="A96" s="12" t="s">
        <v>18</v>
      </c>
      <c r="B96" s="26"/>
      <c r="C96" s="103"/>
      <c r="D96" s="26"/>
      <c r="E96" s="103"/>
      <c r="F96" s="26"/>
      <c r="G96" s="103"/>
      <c r="H96" s="26"/>
      <c r="I96" s="103"/>
      <c r="J96" s="26"/>
      <c r="K96" s="103"/>
      <c r="L96" s="26"/>
    </row>
    <row r="97" spans="1:12" x14ac:dyDescent="0.2">
      <c r="A97" s="43" t="s">
        <v>3325</v>
      </c>
      <c r="B97" s="26">
        <v>27309924.549999997</v>
      </c>
      <c r="C97" s="103"/>
      <c r="D97" s="19">
        <v>0</v>
      </c>
      <c r="E97" s="103"/>
      <c r="F97" s="19">
        <v>0</v>
      </c>
      <c r="G97" s="103"/>
      <c r="H97" s="19">
        <v>0</v>
      </c>
      <c r="I97" s="103"/>
      <c r="J97" s="26">
        <f t="shared" ref="J97:J110" si="10">H97+F97+D97</f>
        <v>0</v>
      </c>
      <c r="K97" s="103"/>
      <c r="L97" s="26">
        <f t="shared" ref="L97:L110" si="11">J97+B97</f>
        <v>27309924.549999997</v>
      </c>
    </row>
    <row r="98" spans="1:12" x14ac:dyDescent="0.2">
      <c r="A98" s="43" t="s">
        <v>3326</v>
      </c>
      <c r="B98" s="26">
        <v>2314569.5699999998</v>
      </c>
      <c r="C98" s="103"/>
      <c r="D98" s="19">
        <v>0</v>
      </c>
      <c r="E98" s="103"/>
      <c r="F98" s="19">
        <v>0</v>
      </c>
      <c r="G98" s="103"/>
      <c r="H98" s="19">
        <v>0</v>
      </c>
      <c r="I98" s="103"/>
      <c r="J98" s="26">
        <f t="shared" si="10"/>
        <v>0</v>
      </c>
      <c r="K98" s="103"/>
      <c r="L98" s="26">
        <f t="shared" si="11"/>
        <v>2314569.5699999998</v>
      </c>
    </row>
    <row r="99" spans="1:12" x14ac:dyDescent="0.2">
      <c r="A99" s="43" t="s">
        <v>3327</v>
      </c>
      <c r="B99" s="26">
        <v>23291804.630000003</v>
      </c>
      <c r="C99" s="103"/>
      <c r="D99" s="19">
        <v>3511510.16</v>
      </c>
      <c r="E99" s="103"/>
      <c r="F99" s="19">
        <v>-173163.93</v>
      </c>
      <c r="G99" s="103"/>
      <c r="H99" s="19">
        <v>-4946.97</v>
      </c>
      <c r="I99" s="103"/>
      <c r="J99" s="26">
        <f t="shared" si="10"/>
        <v>3333399.2600000002</v>
      </c>
      <c r="K99" s="103"/>
      <c r="L99" s="26">
        <f t="shared" si="11"/>
        <v>26625203.890000004</v>
      </c>
    </row>
    <row r="100" spans="1:12" x14ac:dyDescent="0.2">
      <c r="A100" s="43" t="s">
        <v>3328</v>
      </c>
      <c r="B100" s="26">
        <v>193226.00999999992</v>
      </c>
      <c r="C100" s="103"/>
      <c r="D100" s="19">
        <v>0</v>
      </c>
      <c r="E100" s="103"/>
      <c r="F100" s="19">
        <v>0</v>
      </c>
      <c r="G100" s="103"/>
      <c r="H100" s="19">
        <v>0</v>
      </c>
      <c r="I100" s="103"/>
      <c r="J100" s="26">
        <f t="shared" si="10"/>
        <v>0</v>
      </c>
      <c r="K100" s="103"/>
      <c r="L100" s="26">
        <f t="shared" si="11"/>
        <v>193226.00999999992</v>
      </c>
    </row>
    <row r="101" spans="1:12" x14ac:dyDescent="0.2">
      <c r="A101" s="43" t="s">
        <v>3329</v>
      </c>
      <c r="B101" s="26">
        <v>225868750.61999997</v>
      </c>
      <c r="C101" s="103"/>
      <c r="D101" s="19">
        <v>14959160.48</v>
      </c>
      <c r="E101" s="103"/>
      <c r="F101" s="19">
        <v>-2119855.21</v>
      </c>
      <c r="G101" s="103"/>
      <c r="H101" s="19">
        <v>158477.37</v>
      </c>
      <c r="I101" s="103"/>
      <c r="J101" s="26">
        <f t="shared" si="10"/>
        <v>12997782.640000001</v>
      </c>
      <c r="K101" s="103"/>
      <c r="L101" s="26">
        <f t="shared" si="11"/>
        <v>238866533.25999999</v>
      </c>
    </row>
    <row r="102" spans="1:12" x14ac:dyDescent="0.2">
      <c r="A102" s="43" t="s">
        <v>3330</v>
      </c>
      <c r="B102" s="26">
        <v>0</v>
      </c>
      <c r="C102" s="103"/>
      <c r="D102" s="19">
        <v>0</v>
      </c>
      <c r="E102" s="103"/>
      <c r="F102" s="19">
        <v>0</v>
      </c>
      <c r="G102" s="103"/>
      <c r="H102" s="19">
        <v>0</v>
      </c>
      <c r="I102" s="103"/>
      <c r="J102" s="26">
        <f t="shared" si="10"/>
        <v>0</v>
      </c>
      <c r="K102" s="103"/>
      <c r="L102" s="26">
        <f t="shared" si="11"/>
        <v>0</v>
      </c>
    </row>
    <row r="103" spans="1:12" x14ac:dyDescent="0.2">
      <c r="A103" s="43" t="s">
        <v>3331</v>
      </c>
      <c r="B103" s="26">
        <v>6568060.2699999996</v>
      </c>
      <c r="C103" s="103"/>
      <c r="D103" s="19">
        <v>0</v>
      </c>
      <c r="E103" s="103"/>
      <c r="F103" s="19">
        <v>-26900.38</v>
      </c>
      <c r="G103" s="103"/>
      <c r="H103" s="19">
        <v>0</v>
      </c>
      <c r="I103" s="103"/>
      <c r="J103" s="26">
        <f t="shared" si="10"/>
        <v>-26900.38</v>
      </c>
      <c r="K103" s="103"/>
      <c r="L103" s="26">
        <f t="shared" si="11"/>
        <v>6541159.8899999997</v>
      </c>
    </row>
    <row r="104" spans="1:12" x14ac:dyDescent="0.2">
      <c r="A104" s="43" t="s">
        <v>3332</v>
      </c>
      <c r="B104" s="26">
        <v>69186344.36999999</v>
      </c>
      <c r="C104" s="103"/>
      <c r="D104" s="19">
        <v>123419.3</v>
      </c>
      <c r="E104" s="103"/>
      <c r="F104" s="19">
        <v>-32164.05</v>
      </c>
      <c r="G104" s="103"/>
      <c r="H104" s="19">
        <v>0</v>
      </c>
      <c r="I104" s="103"/>
      <c r="J104" s="26">
        <f t="shared" si="10"/>
        <v>91255.25</v>
      </c>
      <c r="K104" s="103"/>
      <c r="L104" s="26">
        <f t="shared" si="11"/>
        <v>69277599.61999999</v>
      </c>
    </row>
    <row r="105" spans="1:12" x14ac:dyDescent="0.2">
      <c r="A105" s="43" t="s">
        <v>3333</v>
      </c>
      <c r="B105" s="26">
        <v>203331027.35000002</v>
      </c>
      <c r="C105" s="103"/>
      <c r="D105" s="19">
        <v>23520417.809999999</v>
      </c>
      <c r="E105" s="103"/>
      <c r="F105" s="19">
        <v>-2551603.0299999998</v>
      </c>
      <c r="G105" s="103"/>
      <c r="H105" s="19">
        <v>-84611.839999999997</v>
      </c>
      <c r="I105" s="103"/>
      <c r="J105" s="26">
        <f t="shared" si="10"/>
        <v>20884202.939999998</v>
      </c>
      <c r="K105" s="103"/>
      <c r="L105" s="26">
        <f t="shared" si="11"/>
        <v>224215230.29000002</v>
      </c>
    </row>
    <row r="106" spans="1:12" x14ac:dyDescent="0.2">
      <c r="A106" s="43" t="s">
        <v>3334</v>
      </c>
      <c r="B106" s="26">
        <v>153700601.32999998</v>
      </c>
      <c r="C106" s="103"/>
      <c r="D106" s="19">
        <v>5311577.03</v>
      </c>
      <c r="E106" s="103"/>
      <c r="F106" s="19">
        <v>-2088032.8</v>
      </c>
      <c r="G106" s="103"/>
      <c r="H106" s="19">
        <v>0</v>
      </c>
      <c r="I106" s="103"/>
      <c r="J106" s="26">
        <f t="shared" si="10"/>
        <v>3223544.2300000004</v>
      </c>
      <c r="K106" s="103"/>
      <c r="L106" s="26">
        <f t="shared" si="11"/>
        <v>156924145.55999997</v>
      </c>
    </row>
    <row r="107" spans="1:12" x14ac:dyDescent="0.2">
      <c r="A107" s="43" t="s">
        <v>3335</v>
      </c>
      <c r="B107" s="26">
        <v>448760.26</v>
      </c>
      <c r="C107" s="103"/>
      <c r="D107" s="19">
        <v>0</v>
      </c>
      <c r="E107" s="103"/>
      <c r="F107" s="19">
        <v>0</v>
      </c>
      <c r="G107" s="103"/>
      <c r="H107" s="19">
        <v>0</v>
      </c>
      <c r="I107" s="103"/>
      <c r="J107" s="26">
        <f t="shared" si="10"/>
        <v>0</v>
      </c>
      <c r="K107" s="103"/>
      <c r="L107" s="26">
        <f t="shared" si="11"/>
        <v>448760.26</v>
      </c>
    </row>
    <row r="108" spans="1:12" x14ac:dyDescent="0.2">
      <c r="A108" s="43" t="s">
        <v>3336</v>
      </c>
      <c r="B108" s="26">
        <v>1173303.32</v>
      </c>
      <c r="C108" s="103"/>
      <c r="D108" s="19">
        <v>1730.09</v>
      </c>
      <c r="E108" s="103"/>
      <c r="F108" s="19">
        <v>-2412.09</v>
      </c>
      <c r="G108" s="103"/>
      <c r="H108" s="19">
        <v>-54177.15</v>
      </c>
      <c r="I108" s="103"/>
      <c r="J108" s="26">
        <f t="shared" si="10"/>
        <v>-54859.150000000009</v>
      </c>
      <c r="K108" s="103"/>
      <c r="L108" s="26">
        <f t="shared" si="11"/>
        <v>1118444.1700000002</v>
      </c>
    </row>
    <row r="109" spans="1:12" x14ac:dyDescent="0.2">
      <c r="A109" s="43" t="s">
        <v>3337</v>
      </c>
      <c r="B109" s="26">
        <v>52117.709999999985</v>
      </c>
      <c r="C109" s="103"/>
      <c r="D109" s="19">
        <v>0</v>
      </c>
      <c r="E109" s="103"/>
      <c r="F109" s="19">
        <v>0</v>
      </c>
      <c r="G109" s="103"/>
      <c r="H109" s="19">
        <v>32711.919999999998</v>
      </c>
      <c r="I109" s="103"/>
      <c r="J109" s="26">
        <f t="shared" si="10"/>
        <v>32711.919999999998</v>
      </c>
      <c r="K109" s="103"/>
      <c r="L109" s="26">
        <f t="shared" si="11"/>
        <v>84829.629999999976</v>
      </c>
    </row>
    <row r="110" spans="1:12" x14ac:dyDescent="0.2">
      <c r="A110" s="43" t="s">
        <v>3338</v>
      </c>
      <c r="B110" s="27">
        <v>361332.92</v>
      </c>
      <c r="C110" s="103"/>
      <c r="D110" s="19">
        <v>0</v>
      </c>
      <c r="E110" s="103"/>
      <c r="F110" s="19">
        <v>0</v>
      </c>
      <c r="G110" s="103"/>
      <c r="H110" s="19">
        <v>122519.28</v>
      </c>
      <c r="I110" s="103"/>
      <c r="J110" s="27">
        <f t="shared" si="10"/>
        <v>122519.28</v>
      </c>
      <c r="K110" s="103"/>
      <c r="L110" s="27">
        <f t="shared" si="11"/>
        <v>483852.19999999995</v>
      </c>
    </row>
    <row r="111" spans="1:12" x14ac:dyDescent="0.2">
      <c r="B111" s="26">
        <f>SUM(B97:B110)</f>
        <v>713799822.91000009</v>
      </c>
      <c r="C111" s="103"/>
      <c r="D111" s="32">
        <f>SUM(D97:D110)</f>
        <v>47427814.870000005</v>
      </c>
      <c r="E111" s="103"/>
      <c r="F111" s="32">
        <f>SUM(F97:F110)</f>
        <v>-6994131.4899999993</v>
      </c>
      <c r="G111" s="103"/>
      <c r="H111" s="32">
        <f>SUM(H97:H110)</f>
        <v>169972.61</v>
      </c>
      <c r="I111" s="103"/>
      <c r="J111" s="26">
        <f>SUM(J97:J110)</f>
        <v>40603655.990000002</v>
      </c>
      <c r="K111" s="103"/>
      <c r="L111" s="26">
        <f>SUM(L97:L110)</f>
        <v>754403478.89999986</v>
      </c>
    </row>
    <row r="112" spans="1:12" x14ac:dyDescent="0.2">
      <c r="B112" s="26"/>
      <c r="C112" s="104"/>
      <c r="D112" s="26"/>
      <c r="E112" s="104"/>
      <c r="F112" s="26"/>
      <c r="G112" s="104"/>
      <c r="H112" s="26"/>
      <c r="I112" s="104"/>
      <c r="J112" s="26"/>
      <c r="K112" s="104"/>
      <c r="L112" s="26"/>
    </row>
    <row r="113" spans="1:14" x14ac:dyDescent="0.2">
      <c r="C113" s="104"/>
      <c r="E113" s="104"/>
      <c r="G113" s="104"/>
      <c r="I113" s="104"/>
      <c r="K113" s="104"/>
    </row>
    <row r="114" spans="1:14" x14ac:dyDescent="0.2">
      <c r="A114" s="12" t="s">
        <v>3339</v>
      </c>
      <c r="B114" s="31">
        <f>B111+B94+B79+B65+B58+B47+B27</f>
        <v>7081743868.5</v>
      </c>
      <c r="C114" s="103"/>
      <c r="D114" s="31">
        <f>D111+D94+D79+D65+D58+D47+D27</f>
        <v>641215669.17999995</v>
      </c>
      <c r="E114" s="103"/>
      <c r="F114" s="31">
        <f>F111+F94+F79+F65+F58+F47+F27</f>
        <v>-59301553.299999997</v>
      </c>
      <c r="G114" s="103"/>
      <c r="H114" s="31">
        <f>H111+H94+H79+H65+H58+H47+H27</f>
        <v>-78659592.389999986</v>
      </c>
      <c r="I114" s="103"/>
      <c r="J114" s="31">
        <f>J111+J94+J79+J65+J58+J47+J27</f>
        <v>503254523.49000001</v>
      </c>
      <c r="K114" s="103"/>
      <c r="L114" s="31">
        <f>L111+L94+L79+L65+L58+L47+L27</f>
        <v>7584998391.9899998</v>
      </c>
    </row>
    <row r="115" spans="1:14" x14ac:dyDescent="0.2">
      <c r="A115" s="12"/>
      <c r="B115" s="26"/>
      <c r="C115" s="103"/>
      <c r="D115" s="26"/>
      <c r="E115" s="103"/>
      <c r="F115" s="26"/>
      <c r="G115" s="103"/>
      <c r="H115" s="26"/>
      <c r="I115" s="103"/>
      <c r="J115" s="26"/>
      <c r="K115" s="103"/>
      <c r="L115" s="26"/>
    </row>
    <row r="116" spans="1:14" x14ac:dyDescent="0.2">
      <c r="C116" s="104"/>
      <c r="E116" s="104"/>
      <c r="G116" s="104"/>
      <c r="I116" s="104"/>
      <c r="K116" s="104"/>
    </row>
    <row r="117" spans="1:14" x14ac:dyDescent="0.2">
      <c r="A117" s="12" t="s">
        <v>3245</v>
      </c>
      <c r="C117" s="104"/>
      <c r="E117" s="104"/>
      <c r="G117" s="104"/>
      <c r="I117" s="104"/>
      <c r="K117" s="104"/>
    </row>
    <row r="118" spans="1:14" x14ac:dyDescent="0.2">
      <c r="A118" s="12" t="s">
        <v>12</v>
      </c>
      <c r="C118" s="104"/>
      <c r="E118" s="104"/>
      <c r="G118" s="104"/>
      <c r="I118" s="104"/>
      <c r="K118" s="104"/>
    </row>
    <row r="119" spans="1:14" x14ac:dyDescent="0.2">
      <c r="A119" s="3" t="s">
        <v>3340</v>
      </c>
      <c r="B119" s="19">
        <v>0</v>
      </c>
      <c r="C119" s="104"/>
      <c r="D119" s="19">
        <v>0</v>
      </c>
      <c r="E119" s="104"/>
      <c r="F119" s="19">
        <v>0</v>
      </c>
      <c r="G119" s="104"/>
      <c r="H119" s="19">
        <v>0</v>
      </c>
      <c r="I119" s="104"/>
      <c r="J119" s="19">
        <f t="shared" ref="J119:J130" si="12">H119+F119+D119</f>
        <v>0</v>
      </c>
      <c r="K119" s="104"/>
      <c r="L119" s="19">
        <f t="shared" ref="L119:L130" si="13">J119+B119</f>
        <v>0</v>
      </c>
    </row>
    <row r="120" spans="1:14" x14ac:dyDescent="0.2">
      <c r="A120" s="3" t="s">
        <v>3341</v>
      </c>
      <c r="B120" s="19">
        <v>169123.63000000003</v>
      </c>
      <c r="C120" s="104"/>
      <c r="D120" s="19">
        <v>1683051.07</v>
      </c>
      <c r="E120" s="104"/>
      <c r="F120" s="19">
        <v>0</v>
      </c>
      <c r="G120" s="104"/>
      <c r="H120" s="19">
        <v>0</v>
      </c>
      <c r="I120" s="104"/>
      <c r="J120" s="19">
        <f t="shared" si="12"/>
        <v>1683051.07</v>
      </c>
      <c r="K120" s="104"/>
      <c r="L120" s="19">
        <f t="shared" si="13"/>
        <v>1852174.7000000002</v>
      </c>
    </row>
    <row r="121" spans="1:14" x14ac:dyDescent="0.2">
      <c r="A121" s="3" t="s">
        <v>3342</v>
      </c>
      <c r="B121" s="19">
        <v>2501826.2200000007</v>
      </c>
      <c r="C121" s="104"/>
      <c r="D121" s="19">
        <v>9486906.2899999991</v>
      </c>
      <c r="E121" s="104"/>
      <c r="F121" s="19">
        <v>0</v>
      </c>
      <c r="G121" s="104"/>
      <c r="H121" s="19">
        <v>0</v>
      </c>
      <c r="I121" s="104"/>
      <c r="J121" s="19">
        <f t="shared" si="12"/>
        <v>9486906.2899999991</v>
      </c>
      <c r="K121" s="104"/>
      <c r="L121" s="19">
        <f t="shared" si="13"/>
        <v>11988732.51</v>
      </c>
    </row>
    <row r="122" spans="1:14" x14ac:dyDescent="0.2">
      <c r="A122" s="3" t="s">
        <v>3343</v>
      </c>
      <c r="B122" s="19">
        <v>7317180.2200000007</v>
      </c>
      <c r="C122" s="104"/>
      <c r="D122" s="19">
        <v>5165082.5599999996</v>
      </c>
      <c r="E122" s="104"/>
      <c r="F122" s="19">
        <v>0</v>
      </c>
      <c r="G122" s="104"/>
      <c r="H122" s="19">
        <v>0</v>
      </c>
      <c r="I122" s="104"/>
      <c r="J122" s="19">
        <f t="shared" si="12"/>
        <v>5165082.5599999996</v>
      </c>
      <c r="K122" s="104"/>
      <c r="L122" s="19">
        <f t="shared" si="13"/>
        <v>12482262.780000001</v>
      </c>
    </row>
    <row r="123" spans="1:14" x14ac:dyDescent="0.2">
      <c r="A123" s="3" t="s">
        <v>3344</v>
      </c>
      <c r="B123" s="19">
        <v>8657174.4299999997</v>
      </c>
      <c r="C123" s="104"/>
      <c r="D123" s="19">
        <v>6101897.7199999997</v>
      </c>
      <c r="E123" s="104"/>
      <c r="F123" s="19">
        <v>0</v>
      </c>
      <c r="G123" s="104"/>
      <c r="H123" s="19">
        <v>0</v>
      </c>
      <c r="I123" s="104"/>
      <c r="J123" s="19">
        <f t="shared" si="12"/>
        <v>6101897.7199999997</v>
      </c>
      <c r="K123" s="104"/>
      <c r="L123" s="19">
        <f t="shared" si="13"/>
        <v>14759072.149999999</v>
      </c>
    </row>
    <row r="124" spans="1:14" x14ac:dyDescent="0.2">
      <c r="A124" s="3" t="s">
        <v>3345</v>
      </c>
      <c r="B124" s="19">
        <v>171002.52</v>
      </c>
      <c r="C124" s="104"/>
      <c r="D124" s="19">
        <v>29793.25</v>
      </c>
      <c r="E124" s="104"/>
      <c r="F124" s="19">
        <v>0</v>
      </c>
      <c r="G124" s="104"/>
      <c r="H124" s="19">
        <v>0</v>
      </c>
      <c r="I124" s="104"/>
      <c r="J124" s="19">
        <f t="shared" si="12"/>
        <v>29793.25</v>
      </c>
      <c r="K124" s="104"/>
      <c r="L124" s="19">
        <f t="shared" si="13"/>
        <v>200795.77</v>
      </c>
    </row>
    <row r="125" spans="1:14" x14ac:dyDescent="0.2">
      <c r="A125" s="3" t="s">
        <v>3346</v>
      </c>
      <c r="B125" s="26">
        <v>6077240.3199999984</v>
      </c>
      <c r="C125" s="103"/>
      <c r="D125" s="19">
        <v>2988967.45</v>
      </c>
      <c r="E125" s="103"/>
      <c r="F125" s="19">
        <v>0</v>
      </c>
      <c r="G125" s="103"/>
      <c r="H125" s="19">
        <v>0</v>
      </c>
      <c r="I125" s="103"/>
      <c r="J125" s="26">
        <f t="shared" si="12"/>
        <v>2988967.45</v>
      </c>
      <c r="K125" s="103"/>
      <c r="L125" s="26">
        <f t="shared" si="13"/>
        <v>9066207.7699999996</v>
      </c>
      <c r="M125" s="59"/>
    </row>
    <row r="126" spans="1:14" x14ac:dyDescent="0.2">
      <c r="A126" s="3" t="s">
        <v>3347</v>
      </c>
      <c r="B126" s="26">
        <v>1159816.8099999994</v>
      </c>
      <c r="C126" s="103"/>
      <c r="D126" s="19">
        <v>2251004.15</v>
      </c>
      <c r="E126" s="103"/>
      <c r="F126" s="19">
        <v>0</v>
      </c>
      <c r="G126" s="103"/>
      <c r="H126" s="19">
        <v>0</v>
      </c>
      <c r="I126" s="103"/>
      <c r="J126" s="26">
        <f t="shared" si="12"/>
        <v>2251004.15</v>
      </c>
      <c r="K126" s="103"/>
      <c r="L126" s="26">
        <f t="shared" si="13"/>
        <v>3410820.959999999</v>
      </c>
      <c r="M126" s="59"/>
    </row>
    <row r="127" spans="1:14" x14ac:dyDescent="0.2">
      <c r="A127" s="3" t="s">
        <v>3348</v>
      </c>
      <c r="B127" s="26">
        <v>196740.34</v>
      </c>
      <c r="C127" s="103"/>
      <c r="D127" s="19">
        <v>662.89</v>
      </c>
      <c r="E127" s="103"/>
      <c r="F127" s="19">
        <v>0</v>
      </c>
      <c r="G127" s="103"/>
      <c r="H127" s="19">
        <v>0</v>
      </c>
      <c r="I127" s="103"/>
      <c r="J127" s="26">
        <f t="shared" si="12"/>
        <v>662.89</v>
      </c>
      <c r="K127" s="103"/>
      <c r="L127" s="26">
        <f t="shared" si="13"/>
        <v>197403.23</v>
      </c>
      <c r="M127" s="59"/>
      <c r="N127" s="15"/>
    </row>
    <row r="128" spans="1:14" x14ac:dyDescent="0.2">
      <c r="A128" s="43" t="s">
        <v>3349</v>
      </c>
      <c r="B128" s="26">
        <v>384179.95</v>
      </c>
      <c r="C128" s="103"/>
      <c r="D128" s="19">
        <v>42824.68</v>
      </c>
      <c r="E128" s="103"/>
      <c r="F128" s="19">
        <v>0</v>
      </c>
      <c r="G128" s="103"/>
      <c r="H128" s="19">
        <v>0</v>
      </c>
      <c r="I128" s="103"/>
      <c r="J128" s="26">
        <f t="shared" si="12"/>
        <v>42824.68</v>
      </c>
      <c r="K128" s="103"/>
      <c r="L128" s="26">
        <f t="shared" si="13"/>
        <v>427004.63</v>
      </c>
      <c r="M128" s="59"/>
    </row>
    <row r="129" spans="1:13" x14ac:dyDescent="0.2">
      <c r="A129" s="43" t="s">
        <v>3350</v>
      </c>
      <c r="B129" s="26">
        <v>698893.34</v>
      </c>
      <c r="C129" s="103"/>
      <c r="D129" s="19">
        <v>-651481.02</v>
      </c>
      <c r="E129" s="103"/>
      <c r="F129" s="19">
        <v>0</v>
      </c>
      <c r="G129" s="103"/>
      <c r="H129" s="19">
        <v>0</v>
      </c>
      <c r="I129" s="103"/>
      <c r="J129" s="26">
        <f t="shared" si="12"/>
        <v>-651481.02</v>
      </c>
      <c r="K129" s="103"/>
      <c r="L129" s="26">
        <f t="shared" si="13"/>
        <v>47412.319999999949</v>
      </c>
      <c r="M129" s="59"/>
    </row>
    <row r="130" spans="1:13" x14ac:dyDescent="0.2">
      <c r="A130" s="3" t="s">
        <v>3351</v>
      </c>
      <c r="B130" s="27">
        <v>2282449.5900000045</v>
      </c>
      <c r="C130" s="103"/>
      <c r="D130" s="19">
        <v>3094219.27</v>
      </c>
      <c r="E130" s="103"/>
      <c r="F130" s="19">
        <v>0</v>
      </c>
      <c r="G130" s="103"/>
      <c r="H130" s="19">
        <v>0</v>
      </c>
      <c r="I130" s="103"/>
      <c r="J130" s="27">
        <f t="shared" si="12"/>
        <v>3094219.27</v>
      </c>
      <c r="K130" s="103"/>
      <c r="L130" s="27">
        <f t="shared" si="13"/>
        <v>5376668.860000005</v>
      </c>
      <c r="M130" s="59"/>
    </row>
    <row r="131" spans="1:13" x14ac:dyDescent="0.2">
      <c r="B131" s="26">
        <f>SUM(B119:B130)</f>
        <v>29615627.369999997</v>
      </c>
      <c r="C131" s="103"/>
      <c r="D131" s="32">
        <f>SUM(D119:D130)</f>
        <v>30192928.309999995</v>
      </c>
      <c r="E131" s="103"/>
      <c r="F131" s="32">
        <f>SUM(F119:F130)</f>
        <v>0</v>
      </c>
      <c r="G131" s="103"/>
      <c r="H131" s="32">
        <f>SUM(H119:H130)</f>
        <v>0</v>
      </c>
      <c r="I131" s="103"/>
      <c r="J131" s="26">
        <f>SUM(J119:J130)</f>
        <v>30192928.309999995</v>
      </c>
      <c r="K131" s="103"/>
      <c r="L131" s="26">
        <f>SUM(L119:L130)</f>
        <v>59808555.680000015</v>
      </c>
      <c r="M131" s="59"/>
    </row>
    <row r="132" spans="1:13" x14ac:dyDescent="0.2">
      <c r="B132" s="26"/>
      <c r="C132" s="103"/>
      <c r="D132" s="26"/>
      <c r="E132" s="103"/>
      <c r="F132" s="26"/>
      <c r="G132" s="103"/>
      <c r="H132" s="26"/>
      <c r="I132" s="103"/>
      <c r="J132" s="26"/>
      <c r="K132" s="103"/>
      <c r="L132" s="26"/>
      <c r="M132" s="59"/>
    </row>
    <row r="133" spans="1:13" x14ac:dyDescent="0.2">
      <c r="A133" s="12" t="s">
        <v>13</v>
      </c>
      <c r="B133" s="26"/>
      <c r="C133" s="103"/>
      <c r="D133" s="26"/>
      <c r="E133" s="103"/>
      <c r="F133" s="26"/>
      <c r="G133" s="103"/>
      <c r="H133" s="26"/>
      <c r="I133" s="103"/>
      <c r="J133" s="26"/>
      <c r="K133" s="103"/>
      <c r="L133" s="26"/>
      <c r="M133" s="59"/>
    </row>
    <row r="134" spans="1:13" x14ac:dyDescent="0.2">
      <c r="A134" s="3" t="s">
        <v>3352</v>
      </c>
      <c r="B134" s="26">
        <v>2409627.0700000003</v>
      </c>
      <c r="C134" s="103"/>
      <c r="D134" s="19">
        <v>-1461257.38</v>
      </c>
      <c r="E134" s="103"/>
      <c r="F134" s="19">
        <v>0</v>
      </c>
      <c r="G134" s="103"/>
      <c r="H134" s="19">
        <v>0</v>
      </c>
      <c r="I134" s="103"/>
      <c r="J134" s="26">
        <f t="shared" ref="J134:J144" si="14">H134+F134+D134</f>
        <v>-1461257.38</v>
      </c>
      <c r="K134" s="103"/>
      <c r="L134" s="26">
        <f t="shared" ref="L134:L144" si="15">J134+B134</f>
        <v>948369.69000000041</v>
      </c>
      <c r="M134" s="59"/>
    </row>
    <row r="135" spans="1:13" x14ac:dyDescent="0.2">
      <c r="A135" s="3" t="s">
        <v>3353</v>
      </c>
      <c r="B135" s="26">
        <v>215748.85000000003</v>
      </c>
      <c r="C135" s="103"/>
      <c r="D135" s="19">
        <v>538719.19999999995</v>
      </c>
      <c r="E135" s="103"/>
      <c r="F135" s="19">
        <v>0</v>
      </c>
      <c r="G135" s="103"/>
      <c r="H135" s="19">
        <v>0</v>
      </c>
      <c r="I135" s="103"/>
      <c r="J135" s="26">
        <f t="shared" si="14"/>
        <v>538719.19999999995</v>
      </c>
      <c r="K135" s="103"/>
      <c r="L135" s="26">
        <f t="shared" si="15"/>
        <v>754468.05</v>
      </c>
      <c r="M135" s="59"/>
    </row>
    <row r="136" spans="1:13" x14ac:dyDescent="0.2">
      <c r="A136" s="3" t="s">
        <v>3354</v>
      </c>
      <c r="B136" s="26">
        <v>5069982.9699999988</v>
      </c>
      <c r="C136" s="103"/>
      <c r="D136" s="19">
        <v>-205048.39</v>
      </c>
      <c r="E136" s="103"/>
      <c r="F136" s="19">
        <v>0</v>
      </c>
      <c r="G136" s="103"/>
      <c r="H136" s="19">
        <v>0</v>
      </c>
      <c r="I136" s="103"/>
      <c r="J136" s="26">
        <f t="shared" si="14"/>
        <v>-205048.39</v>
      </c>
      <c r="K136" s="103"/>
      <c r="L136" s="26">
        <f t="shared" si="15"/>
        <v>4864934.5799999991</v>
      </c>
      <c r="M136" s="59"/>
    </row>
    <row r="137" spans="1:13" x14ac:dyDescent="0.2">
      <c r="A137" s="3" t="s">
        <v>3355</v>
      </c>
      <c r="B137" s="26">
        <v>0</v>
      </c>
      <c r="C137" s="103"/>
      <c r="D137" s="19">
        <v>0</v>
      </c>
      <c r="E137" s="103"/>
      <c r="F137" s="19">
        <v>0</v>
      </c>
      <c r="G137" s="103"/>
      <c r="H137" s="19">
        <v>0</v>
      </c>
      <c r="I137" s="103"/>
      <c r="J137" s="26">
        <f>H137+F137+D137</f>
        <v>0</v>
      </c>
      <c r="K137" s="103"/>
      <c r="L137" s="26">
        <f>J137+B137</f>
        <v>0</v>
      </c>
      <c r="M137" s="59"/>
    </row>
    <row r="138" spans="1:13" x14ac:dyDescent="0.2">
      <c r="A138" s="3" t="s">
        <v>3356</v>
      </c>
      <c r="B138" s="26">
        <v>1044097.87</v>
      </c>
      <c r="C138" s="103"/>
      <c r="D138" s="19">
        <v>-986146.26</v>
      </c>
      <c r="E138" s="103"/>
      <c r="F138" s="19">
        <v>0</v>
      </c>
      <c r="G138" s="103"/>
      <c r="H138" s="19">
        <v>0</v>
      </c>
      <c r="I138" s="103"/>
      <c r="J138" s="26">
        <f t="shared" si="14"/>
        <v>-986146.26</v>
      </c>
      <c r="K138" s="103"/>
      <c r="L138" s="26">
        <f t="shared" si="15"/>
        <v>57951.609999999986</v>
      </c>
      <c r="M138" s="59"/>
    </row>
    <row r="139" spans="1:13" x14ac:dyDescent="0.2">
      <c r="A139" s="3" t="s">
        <v>3357</v>
      </c>
      <c r="B139" s="26">
        <v>598593.69999999995</v>
      </c>
      <c r="C139" s="103"/>
      <c r="D139" s="19">
        <v>-598593.69999999995</v>
      </c>
      <c r="E139" s="103"/>
      <c r="F139" s="19">
        <v>0</v>
      </c>
      <c r="G139" s="103"/>
      <c r="H139" s="19">
        <v>0</v>
      </c>
      <c r="I139" s="103"/>
      <c r="J139" s="26">
        <f t="shared" si="14"/>
        <v>-598593.69999999995</v>
      </c>
      <c r="K139" s="103"/>
      <c r="L139" s="26">
        <f t="shared" si="15"/>
        <v>0</v>
      </c>
      <c r="M139" s="59"/>
    </row>
    <row r="140" spans="1:13" x14ac:dyDescent="0.2">
      <c r="A140" s="3" t="s">
        <v>3358</v>
      </c>
      <c r="B140" s="26">
        <v>404833.66000000003</v>
      </c>
      <c r="C140" s="103"/>
      <c r="D140" s="19">
        <v>-151592.46</v>
      </c>
      <c r="E140" s="103"/>
      <c r="F140" s="19">
        <v>0</v>
      </c>
      <c r="G140" s="103"/>
      <c r="H140" s="19">
        <v>0</v>
      </c>
      <c r="I140" s="103"/>
      <c r="J140" s="26">
        <f t="shared" si="14"/>
        <v>-151592.46</v>
      </c>
      <c r="K140" s="103"/>
      <c r="L140" s="26">
        <f t="shared" si="15"/>
        <v>253241.20000000004</v>
      </c>
      <c r="M140" s="59"/>
    </row>
    <row r="141" spans="1:13" x14ac:dyDescent="0.2">
      <c r="A141" s="3" t="s">
        <v>3359</v>
      </c>
      <c r="B141" s="26">
        <v>14685.68</v>
      </c>
      <c r="C141" s="103"/>
      <c r="D141" s="19">
        <v>-14685.68</v>
      </c>
      <c r="E141" s="103"/>
      <c r="F141" s="19">
        <v>0</v>
      </c>
      <c r="G141" s="103"/>
      <c r="H141" s="19">
        <v>0</v>
      </c>
      <c r="I141" s="103"/>
      <c r="J141" s="26">
        <f t="shared" si="14"/>
        <v>-14685.68</v>
      </c>
      <c r="K141" s="103"/>
      <c r="L141" s="26">
        <f t="shared" si="15"/>
        <v>0</v>
      </c>
      <c r="M141" s="59"/>
    </row>
    <row r="142" spans="1:13" x14ac:dyDescent="0.2">
      <c r="A142" s="3" t="s">
        <v>3360</v>
      </c>
      <c r="B142" s="26">
        <v>805957.33999999985</v>
      </c>
      <c r="C142" s="103"/>
      <c r="D142" s="19">
        <v>2025269.89</v>
      </c>
      <c r="E142" s="103"/>
      <c r="F142" s="19">
        <v>0</v>
      </c>
      <c r="G142" s="103"/>
      <c r="H142" s="19">
        <v>0</v>
      </c>
      <c r="I142" s="103"/>
      <c r="J142" s="26">
        <f t="shared" si="14"/>
        <v>2025269.89</v>
      </c>
      <c r="K142" s="103"/>
      <c r="L142" s="26">
        <f t="shared" si="15"/>
        <v>2831227.2299999995</v>
      </c>
      <c r="M142" s="59"/>
    </row>
    <row r="143" spans="1:13" x14ac:dyDescent="0.2">
      <c r="A143" s="3" t="s">
        <v>3361</v>
      </c>
      <c r="B143" s="26">
        <v>2752874.88</v>
      </c>
      <c r="C143" s="103"/>
      <c r="D143" s="19">
        <v>-1929306.6</v>
      </c>
      <c r="E143" s="103"/>
      <c r="F143" s="19">
        <v>0</v>
      </c>
      <c r="G143" s="103"/>
      <c r="H143" s="19">
        <v>0</v>
      </c>
      <c r="I143" s="103"/>
      <c r="J143" s="26">
        <f t="shared" si="14"/>
        <v>-1929306.6</v>
      </c>
      <c r="K143" s="103"/>
      <c r="L143" s="26">
        <f t="shared" si="15"/>
        <v>823568.2799999998</v>
      </c>
      <c r="M143" s="59"/>
    </row>
    <row r="144" spans="1:13" x14ac:dyDescent="0.2">
      <c r="A144" s="3" t="s">
        <v>3362</v>
      </c>
      <c r="B144" s="26">
        <v>260815.19</v>
      </c>
      <c r="C144" s="103"/>
      <c r="D144" s="19">
        <v>-97585.56</v>
      </c>
      <c r="E144" s="103"/>
      <c r="F144" s="19">
        <v>0</v>
      </c>
      <c r="G144" s="103"/>
      <c r="H144" s="19">
        <v>0</v>
      </c>
      <c r="I144" s="103"/>
      <c r="J144" s="26">
        <f t="shared" si="14"/>
        <v>-97585.56</v>
      </c>
      <c r="K144" s="103"/>
      <c r="L144" s="26">
        <f t="shared" si="15"/>
        <v>163229.63</v>
      </c>
      <c r="M144" s="59"/>
    </row>
    <row r="145" spans="1:13" x14ac:dyDescent="0.2">
      <c r="B145" s="32">
        <f>SUM(B134:B144)</f>
        <v>13577217.209999995</v>
      </c>
      <c r="C145" s="103"/>
      <c r="D145" s="32">
        <f>SUM(D134:D144)</f>
        <v>-2880226.9400000009</v>
      </c>
      <c r="E145" s="103"/>
      <c r="F145" s="32">
        <f>SUM(F134:F144)</f>
        <v>0</v>
      </c>
      <c r="G145" s="103"/>
      <c r="H145" s="32">
        <f>SUM(H134:H144)</f>
        <v>0</v>
      </c>
      <c r="I145" s="103"/>
      <c r="J145" s="32">
        <f>SUM(J134:J144)</f>
        <v>-2880226.9400000009</v>
      </c>
      <c r="K145" s="103"/>
      <c r="L145" s="32">
        <f>SUM(L134:L144)</f>
        <v>10696990.27</v>
      </c>
      <c r="M145" s="59"/>
    </row>
    <row r="146" spans="1:13" x14ac:dyDescent="0.2">
      <c r="B146" s="26"/>
      <c r="C146" s="103"/>
      <c r="D146" s="26"/>
      <c r="E146" s="103"/>
      <c r="F146" s="26"/>
      <c r="G146" s="103"/>
      <c r="H146" s="26"/>
      <c r="I146" s="103"/>
      <c r="J146" s="26"/>
      <c r="K146" s="103"/>
      <c r="L146" s="26"/>
      <c r="M146" s="59"/>
    </row>
    <row r="147" spans="1:13" x14ac:dyDescent="0.2">
      <c r="A147" s="12" t="s">
        <v>14</v>
      </c>
      <c r="C147" s="104"/>
      <c r="E147" s="104"/>
      <c r="G147" s="104"/>
      <c r="I147" s="104"/>
      <c r="K147" s="104"/>
    </row>
    <row r="148" spans="1:13" x14ac:dyDescent="0.2">
      <c r="A148" s="3" t="s">
        <v>3363</v>
      </c>
      <c r="B148" s="19">
        <v>0</v>
      </c>
      <c r="C148" s="104"/>
      <c r="D148" s="19">
        <v>0</v>
      </c>
      <c r="E148" s="104"/>
      <c r="F148" s="19">
        <v>0</v>
      </c>
      <c r="G148" s="104"/>
      <c r="H148" s="19">
        <v>0</v>
      </c>
      <c r="I148" s="104"/>
      <c r="J148" s="26">
        <f t="shared" ref="J148:J153" si="16">H148+F148+D148</f>
        <v>0</v>
      </c>
      <c r="K148" s="104"/>
      <c r="L148" s="19">
        <f t="shared" ref="L148:L153" si="17">J148+B148</f>
        <v>0</v>
      </c>
    </row>
    <row r="149" spans="1:13" x14ac:dyDescent="0.2">
      <c r="A149" s="3" t="s">
        <v>3364</v>
      </c>
      <c r="B149" s="19">
        <v>34972.15</v>
      </c>
      <c r="C149" s="104"/>
      <c r="D149" s="19">
        <v>-34972.15</v>
      </c>
      <c r="E149" s="104"/>
      <c r="F149" s="19">
        <v>0</v>
      </c>
      <c r="G149" s="104"/>
      <c r="H149" s="19">
        <v>0</v>
      </c>
      <c r="I149" s="104"/>
      <c r="J149" s="26">
        <f t="shared" si="16"/>
        <v>-34972.15</v>
      </c>
      <c r="K149" s="104"/>
      <c r="L149" s="19">
        <f t="shared" si="17"/>
        <v>0</v>
      </c>
    </row>
    <row r="150" spans="1:13" x14ac:dyDescent="0.2">
      <c r="A150" s="3" t="s">
        <v>3365</v>
      </c>
      <c r="B150" s="19">
        <v>326392.84000000078</v>
      </c>
      <c r="C150" s="104"/>
      <c r="D150" s="19">
        <v>-326392.84000000003</v>
      </c>
      <c r="E150" s="104"/>
      <c r="F150" s="19">
        <v>0</v>
      </c>
      <c r="G150" s="104"/>
      <c r="H150" s="19">
        <v>0</v>
      </c>
      <c r="I150" s="104"/>
      <c r="J150" s="26">
        <f t="shared" si="16"/>
        <v>-326392.84000000003</v>
      </c>
      <c r="K150" s="104"/>
      <c r="L150" s="19">
        <f t="shared" si="17"/>
        <v>7.5669959187507629E-10</v>
      </c>
    </row>
    <row r="151" spans="1:13" x14ac:dyDescent="0.2">
      <c r="A151" s="3" t="s">
        <v>3366</v>
      </c>
      <c r="B151" s="19">
        <v>0</v>
      </c>
      <c r="C151" s="104"/>
      <c r="D151" s="19">
        <v>0</v>
      </c>
      <c r="E151" s="104"/>
      <c r="F151" s="19">
        <v>0</v>
      </c>
      <c r="G151" s="104"/>
      <c r="H151" s="19">
        <v>0</v>
      </c>
      <c r="I151" s="104"/>
      <c r="J151" s="26">
        <f t="shared" si="16"/>
        <v>0</v>
      </c>
      <c r="K151" s="104"/>
      <c r="L151" s="19">
        <f t="shared" si="17"/>
        <v>0</v>
      </c>
    </row>
    <row r="152" spans="1:13" x14ac:dyDescent="0.2">
      <c r="A152" s="3" t="s">
        <v>3367</v>
      </c>
      <c r="B152" s="19">
        <v>0</v>
      </c>
      <c r="C152" s="104"/>
      <c r="D152" s="19">
        <v>0</v>
      </c>
      <c r="E152" s="104"/>
      <c r="F152" s="19">
        <v>0</v>
      </c>
      <c r="G152" s="104"/>
      <c r="H152" s="19">
        <v>0</v>
      </c>
      <c r="I152" s="104"/>
      <c r="J152" s="26">
        <f t="shared" si="16"/>
        <v>0</v>
      </c>
      <c r="K152" s="104"/>
      <c r="L152" s="19">
        <f t="shared" si="17"/>
        <v>0</v>
      </c>
    </row>
    <row r="153" spans="1:13" x14ac:dyDescent="0.2">
      <c r="A153" s="3" t="s">
        <v>3368</v>
      </c>
      <c r="B153" s="27">
        <v>8793.34</v>
      </c>
      <c r="C153" s="103"/>
      <c r="D153" s="19">
        <v>-8793.34</v>
      </c>
      <c r="E153" s="103"/>
      <c r="F153" s="19">
        <v>0</v>
      </c>
      <c r="G153" s="103"/>
      <c r="H153" s="19">
        <v>0</v>
      </c>
      <c r="I153" s="103"/>
      <c r="J153" s="27">
        <f t="shared" si="16"/>
        <v>-8793.34</v>
      </c>
      <c r="K153" s="103"/>
      <c r="L153" s="27">
        <f t="shared" si="17"/>
        <v>0</v>
      </c>
      <c r="M153" s="59"/>
    </row>
    <row r="154" spans="1:13" x14ac:dyDescent="0.2">
      <c r="B154" s="26">
        <f>SUM(B148:B153)</f>
        <v>370158.33000000083</v>
      </c>
      <c r="C154" s="103"/>
      <c r="D154" s="32">
        <f>SUM(D148:D153)</f>
        <v>-370158.33000000007</v>
      </c>
      <c r="E154" s="103"/>
      <c r="F154" s="32">
        <f>SUM(F148:F153)</f>
        <v>0</v>
      </c>
      <c r="G154" s="103"/>
      <c r="H154" s="32">
        <f>SUM(H148:H153)</f>
        <v>0</v>
      </c>
      <c r="I154" s="103"/>
      <c r="J154" s="26">
        <f>SUM(J148:J153)</f>
        <v>-370158.33000000007</v>
      </c>
      <c r="K154" s="103"/>
      <c r="L154" s="26">
        <f>SUM(L148:L153)</f>
        <v>7.5669959187507629E-10</v>
      </c>
      <c r="M154" s="59"/>
    </row>
    <row r="155" spans="1:13" x14ac:dyDescent="0.2">
      <c r="B155" s="26"/>
      <c r="C155" s="103"/>
      <c r="D155" s="26"/>
      <c r="E155" s="103"/>
      <c r="F155" s="26"/>
      <c r="G155" s="103"/>
      <c r="H155" s="26"/>
      <c r="I155" s="103"/>
      <c r="J155" s="26"/>
      <c r="K155" s="103"/>
      <c r="L155" s="26"/>
      <c r="M155" s="59"/>
    </row>
    <row r="156" spans="1:13" x14ac:dyDescent="0.2">
      <c r="A156" s="12" t="s">
        <v>15</v>
      </c>
      <c r="B156" s="26"/>
      <c r="C156" s="103"/>
      <c r="D156" s="26"/>
      <c r="E156" s="103"/>
      <c r="F156" s="26"/>
      <c r="G156" s="103"/>
      <c r="H156" s="26"/>
      <c r="I156" s="103"/>
      <c r="J156" s="26"/>
      <c r="K156" s="103"/>
      <c r="L156" s="26"/>
      <c r="M156" s="59"/>
    </row>
    <row r="157" spans="1:13" x14ac:dyDescent="0.2">
      <c r="A157" s="3" t="s">
        <v>3369</v>
      </c>
      <c r="B157" s="26">
        <v>10687955.300000001</v>
      </c>
      <c r="C157" s="103"/>
      <c r="D157" s="19">
        <v>-2400761.4500000002</v>
      </c>
      <c r="E157" s="103"/>
      <c r="F157" s="19">
        <v>0</v>
      </c>
      <c r="G157" s="103"/>
      <c r="H157" s="19">
        <v>0</v>
      </c>
      <c r="I157" s="103"/>
      <c r="J157" s="26">
        <f>H157+F157+D157</f>
        <v>-2400761.4500000002</v>
      </c>
      <c r="K157" s="103"/>
      <c r="L157" s="26">
        <f>J157+B157</f>
        <v>8287193.8500000006</v>
      </c>
      <c r="M157" s="59"/>
    </row>
    <row r="158" spans="1:13" x14ac:dyDescent="0.2">
      <c r="A158" s="3" t="s">
        <v>3370</v>
      </c>
      <c r="B158" s="27">
        <v>0</v>
      </c>
      <c r="C158" s="103"/>
      <c r="D158" s="19">
        <v>0</v>
      </c>
      <c r="E158" s="103"/>
      <c r="F158" s="19">
        <v>0</v>
      </c>
      <c r="G158" s="103"/>
      <c r="H158" s="19">
        <v>0</v>
      </c>
      <c r="I158" s="103"/>
      <c r="J158" s="27">
        <f>H158+F158+D158</f>
        <v>0</v>
      </c>
      <c r="K158" s="103"/>
      <c r="L158" s="27">
        <f>J158+B158</f>
        <v>0</v>
      </c>
      <c r="M158" s="59"/>
    </row>
    <row r="159" spans="1:13" x14ac:dyDescent="0.2">
      <c r="B159" s="26">
        <f>SUM(B157:B158)</f>
        <v>10687955.300000001</v>
      </c>
      <c r="C159" s="103"/>
      <c r="D159" s="32">
        <f>SUM(D157:D158)</f>
        <v>-2400761.4500000002</v>
      </c>
      <c r="E159" s="103"/>
      <c r="F159" s="32">
        <f>SUM(F157)</f>
        <v>0</v>
      </c>
      <c r="G159" s="103"/>
      <c r="H159" s="32">
        <f>SUM(H157)</f>
        <v>0</v>
      </c>
      <c r="I159" s="103"/>
      <c r="J159" s="26">
        <f>SUM(J157:J158)</f>
        <v>-2400761.4500000002</v>
      </c>
      <c r="K159" s="103"/>
      <c r="L159" s="26">
        <f>SUM(L157:L158)</f>
        <v>8287193.8500000006</v>
      </c>
      <c r="M159" s="59"/>
    </row>
    <row r="160" spans="1:13" x14ac:dyDescent="0.2">
      <c r="B160" s="26"/>
      <c r="C160" s="103"/>
      <c r="D160" s="26"/>
      <c r="E160" s="103"/>
      <c r="F160" s="26"/>
      <c r="G160" s="103"/>
      <c r="H160" s="26"/>
      <c r="I160" s="103"/>
      <c r="J160" s="26"/>
      <c r="K160" s="103"/>
      <c r="L160" s="26"/>
      <c r="M160" s="59"/>
    </row>
    <row r="161" spans="1:13" x14ac:dyDescent="0.2">
      <c r="A161" s="12" t="s">
        <v>16</v>
      </c>
      <c r="B161" s="26"/>
      <c r="C161" s="103"/>
      <c r="D161" s="26"/>
      <c r="E161" s="103"/>
      <c r="F161" s="26"/>
      <c r="G161" s="103"/>
      <c r="H161" s="26"/>
      <c r="I161" s="103"/>
      <c r="J161" s="26"/>
      <c r="K161" s="103"/>
      <c r="L161" s="26"/>
      <c r="M161" s="59"/>
    </row>
    <row r="162" spans="1:13" x14ac:dyDescent="0.2">
      <c r="A162" s="3" t="s">
        <v>3371</v>
      </c>
      <c r="B162" s="26">
        <v>47112633.450000003</v>
      </c>
      <c r="C162" s="103"/>
      <c r="D162" s="19">
        <v>-46150760.899999999</v>
      </c>
      <c r="E162" s="103"/>
      <c r="F162" s="19">
        <v>0</v>
      </c>
      <c r="G162" s="103"/>
      <c r="H162" s="19">
        <v>0</v>
      </c>
      <c r="I162" s="103"/>
      <c r="J162" s="26">
        <f t="shared" ref="J162:J167" si="18">H162+F162+D162</f>
        <v>-46150760.899999999</v>
      </c>
      <c r="K162" s="103"/>
      <c r="L162" s="26">
        <f t="shared" ref="L162:L167" si="19">J162+B162</f>
        <v>961872.55000000447</v>
      </c>
      <c r="M162" s="59"/>
    </row>
    <row r="163" spans="1:13" x14ac:dyDescent="0.2">
      <c r="A163" s="3" t="s">
        <v>3372</v>
      </c>
      <c r="B163" s="26">
        <v>134983779.02000001</v>
      </c>
      <c r="C163" s="103"/>
      <c r="D163" s="19">
        <v>-128042692.64</v>
      </c>
      <c r="E163" s="103"/>
      <c r="F163" s="19">
        <v>0</v>
      </c>
      <c r="G163" s="103"/>
      <c r="H163" s="19">
        <v>0</v>
      </c>
      <c r="I163" s="103"/>
      <c r="J163" s="26">
        <f t="shared" si="18"/>
        <v>-128042692.64</v>
      </c>
      <c r="K163" s="103"/>
      <c r="L163" s="26">
        <f t="shared" si="19"/>
        <v>6941086.3800000101</v>
      </c>
      <c r="M163" s="59"/>
    </row>
    <row r="164" spans="1:13" x14ac:dyDescent="0.2">
      <c r="A164" s="3" t="s">
        <v>3373</v>
      </c>
      <c r="B164" s="26">
        <v>97932512.959999993</v>
      </c>
      <c r="C164" s="103"/>
      <c r="D164" s="19">
        <v>-94300260.049999997</v>
      </c>
      <c r="E164" s="103"/>
      <c r="F164" s="19">
        <v>0</v>
      </c>
      <c r="G164" s="103"/>
      <c r="H164" s="19">
        <v>0</v>
      </c>
      <c r="I164" s="103"/>
      <c r="J164" s="26">
        <f t="shared" si="18"/>
        <v>-94300260.049999997</v>
      </c>
      <c r="K164" s="103"/>
      <c r="L164" s="26">
        <f t="shared" si="19"/>
        <v>3632252.9099999964</v>
      </c>
      <c r="M164" s="59"/>
    </row>
    <row r="165" spans="1:13" x14ac:dyDescent="0.2">
      <c r="A165" s="43" t="s">
        <v>3374</v>
      </c>
      <c r="B165" s="26">
        <v>113390206.33</v>
      </c>
      <c r="C165" s="103"/>
      <c r="D165" s="19">
        <v>-98965519.079999998</v>
      </c>
      <c r="E165" s="103"/>
      <c r="F165" s="19">
        <v>0</v>
      </c>
      <c r="G165" s="103"/>
      <c r="H165" s="19">
        <v>0</v>
      </c>
      <c r="I165" s="103"/>
      <c r="J165" s="26">
        <f t="shared" si="18"/>
        <v>-98965519.079999998</v>
      </c>
      <c r="K165" s="103"/>
      <c r="L165" s="26">
        <f t="shared" si="19"/>
        <v>14424687.25</v>
      </c>
      <c r="M165" s="59"/>
    </row>
    <row r="166" spans="1:13" x14ac:dyDescent="0.2">
      <c r="A166" s="3" t="s">
        <v>3375</v>
      </c>
      <c r="B166" s="26">
        <v>26777275.32</v>
      </c>
      <c r="C166" s="103"/>
      <c r="D166" s="19">
        <v>-26081821.969999999</v>
      </c>
      <c r="E166" s="103"/>
      <c r="F166" s="19">
        <v>0</v>
      </c>
      <c r="G166" s="103"/>
      <c r="H166" s="19">
        <v>0</v>
      </c>
      <c r="I166" s="103"/>
      <c r="J166" s="26">
        <f t="shared" si="18"/>
        <v>-26081821.969999999</v>
      </c>
      <c r="K166" s="103"/>
      <c r="L166" s="26">
        <f t="shared" si="19"/>
        <v>695453.35000000149</v>
      </c>
      <c r="M166" s="59"/>
    </row>
    <row r="167" spans="1:13" x14ac:dyDescent="0.2">
      <c r="A167" s="3" t="s">
        <v>3376</v>
      </c>
      <c r="B167" s="27">
        <v>145378.61000000002</v>
      </c>
      <c r="C167" s="103"/>
      <c r="D167" s="19">
        <v>272638.92</v>
      </c>
      <c r="E167" s="103"/>
      <c r="F167" s="19">
        <v>0</v>
      </c>
      <c r="G167" s="103"/>
      <c r="H167" s="19">
        <v>0</v>
      </c>
      <c r="I167" s="103"/>
      <c r="J167" s="27">
        <f t="shared" si="18"/>
        <v>272638.92</v>
      </c>
      <c r="K167" s="103"/>
      <c r="L167" s="27">
        <f t="shared" si="19"/>
        <v>418017.53</v>
      </c>
      <c r="M167" s="59"/>
    </row>
    <row r="168" spans="1:13" x14ac:dyDescent="0.2">
      <c r="B168" s="26">
        <f>SUM(B162:B167)</f>
        <v>420341785.69</v>
      </c>
      <c r="C168" s="103"/>
      <c r="D168" s="32">
        <f>SUM(D162:D167)</f>
        <v>-393268415.71999997</v>
      </c>
      <c r="E168" s="103"/>
      <c r="F168" s="32">
        <f>SUM(F162:F167)</f>
        <v>0</v>
      </c>
      <c r="G168" s="103"/>
      <c r="H168" s="32">
        <f>SUM(H162:H167)</f>
        <v>0</v>
      </c>
      <c r="I168" s="103"/>
      <c r="J168" s="26">
        <f>SUM(J162:J167)</f>
        <v>-393268415.71999997</v>
      </c>
      <c r="K168" s="103"/>
      <c r="L168" s="26">
        <f>SUM(L162:L167)</f>
        <v>27073369.970000014</v>
      </c>
      <c r="M168" s="59"/>
    </row>
    <row r="169" spans="1:13" x14ac:dyDescent="0.2">
      <c r="B169" s="26"/>
      <c r="C169" s="103"/>
      <c r="D169" s="26"/>
      <c r="E169" s="103"/>
      <c r="F169" s="26"/>
      <c r="G169" s="103"/>
      <c r="H169" s="26"/>
      <c r="I169" s="103"/>
      <c r="J169" s="26"/>
      <c r="K169" s="103"/>
      <c r="L169" s="26"/>
      <c r="M169" s="59"/>
    </row>
    <row r="170" spans="1:13" x14ac:dyDescent="0.2">
      <c r="A170" s="12" t="s">
        <v>17</v>
      </c>
      <c r="B170" s="26"/>
      <c r="C170" s="103"/>
      <c r="D170" s="26"/>
      <c r="E170" s="103"/>
      <c r="F170" s="26"/>
      <c r="G170" s="103"/>
      <c r="H170" s="26"/>
      <c r="I170" s="103"/>
      <c r="J170" s="26"/>
      <c r="K170" s="103"/>
      <c r="L170" s="26"/>
      <c r="M170" s="59"/>
    </row>
    <row r="171" spans="1:13" x14ac:dyDescent="0.2">
      <c r="A171" s="43" t="s">
        <v>3377</v>
      </c>
      <c r="B171" s="26">
        <v>10406297.27</v>
      </c>
      <c r="C171" s="103"/>
      <c r="D171" s="19">
        <v>274092.44</v>
      </c>
      <c r="E171" s="103"/>
      <c r="F171" s="19">
        <v>0</v>
      </c>
      <c r="G171" s="103"/>
      <c r="H171" s="19">
        <v>0</v>
      </c>
      <c r="I171" s="103"/>
      <c r="J171" s="26">
        <f>H171+F171+D171</f>
        <v>274092.44</v>
      </c>
      <c r="K171" s="103"/>
      <c r="L171" s="26">
        <f>J171+B171</f>
        <v>10680389.709999999</v>
      </c>
      <c r="M171" s="59"/>
    </row>
    <row r="172" spans="1:13" x14ac:dyDescent="0.2">
      <c r="A172" s="3" t="s">
        <v>3378</v>
      </c>
      <c r="B172" s="26">
        <v>15368649.140000001</v>
      </c>
      <c r="C172" s="103"/>
      <c r="D172" s="19">
        <v>-881655.85</v>
      </c>
      <c r="E172" s="103"/>
      <c r="F172" s="19">
        <v>0</v>
      </c>
      <c r="G172" s="103"/>
      <c r="H172" s="19">
        <v>0</v>
      </c>
      <c r="I172" s="103"/>
      <c r="J172" s="26">
        <f t="shared" ref="J172:J177" si="20">H172+F172+D172</f>
        <v>-881655.85</v>
      </c>
      <c r="K172" s="103"/>
      <c r="L172" s="26">
        <f t="shared" ref="L172:L177" si="21">J172+B172</f>
        <v>14486993.290000001</v>
      </c>
      <c r="M172" s="59"/>
    </row>
    <row r="173" spans="1:13" x14ac:dyDescent="0.2">
      <c r="A173" s="73" t="s">
        <v>3379</v>
      </c>
      <c r="B173" s="26">
        <v>0</v>
      </c>
      <c r="C173" s="103"/>
      <c r="D173" s="19">
        <v>0</v>
      </c>
      <c r="E173" s="103"/>
      <c r="F173" s="19">
        <v>0</v>
      </c>
      <c r="G173" s="103"/>
      <c r="H173" s="19">
        <v>0</v>
      </c>
      <c r="I173" s="103"/>
      <c r="J173" s="26">
        <f t="shared" si="20"/>
        <v>0</v>
      </c>
      <c r="K173" s="103"/>
      <c r="L173" s="26">
        <f t="shared" si="21"/>
        <v>0</v>
      </c>
      <c r="M173" s="59"/>
    </row>
    <row r="174" spans="1:13" x14ac:dyDescent="0.2">
      <c r="A174" s="3" t="s">
        <v>3380</v>
      </c>
      <c r="B174" s="26">
        <v>1026562191.62</v>
      </c>
      <c r="C174" s="103"/>
      <c r="D174" s="19">
        <v>107415360.88</v>
      </c>
      <c r="E174" s="103"/>
      <c r="F174" s="19">
        <v>0</v>
      </c>
      <c r="G174" s="103"/>
      <c r="H174" s="19">
        <v>0</v>
      </c>
      <c r="I174" s="103"/>
      <c r="J174" s="26">
        <f t="shared" si="20"/>
        <v>107415360.88</v>
      </c>
      <c r="K174" s="103"/>
      <c r="L174" s="26">
        <f t="shared" si="21"/>
        <v>1133977552.5</v>
      </c>
      <c r="M174" s="59"/>
    </row>
    <row r="175" spans="1:13" x14ac:dyDescent="0.2">
      <c r="A175" s="3" t="s">
        <v>3381</v>
      </c>
      <c r="B175" s="26">
        <v>5469222</v>
      </c>
      <c r="C175" s="103"/>
      <c r="D175" s="19">
        <v>311887.45</v>
      </c>
      <c r="E175" s="103"/>
      <c r="F175" s="19">
        <v>0</v>
      </c>
      <c r="G175" s="103"/>
      <c r="H175" s="19">
        <v>0</v>
      </c>
      <c r="I175" s="103"/>
      <c r="J175" s="26">
        <f t="shared" si="20"/>
        <v>311887.45</v>
      </c>
      <c r="K175" s="103"/>
      <c r="L175" s="26">
        <f t="shared" si="21"/>
        <v>5781109.4500000002</v>
      </c>
      <c r="M175" s="59"/>
    </row>
    <row r="176" spans="1:13" x14ac:dyDescent="0.2">
      <c r="A176" s="3" t="s">
        <v>3382</v>
      </c>
      <c r="B176" s="26">
        <v>10980426.439999999</v>
      </c>
      <c r="C176" s="103"/>
      <c r="D176" s="19">
        <v>-633383.4</v>
      </c>
      <c r="E176" s="103"/>
      <c r="F176" s="19">
        <v>0</v>
      </c>
      <c r="G176" s="103"/>
      <c r="H176" s="19">
        <v>0</v>
      </c>
      <c r="I176" s="103"/>
      <c r="J176" s="26">
        <f t="shared" si="20"/>
        <v>-633383.4</v>
      </c>
      <c r="K176" s="103"/>
      <c r="L176" s="26">
        <f t="shared" si="21"/>
        <v>10347043.039999999</v>
      </c>
      <c r="M176" s="59"/>
    </row>
    <row r="177" spans="1:13" x14ac:dyDescent="0.2">
      <c r="A177" s="3" t="s">
        <v>3383</v>
      </c>
      <c r="B177" s="27">
        <v>3612386.2699999996</v>
      </c>
      <c r="C177" s="103"/>
      <c r="D177" s="19">
        <v>-446262.21</v>
      </c>
      <c r="E177" s="103"/>
      <c r="F177" s="19">
        <v>0</v>
      </c>
      <c r="G177" s="103"/>
      <c r="H177" s="19">
        <v>0</v>
      </c>
      <c r="I177" s="103"/>
      <c r="J177" s="27">
        <f t="shared" si="20"/>
        <v>-446262.21</v>
      </c>
      <c r="K177" s="103"/>
      <c r="L177" s="27">
        <f t="shared" si="21"/>
        <v>3166124.0599999996</v>
      </c>
      <c r="M177" s="59"/>
    </row>
    <row r="178" spans="1:13" x14ac:dyDescent="0.2">
      <c r="B178" s="32">
        <f>SUM(B171:B177)</f>
        <v>1072399172.74</v>
      </c>
      <c r="C178" s="103"/>
      <c r="D178" s="32">
        <f>SUM(D171:D177)</f>
        <v>106040039.31</v>
      </c>
      <c r="E178" s="103"/>
      <c r="F178" s="32">
        <f>SUM(F171:F177)</f>
        <v>0</v>
      </c>
      <c r="G178" s="103"/>
      <c r="H178" s="32">
        <f>SUM(H171:H177)</f>
        <v>0</v>
      </c>
      <c r="I178" s="103"/>
      <c r="J178" s="32">
        <f>SUM(J171:J177)</f>
        <v>106040039.31</v>
      </c>
      <c r="K178" s="103"/>
      <c r="L178" s="32">
        <f>SUM(L171:L177)</f>
        <v>1178439212.05</v>
      </c>
      <c r="M178" s="59"/>
    </row>
    <row r="179" spans="1:13" x14ac:dyDescent="0.2">
      <c r="B179" s="26"/>
      <c r="C179" s="103"/>
      <c r="D179" s="26"/>
      <c r="E179" s="103"/>
      <c r="F179" s="26"/>
      <c r="G179" s="103"/>
      <c r="H179" s="26"/>
      <c r="I179" s="103"/>
      <c r="J179" s="26"/>
      <c r="K179" s="103"/>
      <c r="L179" s="26"/>
      <c r="M179" s="59"/>
    </row>
    <row r="180" spans="1:13" x14ac:dyDescent="0.2">
      <c r="A180" s="12" t="s">
        <v>18</v>
      </c>
      <c r="B180" s="26"/>
      <c r="C180" s="103"/>
      <c r="D180" s="26"/>
      <c r="E180" s="103"/>
      <c r="F180" s="26"/>
      <c r="G180" s="103"/>
      <c r="H180" s="26"/>
      <c r="I180" s="103"/>
      <c r="J180" s="26"/>
      <c r="K180" s="103"/>
      <c r="L180" s="26"/>
      <c r="M180" s="59"/>
    </row>
    <row r="181" spans="1:13" x14ac:dyDescent="0.2">
      <c r="A181" s="3" t="s">
        <v>3384</v>
      </c>
      <c r="B181" s="26">
        <v>0</v>
      </c>
      <c r="C181" s="103"/>
      <c r="D181" s="19">
        <v>0</v>
      </c>
      <c r="E181" s="103"/>
      <c r="F181" s="19">
        <v>0</v>
      </c>
      <c r="G181" s="103"/>
      <c r="H181" s="19">
        <v>0</v>
      </c>
      <c r="I181" s="103"/>
      <c r="J181" s="26">
        <f t="shared" ref="J181:J189" si="22">H181+F181+D181</f>
        <v>0</v>
      </c>
      <c r="K181" s="103"/>
      <c r="L181" s="26">
        <f t="shared" ref="L181:L189" si="23">J181+B181</f>
        <v>0</v>
      </c>
      <c r="M181" s="59"/>
    </row>
    <row r="182" spans="1:13" x14ac:dyDescent="0.2">
      <c r="A182" s="3" t="s">
        <v>3385</v>
      </c>
      <c r="B182" s="26">
        <v>0</v>
      </c>
      <c r="C182" s="103"/>
      <c r="D182" s="19">
        <v>0</v>
      </c>
      <c r="E182" s="103"/>
      <c r="F182" s="19">
        <v>0</v>
      </c>
      <c r="G182" s="103"/>
      <c r="H182" s="19">
        <v>0</v>
      </c>
      <c r="I182" s="103"/>
      <c r="J182" s="26">
        <f t="shared" si="22"/>
        <v>0</v>
      </c>
      <c r="K182" s="103"/>
      <c r="L182" s="26">
        <f t="shared" si="23"/>
        <v>0</v>
      </c>
      <c r="M182" s="59"/>
    </row>
    <row r="183" spans="1:13" x14ac:dyDescent="0.2">
      <c r="A183" s="3" t="s">
        <v>3386</v>
      </c>
      <c r="B183" s="26">
        <v>404739.03</v>
      </c>
      <c r="C183" s="103"/>
      <c r="D183" s="19">
        <v>198123.99</v>
      </c>
      <c r="E183" s="103"/>
      <c r="F183" s="19">
        <v>0</v>
      </c>
      <c r="G183" s="103"/>
      <c r="H183" s="19">
        <v>0</v>
      </c>
      <c r="I183" s="103"/>
      <c r="J183" s="26">
        <f t="shared" si="22"/>
        <v>198123.99</v>
      </c>
      <c r="K183" s="103"/>
      <c r="L183" s="26">
        <f t="shared" si="23"/>
        <v>602863.02</v>
      </c>
      <c r="M183" s="59"/>
    </row>
    <row r="184" spans="1:13" x14ac:dyDescent="0.2">
      <c r="A184" s="3" t="s">
        <v>3387</v>
      </c>
      <c r="B184" s="26">
        <v>9996770.629999999</v>
      </c>
      <c r="C184" s="103"/>
      <c r="D184" s="19">
        <v>6879674.6500000004</v>
      </c>
      <c r="E184" s="103"/>
      <c r="F184" s="19">
        <v>0</v>
      </c>
      <c r="G184" s="103"/>
      <c r="H184" s="19">
        <v>0</v>
      </c>
      <c r="I184" s="103"/>
      <c r="J184" s="26">
        <f t="shared" si="22"/>
        <v>6879674.6500000004</v>
      </c>
      <c r="K184" s="103"/>
      <c r="L184" s="26">
        <f t="shared" si="23"/>
        <v>16876445.280000001</v>
      </c>
      <c r="M184" s="60"/>
    </row>
    <row r="185" spans="1:13" x14ac:dyDescent="0.2">
      <c r="A185" s="3" t="s">
        <v>3388</v>
      </c>
      <c r="B185" s="26">
        <v>0</v>
      </c>
      <c r="C185" s="103"/>
      <c r="D185" s="19">
        <v>0</v>
      </c>
      <c r="E185" s="103"/>
      <c r="F185" s="19">
        <v>0</v>
      </c>
      <c r="G185" s="103"/>
      <c r="H185" s="19">
        <v>0</v>
      </c>
      <c r="I185" s="103"/>
      <c r="J185" s="26">
        <f>H185+F185+D185</f>
        <v>0</v>
      </c>
      <c r="K185" s="103"/>
      <c r="L185" s="26">
        <f>J185+B185</f>
        <v>0</v>
      </c>
      <c r="M185" s="60"/>
    </row>
    <row r="186" spans="1:13" x14ac:dyDescent="0.2">
      <c r="A186" s="3" t="s">
        <v>3389</v>
      </c>
      <c r="B186" s="26">
        <v>35872.969999999506</v>
      </c>
      <c r="C186" s="103"/>
      <c r="D186" s="19">
        <v>-35872.97</v>
      </c>
      <c r="E186" s="103"/>
      <c r="F186" s="19">
        <v>0</v>
      </c>
      <c r="G186" s="103"/>
      <c r="H186" s="19">
        <v>0</v>
      </c>
      <c r="I186" s="103"/>
      <c r="J186" s="26">
        <f t="shared" si="22"/>
        <v>-35872.97</v>
      </c>
      <c r="K186" s="103"/>
      <c r="L186" s="26">
        <f t="shared" si="23"/>
        <v>-4.9476511776447296E-10</v>
      </c>
      <c r="M186" s="60"/>
    </row>
    <row r="187" spans="1:13" x14ac:dyDescent="0.2">
      <c r="A187" s="3" t="s">
        <v>3390</v>
      </c>
      <c r="B187" s="26">
        <v>14129255.200000001</v>
      </c>
      <c r="C187" s="103"/>
      <c r="D187" s="19">
        <v>16575139.300000001</v>
      </c>
      <c r="E187" s="103"/>
      <c r="F187" s="19">
        <v>0</v>
      </c>
      <c r="G187" s="103"/>
      <c r="H187" s="19">
        <v>0</v>
      </c>
      <c r="I187" s="103"/>
      <c r="J187" s="26">
        <f t="shared" si="22"/>
        <v>16575139.300000001</v>
      </c>
      <c r="K187" s="103"/>
      <c r="L187" s="26">
        <f t="shared" si="23"/>
        <v>30704394.5</v>
      </c>
      <c r="M187" s="60"/>
    </row>
    <row r="188" spans="1:13" x14ac:dyDescent="0.2">
      <c r="A188" s="3" t="s">
        <v>3391</v>
      </c>
      <c r="B188" s="26">
        <v>7937859.6100000013</v>
      </c>
      <c r="C188" s="103"/>
      <c r="D188" s="19">
        <v>2687723.68</v>
      </c>
      <c r="E188" s="103"/>
      <c r="F188" s="19">
        <v>0</v>
      </c>
      <c r="G188" s="103"/>
      <c r="H188" s="19">
        <v>0</v>
      </c>
      <c r="I188" s="103"/>
      <c r="J188" s="26">
        <f t="shared" si="22"/>
        <v>2687723.68</v>
      </c>
      <c r="K188" s="103"/>
      <c r="L188" s="26">
        <f t="shared" si="23"/>
        <v>10625583.290000001</v>
      </c>
      <c r="M188" s="60"/>
    </row>
    <row r="189" spans="1:13" x14ac:dyDescent="0.2">
      <c r="A189" s="3" t="s">
        <v>3392</v>
      </c>
      <c r="B189" s="26">
        <v>0</v>
      </c>
      <c r="C189" s="103"/>
      <c r="D189" s="19">
        <v>0</v>
      </c>
      <c r="E189" s="103"/>
      <c r="F189" s="19">
        <v>0</v>
      </c>
      <c r="G189" s="103"/>
      <c r="H189" s="19">
        <v>0</v>
      </c>
      <c r="I189" s="103"/>
      <c r="J189" s="26">
        <f t="shared" si="22"/>
        <v>0</v>
      </c>
      <c r="K189" s="103"/>
      <c r="L189" s="26">
        <f t="shared" si="23"/>
        <v>0</v>
      </c>
      <c r="M189" s="60"/>
    </row>
    <row r="190" spans="1:13" x14ac:dyDescent="0.2">
      <c r="B190" s="32">
        <f>SUM(B181:B189)</f>
        <v>32504497.439999998</v>
      </c>
      <c r="C190" s="103"/>
      <c r="D190" s="32">
        <f>SUM(D181:D189)</f>
        <v>26304788.650000002</v>
      </c>
      <c r="E190" s="103"/>
      <c r="F190" s="32">
        <f>SUM(F181:F189)</f>
        <v>0</v>
      </c>
      <c r="G190" s="103"/>
      <c r="H190" s="32">
        <f>SUM(H181:H189)</f>
        <v>0</v>
      </c>
      <c r="I190" s="103"/>
      <c r="J190" s="32">
        <f>SUM(J181:J189)</f>
        <v>26304788.650000002</v>
      </c>
      <c r="K190" s="103"/>
      <c r="L190" s="32">
        <f>SUM(L181:L189)</f>
        <v>58809286.089999996</v>
      </c>
      <c r="M190" s="59"/>
    </row>
    <row r="191" spans="1:13" x14ac:dyDescent="0.2">
      <c r="B191" s="26"/>
      <c r="C191" s="103"/>
      <c r="D191" s="26"/>
      <c r="E191" s="103"/>
      <c r="F191" s="26"/>
      <c r="G191" s="103"/>
      <c r="H191" s="26"/>
      <c r="I191" s="103"/>
      <c r="J191" s="26"/>
      <c r="K191" s="103"/>
      <c r="L191" s="26"/>
      <c r="M191" s="59"/>
    </row>
    <row r="192" spans="1:13" x14ac:dyDescent="0.2">
      <c r="C192" s="104"/>
      <c r="E192" s="104"/>
      <c r="G192" s="104"/>
      <c r="I192" s="104"/>
      <c r="K192" s="104"/>
    </row>
    <row r="193" spans="1:12" x14ac:dyDescent="0.2">
      <c r="A193" s="12" t="s">
        <v>3251</v>
      </c>
      <c r="B193" s="31">
        <f>B190+B178+B168+B159+B154+B145+B131</f>
        <v>1579496414.0799999</v>
      </c>
      <c r="C193" s="103"/>
      <c r="D193" s="31">
        <f>D190+D178+D168+D159+D154+D145+D131</f>
        <v>-236381806.16999996</v>
      </c>
      <c r="E193" s="103"/>
      <c r="F193" s="31">
        <f>F190+F178+F168+F159+F154+F145+F131</f>
        <v>0</v>
      </c>
      <c r="G193" s="103"/>
      <c r="H193" s="31">
        <f>H190+H178+H168+H159+H154+H145+H131</f>
        <v>0</v>
      </c>
      <c r="I193" s="103"/>
      <c r="J193" s="31">
        <f>J190+J178+J168+J159+J154+J145+J131</f>
        <v>-236381806.16999996</v>
      </c>
      <c r="K193" s="103"/>
      <c r="L193" s="31">
        <f>L190+L178+L168+L159+L154+L145+L131</f>
        <v>1343114607.9099998</v>
      </c>
    </row>
    <row r="194" spans="1:12" x14ac:dyDescent="0.2">
      <c r="B194" s="26"/>
      <c r="C194" s="104"/>
      <c r="D194" s="26"/>
      <c r="E194" s="104"/>
      <c r="F194" s="26"/>
      <c r="G194" s="104"/>
      <c r="H194" s="26"/>
      <c r="I194" s="104"/>
      <c r="J194" s="26"/>
      <c r="K194" s="104"/>
      <c r="L194" s="26"/>
    </row>
    <row r="195" spans="1:12" x14ac:dyDescent="0.2">
      <c r="C195" s="104"/>
      <c r="E195" s="104"/>
      <c r="G195" s="104"/>
      <c r="I195" s="104"/>
      <c r="K195" s="104"/>
    </row>
    <row r="196" spans="1:12" ht="13.5" thickBot="1" x14ac:dyDescent="0.25">
      <c r="A196" s="12" t="s">
        <v>3393</v>
      </c>
      <c r="B196" s="33">
        <f>B193+B114</f>
        <v>8661240282.5799999</v>
      </c>
      <c r="C196" s="104"/>
      <c r="D196" s="33">
        <f>D193+D114</f>
        <v>404833863.00999999</v>
      </c>
      <c r="E196" s="104"/>
      <c r="F196" s="33">
        <f>F193+F114</f>
        <v>-59301553.299999997</v>
      </c>
      <c r="G196" s="104"/>
      <c r="H196" s="33">
        <f>H193+H114</f>
        <v>-78659592.389999986</v>
      </c>
      <c r="I196" s="104"/>
      <c r="J196" s="33">
        <f>J193+J114</f>
        <v>266872717.32000005</v>
      </c>
      <c r="K196" s="104"/>
      <c r="L196" s="33">
        <f>L193+L114</f>
        <v>8928112999.8999996</v>
      </c>
    </row>
    <row r="197" spans="1:12" ht="13.5" thickTop="1" x14ac:dyDescent="0.2">
      <c r="C197" s="104"/>
      <c r="E197" s="104"/>
      <c r="G197" s="104"/>
      <c r="I197" s="104"/>
      <c r="K197" s="104"/>
    </row>
    <row r="198" spans="1:12" x14ac:dyDescent="0.2">
      <c r="C198" s="104"/>
      <c r="E198" s="104"/>
      <c r="G198" s="104"/>
      <c r="I198" s="104"/>
      <c r="K198" s="104"/>
    </row>
    <row r="199" spans="1:12" x14ac:dyDescent="0.2">
      <c r="C199" s="104"/>
      <c r="E199" s="104"/>
      <c r="G199" s="104"/>
      <c r="I199" s="104"/>
      <c r="K199" s="104"/>
    </row>
    <row r="200" spans="1:12" x14ac:dyDescent="0.2">
      <c r="C200" s="104"/>
      <c r="E200" s="104"/>
      <c r="G200" s="104"/>
      <c r="I200" s="104"/>
      <c r="K200" s="104"/>
    </row>
    <row r="201" spans="1:12" x14ac:dyDescent="0.2">
      <c r="C201" s="104"/>
      <c r="E201" s="104"/>
      <c r="G201" s="104"/>
      <c r="I201" s="104"/>
      <c r="K201" s="104"/>
    </row>
    <row r="202" spans="1:12" x14ac:dyDescent="0.2">
      <c r="C202" s="104"/>
      <c r="E202" s="104"/>
      <c r="G202" s="104"/>
      <c r="I202" s="104"/>
      <c r="K202" s="104"/>
    </row>
    <row r="203" spans="1:12" x14ac:dyDescent="0.2">
      <c r="C203" s="104"/>
      <c r="E203" s="104"/>
      <c r="G203" s="104"/>
      <c r="I203" s="104"/>
      <c r="K203" s="104"/>
    </row>
    <row r="204" spans="1:12" x14ac:dyDescent="0.2">
      <c r="C204" s="104"/>
      <c r="E204" s="104"/>
      <c r="G204" s="104"/>
      <c r="I204" s="104"/>
      <c r="K204" s="104"/>
    </row>
    <row r="205" spans="1:12" x14ac:dyDescent="0.2">
      <c r="C205" s="104"/>
      <c r="E205" s="104"/>
      <c r="G205" s="104"/>
      <c r="I205" s="104"/>
      <c r="K205" s="104"/>
    </row>
    <row r="206" spans="1:12" x14ac:dyDescent="0.2">
      <c r="C206" s="104"/>
      <c r="E206" s="104"/>
      <c r="G206" s="104"/>
      <c r="I206" s="104"/>
      <c r="K206" s="104"/>
    </row>
    <row r="207" spans="1:12" x14ac:dyDescent="0.2">
      <c r="C207" s="98"/>
      <c r="E207" s="98"/>
      <c r="G207" s="98"/>
      <c r="I207" s="98"/>
      <c r="K207" s="98"/>
    </row>
    <row r="208" spans="1:12" x14ac:dyDescent="0.2">
      <c r="C208" s="98"/>
      <c r="E208" s="98"/>
      <c r="G208" s="98"/>
      <c r="I208" s="98"/>
      <c r="K208" s="98"/>
    </row>
    <row r="209" spans="3:11" x14ac:dyDescent="0.2">
      <c r="C209" s="98"/>
      <c r="E209" s="98"/>
      <c r="G209" s="98"/>
      <c r="I209" s="98"/>
      <c r="K209" s="98"/>
    </row>
    <row r="210" spans="3:11" x14ac:dyDescent="0.2">
      <c r="C210" s="98"/>
      <c r="E210" s="98"/>
      <c r="G210" s="98"/>
      <c r="I210" s="98"/>
      <c r="K210" s="98"/>
    </row>
    <row r="211" spans="3:11" x14ac:dyDescent="0.2">
      <c r="C211" s="98"/>
      <c r="E211" s="98"/>
      <c r="G211" s="98"/>
      <c r="I211" s="98"/>
      <c r="K211" s="98"/>
    </row>
    <row r="212" spans="3:11" x14ac:dyDescent="0.2">
      <c r="C212" s="98"/>
      <c r="E212" s="98"/>
      <c r="G212" s="98"/>
      <c r="I212" s="98"/>
      <c r="K212" s="98"/>
    </row>
    <row r="213" spans="3:11" x14ac:dyDescent="0.2">
      <c r="C213" s="98"/>
      <c r="E213" s="98"/>
      <c r="G213" s="98"/>
      <c r="I213" s="98"/>
      <c r="K213" s="98"/>
    </row>
    <row r="214" spans="3:11" x14ac:dyDescent="0.2">
      <c r="C214" s="98"/>
      <c r="E214" s="98"/>
      <c r="G214" s="98"/>
      <c r="I214" s="98"/>
      <c r="K214" s="98"/>
    </row>
    <row r="215" spans="3:11" x14ac:dyDescent="0.2">
      <c r="C215" s="98"/>
      <c r="E215" s="98"/>
      <c r="G215" s="98"/>
      <c r="I215" s="98"/>
      <c r="K215" s="98"/>
    </row>
    <row r="216" spans="3:11" x14ac:dyDescent="0.2">
      <c r="C216" s="98"/>
      <c r="E216" s="98"/>
      <c r="G216" s="98"/>
      <c r="I216" s="98"/>
      <c r="K216" s="98"/>
    </row>
    <row r="217" spans="3:11" x14ac:dyDescent="0.2">
      <c r="C217" s="98"/>
      <c r="E217" s="98"/>
      <c r="G217" s="98"/>
      <c r="I217" s="98"/>
      <c r="K217" s="98"/>
    </row>
    <row r="218" spans="3:11" x14ac:dyDescent="0.2">
      <c r="C218" s="98"/>
      <c r="E218" s="98"/>
      <c r="G218" s="98"/>
      <c r="I218" s="98"/>
      <c r="K218" s="98"/>
    </row>
    <row r="219" spans="3:11" x14ac:dyDescent="0.2">
      <c r="C219" s="98"/>
      <c r="E219" s="98"/>
      <c r="G219" s="98"/>
      <c r="I219" s="98"/>
      <c r="K219" s="98"/>
    </row>
    <row r="220" spans="3:11" x14ac:dyDescent="0.2">
      <c r="C220" s="98"/>
      <c r="E220" s="98"/>
      <c r="G220" s="98"/>
      <c r="I220" s="98"/>
      <c r="K220" s="98"/>
    </row>
    <row r="221" spans="3:11" x14ac:dyDescent="0.2">
      <c r="C221" s="98"/>
      <c r="E221" s="98"/>
      <c r="G221" s="98"/>
      <c r="I221" s="98"/>
      <c r="K221" s="98"/>
    </row>
    <row r="222" spans="3:11" x14ac:dyDescent="0.2">
      <c r="C222" s="98"/>
      <c r="E222" s="98"/>
      <c r="G222" s="98"/>
      <c r="I222" s="98"/>
      <c r="K222" s="98"/>
    </row>
    <row r="223" spans="3:11" x14ac:dyDescent="0.2">
      <c r="C223" s="98"/>
      <c r="E223" s="98"/>
      <c r="G223" s="98"/>
      <c r="I223" s="98"/>
      <c r="K223" s="98"/>
    </row>
    <row r="224" spans="3:11" x14ac:dyDescent="0.2">
      <c r="C224" s="98"/>
      <c r="E224" s="98"/>
      <c r="G224" s="98"/>
      <c r="I224" s="98"/>
      <c r="K224" s="98"/>
    </row>
    <row r="225" spans="3:11" x14ac:dyDescent="0.2">
      <c r="C225" s="98"/>
      <c r="E225" s="98"/>
      <c r="G225" s="98"/>
      <c r="I225" s="98"/>
      <c r="K225" s="98"/>
    </row>
    <row r="226" spans="3:11" x14ac:dyDescent="0.2">
      <c r="C226" s="98"/>
      <c r="E226" s="98"/>
      <c r="G226" s="98"/>
      <c r="I226" s="98"/>
      <c r="K226" s="98"/>
    </row>
    <row r="227" spans="3:11" x14ac:dyDescent="0.2">
      <c r="C227" s="98"/>
      <c r="E227" s="98"/>
      <c r="G227" s="98"/>
      <c r="I227" s="98"/>
      <c r="K227" s="98"/>
    </row>
    <row r="228" spans="3:11" x14ac:dyDescent="0.2">
      <c r="C228" s="98"/>
      <c r="E228" s="98"/>
      <c r="G228" s="98"/>
      <c r="I228" s="98"/>
      <c r="K228" s="98"/>
    </row>
    <row r="229" spans="3:11" x14ac:dyDescent="0.2">
      <c r="C229" s="98"/>
      <c r="E229" s="98"/>
      <c r="G229" s="98"/>
      <c r="I229" s="98"/>
      <c r="K229" s="98"/>
    </row>
    <row r="230" spans="3:11" x14ac:dyDescent="0.2">
      <c r="C230" s="98"/>
      <c r="E230" s="98"/>
      <c r="G230" s="98"/>
      <c r="I230" s="98"/>
      <c r="K230" s="98"/>
    </row>
    <row r="231" spans="3:11" x14ac:dyDescent="0.2">
      <c r="C231" s="98"/>
      <c r="E231" s="98"/>
      <c r="G231" s="98"/>
      <c r="I231" s="98"/>
      <c r="K231" s="98"/>
    </row>
    <row r="232" spans="3:11" x14ac:dyDescent="0.2">
      <c r="C232" s="98"/>
      <c r="E232" s="98"/>
      <c r="G232" s="98"/>
      <c r="I232" s="98"/>
      <c r="K232" s="98"/>
    </row>
    <row r="233" spans="3:11" x14ac:dyDescent="0.2">
      <c r="C233" s="98"/>
      <c r="E233" s="98"/>
      <c r="G233" s="98"/>
      <c r="I233" s="98"/>
      <c r="K233" s="98"/>
    </row>
    <row r="234" spans="3:11" x14ac:dyDescent="0.2">
      <c r="C234" s="98"/>
      <c r="E234" s="98"/>
      <c r="G234" s="98"/>
      <c r="I234" s="98"/>
      <c r="K234" s="98"/>
    </row>
    <row r="235" spans="3:11" x14ac:dyDescent="0.2">
      <c r="C235" s="98"/>
      <c r="E235" s="98"/>
      <c r="G235" s="98"/>
      <c r="I235" s="98"/>
      <c r="K235" s="98"/>
    </row>
    <row r="236" spans="3:11" x14ac:dyDescent="0.2">
      <c r="C236" s="98"/>
      <c r="E236" s="98"/>
      <c r="G236" s="98"/>
      <c r="I236" s="98"/>
      <c r="K236" s="98"/>
    </row>
    <row r="237" spans="3:11" x14ac:dyDescent="0.2">
      <c r="C237" s="98"/>
      <c r="E237" s="98"/>
      <c r="G237" s="98"/>
      <c r="I237" s="98"/>
      <c r="K237" s="98"/>
    </row>
    <row r="238" spans="3:11" x14ac:dyDescent="0.2">
      <c r="C238" s="98"/>
      <c r="E238" s="98"/>
      <c r="G238" s="98"/>
      <c r="I238" s="98"/>
      <c r="K238" s="98"/>
    </row>
    <row r="239" spans="3:11" x14ac:dyDescent="0.2">
      <c r="C239" s="98"/>
      <c r="E239" s="98"/>
      <c r="G239" s="98"/>
      <c r="I239" s="98"/>
      <c r="K239" s="98"/>
    </row>
    <row r="240" spans="3:11" x14ac:dyDescent="0.2">
      <c r="C240" s="98"/>
      <c r="E240" s="98"/>
      <c r="G240" s="98"/>
      <c r="I240" s="98"/>
      <c r="K240" s="98"/>
    </row>
    <row r="241" spans="3:11" x14ac:dyDescent="0.2">
      <c r="C241" s="98"/>
      <c r="E241" s="98"/>
      <c r="G241" s="98"/>
      <c r="I241" s="98"/>
      <c r="K241" s="98"/>
    </row>
    <row r="242" spans="3:11" x14ac:dyDescent="0.2">
      <c r="C242" s="98"/>
      <c r="E242" s="98"/>
      <c r="G242" s="98"/>
      <c r="I242" s="98"/>
      <c r="K242" s="98"/>
    </row>
    <row r="243" spans="3:11" x14ac:dyDescent="0.2">
      <c r="C243" s="98"/>
      <c r="E243" s="98"/>
      <c r="G243" s="98"/>
      <c r="I243" s="98"/>
      <c r="K243" s="98"/>
    </row>
    <row r="244" spans="3:11" x14ac:dyDescent="0.2">
      <c r="C244" s="98"/>
      <c r="E244" s="98"/>
      <c r="G244" s="98"/>
      <c r="I244" s="98"/>
      <c r="K244" s="98"/>
    </row>
    <row r="245" spans="3:11" x14ac:dyDescent="0.2">
      <c r="C245" s="98"/>
      <c r="E245" s="98"/>
      <c r="G245" s="98"/>
      <c r="I245" s="98"/>
      <c r="K245" s="98"/>
    </row>
    <row r="246" spans="3:11" x14ac:dyDescent="0.2">
      <c r="C246" s="98"/>
      <c r="E246" s="98"/>
      <c r="G246" s="98"/>
      <c r="I246" s="98"/>
      <c r="K246" s="98"/>
    </row>
    <row r="247" spans="3:11" x14ac:dyDescent="0.2">
      <c r="C247" s="98"/>
      <c r="E247" s="98"/>
      <c r="G247" s="98"/>
      <c r="I247" s="98"/>
      <c r="K247" s="98"/>
    </row>
    <row r="248" spans="3:11" x14ac:dyDescent="0.2">
      <c r="C248" s="98"/>
      <c r="E248" s="98"/>
      <c r="G248" s="98"/>
      <c r="I248" s="98"/>
      <c r="K248" s="98"/>
    </row>
    <row r="249" spans="3:11" x14ac:dyDescent="0.2">
      <c r="C249" s="98"/>
      <c r="E249" s="98"/>
      <c r="G249" s="98"/>
      <c r="I249" s="98"/>
      <c r="K249" s="98"/>
    </row>
    <row r="250" spans="3:11" x14ac:dyDescent="0.2">
      <c r="C250" s="98"/>
      <c r="E250" s="98"/>
      <c r="G250" s="98"/>
      <c r="I250" s="98"/>
      <c r="K250" s="98"/>
    </row>
    <row r="251" spans="3:11" x14ac:dyDescent="0.2">
      <c r="C251" s="98"/>
      <c r="E251" s="98"/>
      <c r="G251" s="98"/>
      <c r="I251" s="98"/>
      <c r="K251" s="98"/>
    </row>
    <row r="252" spans="3:11" x14ac:dyDescent="0.2">
      <c r="C252" s="98"/>
      <c r="E252" s="98"/>
      <c r="G252" s="98"/>
      <c r="I252" s="98"/>
      <c r="K252" s="98"/>
    </row>
    <row r="253" spans="3:11" x14ac:dyDescent="0.2">
      <c r="C253" s="98"/>
      <c r="E253" s="98"/>
      <c r="G253" s="98"/>
      <c r="I253" s="98"/>
      <c r="K253" s="98"/>
    </row>
    <row r="254" spans="3:11" x14ac:dyDescent="0.2">
      <c r="C254" s="98"/>
      <c r="E254" s="98"/>
      <c r="G254" s="98"/>
      <c r="I254" s="98"/>
      <c r="K254" s="98"/>
    </row>
    <row r="255" spans="3:11" x14ac:dyDescent="0.2">
      <c r="C255" s="98"/>
      <c r="E255" s="98"/>
      <c r="G255" s="98"/>
      <c r="I255" s="98"/>
      <c r="K255" s="98"/>
    </row>
    <row r="256" spans="3:11" x14ac:dyDescent="0.2">
      <c r="C256" s="98"/>
      <c r="E256" s="98"/>
      <c r="G256" s="98"/>
      <c r="I256" s="98"/>
      <c r="K256" s="98"/>
    </row>
    <row r="257" spans="3:11" x14ac:dyDescent="0.2">
      <c r="C257" s="98"/>
      <c r="E257" s="98"/>
      <c r="G257" s="98"/>
      <c r="I257" s="98"/>
      <c r="K257" s="98"/>
    </row>
    <row r="258" spans="3:11" x14ac:dyDescent="0.2">
      <c r="C258" s="98"/>
      <c r="E258" s="98"/>
      <c r="G258" s="98"/>
      <c r="I258" s="98"/>
      <c r="K258" s="98"/>
    </row>
    <row r="259" spans="3:11" x14ac:dyDescent="0.2">
      <c r="C259" s="98"/>
      <c r="E259" s="98"/>
      <c r="G259" s="98"/>
      <c r="I259" s="98"/>
      <c r="K259" s="98"/>
    </row>
    <row r="260" spans="3:11" x14ac:dyDescent="0.2">
      <c r="C260" s="98"/>
      <c r="E260" s="98"/>
      <c r="G260" s="98"/>
      <c r="I260" s="98"/>
      <c r="K260" s="98"/>
    </row>
    <row r="261" spans="3:11" x14ac:dyDescent="0.2">
      <c r="C261" s="98"/>
      <c r="E261" s="98"/>
      <c r="G261" s="98"/>
      <c r="I261" s="98"/>
      <c r="K261" s="98"/>
    </row>
    <row r="262" spans="3:11" x14ac:dyDescent="0.2">
      <c r="C262" s="98"/>
      <c r="E262" s="98"/>
      <c r="G262" s="98"/>
      <c r="I262" s="98"/>
      <c r="K262" s="98"/>
    </row>
    <row r="263" spans="3:11" x14ac:dyDescent="0.2">
      <c r="C263" s="98"/>
      <c r="E263" s="98"/>
      <c r="G263" s="98"/>
      <c r="I263" s="98"/>
      <c r="K263" s="98"/>
    </row>
    <row r="264" spans="3:11" x14ac:dyDescent="0.2">
      <c r="C264" s="98"/>
      <c r="E264" s="98"/>
      <c r="G264" s="98"/>
      <c r="I264" s="98"/>
      <c r="K264" s="98"/>
    </row>
    <row r="265" spans="3:11" x14ac:dyDescent="0.2">
      <c r="C265" s="98"/>
      <c r="E265" s="98"/>
      <c r="G265" s="98"/>
      <c r="I265" s="98"/>
      <c r="K265" s="98"/>
    </row>
    <row r="266" spans="3:11" x14ac:dyDescent="0.2">
      <c r="C266" s="98"/>
      <c r="E266" s="98"/>
      <c r="G266" s="98"/>
      <c r="I266" s="98"/>
      <c r="K266" s="98"/>
    </row>
    <row r="267" spans="3:11" x14ac:dyDescent="0.2">
      <c r="C267" s="98"/>
      <c r="E267" s="98"/>
      <c r="G267" s="98"/>
      <c r="I267" s="98"/>
      <c r="K267" s="98"/>
    </row>
    <row r="268" spans="3:11" x14ac:dyDescent="0.2">
      <c r="C268" s="98"/>
      <c r="E268" s="98"/>
      <c r="G268" s="98"/>
      <c r="I268" s="98"/>
      <c r="K268" s="98"/>
    </row>
    <row r="269" spans="3:11" x14ac:dyDescent="0.2">
      <c r="C269" s="98"/>
      <c r="E269" s="98"/>
      <c r="G269" s="98"/>
      <c r="I269" s="98"/>
      <c r="K269" s="98"/>
    </row>
    <row r="270" spans="3:11" x14ac:dyDescent="0.2">
      <c r="C270" s="98"/>
      <c r="E270" s="98"/>
      <c r="G270" s="98"/>
      <c r="I270" s="98"/>
      <c r="K270" s="98"/>
    </row>
    <row r="271" spans="3:11" x14ac:dyDescent="0.2">
      <c r="C271" s="98"/>
      <c r="E271" s="98"/>
      <c r="G271" s="98"/>
      <c r="I271" s="98"/>
      <c r="K271" s="98"/>
    </row>
    <row r="272" spans="3:11" x14ac:dyDescent="0.2">
      <c r="C272" s="98"/>
      <c r="E272" s="98"/>
      <c r="G272" s="98"/>
      <c r="I272" s="98"/>
      <c r="K272" s="98"/>
    </row>
  </sheetData>
  <mergeCells count="3">
    <mergeCell ref="A1:L1"/>
    <mergeCell ref="A2:L2"/>
    <mergeCell ref="A3:L3"/>
  </mergeCells>
  <printOptions horizontalCentered="1"/>
  <pageMargins left="0.75" right="0.75" top="1" bottom="1" header="0.5" footer="0.5"/>
  <pageSetup scale="67" fitToHeight="0" orientation="landscape" r:id="rId1"/>
  <headerFooter alignWithMargins="0">
    <oddFooter>&amp;R&amp;"Times New Roman,Bold"&amp;12Case No. 2018-00295
Attachment 6 to Response to US DOD-2 Question No. 7   
Page &amp;P of &amp;N
Garrett</oddFooter>
  </headerFooter>
  <rowBreaks count="4" manualBreakCount="4">
    <brk id="48" max="16383" man="1"/>
    <brk id="80" max="16383" man="1"/>
    <brk id="116" max="16383" man="1"/>
    <brk id="160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0"/>
  <sheetViews>
    <sheetView workbookViewId="0">
      <selection sqref="A1:R1"/>
    </sheetView>
  </sheetViews>
  <sheetFormatPr defaultRowHeight="12.75" x14ac:dyDescent="0.2"/>
  <cols>
    <col min="1" max="1" width="50.85546875" style="3" bestFit="1" customWidth="1"/>
    <col min="2" max="2" width="17.7109375" style="14" customWidth="1"/>
    <col min="3" max="3" width="1.7109375" style="3" customWidth="1"/>
    <col min="4" max="4" width="17.7109375" style="14" customWidth="1"/>
    <col min="5" max="5" width="1.7109375" style="3" customWidth="1"/>
    <col min="6" max="6" width="17.7109375" style="14" customWidth="1"/>
    <col min="7" max="7" width="1.7109375" style="3" customWidth="1"/>
    <col min="8" max="8" width="17.7109375" style="14" customWidth="1"/>
    <col min="9" max="9" width="1.7109375" style="3" customWidth="1"/>
    <col min="10" max="10" width="17.7109375" style="14" customWidth="1"/>
    <col min="11" max="11" width="1.7109375" style="3" customWidth="1"/>
    <col min="12" max="12" width="17.7109375" style="14" customWidth="1"/>
    <col min="13" max="13" width="2.140625" style="3" customWidth="1"/>
    <col min="14" max="14" width="17.140625" style="3" customWidth="1"/>
    <col min="15" max="15" width="3" style="3" customWidth="1"/>
    <col min="16" max="16" width="23.140625" style="3" bestFit="1" customWidth="1"/>
    <col min="17" max="16384" width="9.140625" style="3"/>
  </cols>
  <sheetData>
    <row r="1" spans="1:16" s="86" customFormat="1" ht="15.75" x14ac:dyDescent="0.25">
      <c r="A1" s="154" t="s">
        <v>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</row>
    <row r="2" spans="1:16" s="86" customFormat="1" ht="15.75" x14ac:dyDescent="0.25">
      <c r="A2" s="154" t="s">
        <v>3394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</row>
    <row r="3" spans="1:16" x14ac:dyDescent="0.2">
      <c r="A3" s="144" t="str">
        <f>'KU_Summary - Cost - P1 (REG)'!A3:N3</f>
        <v>DECEMBER 2016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</row>
    <row r="4" spans="1:16" x14ac:dyDescent="0.2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</row>
    <row r="5" spans="1:16" x14ac:dyDescent="0.2">
      <c r="A5" s="87"/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</row>
    <row r="6" spans="1:16" x14ac:dyDescent="0.2">
      <c r="B6" s="25" t="s">
        <v>2</v>
      </c>
      <c r="H6" s="25" t="s">
        <v>3</v>
      </c>
      <c r="L6" s="25" t="s">
        <v>4</v>
      </c>
      <c r="P6" s="12" t="s">
        <v>3232</v>
      </c>
    </row>
    <row r="7" spans="1:16" x14ac:dyDescent="0.2">
      <c r="B7" s="10" t="s">
        <v>5</v>
      </c>
      <c r="D7" s="10" t="s">
        <v>6</v>
      </c>
      <c r="F7" s="10" t="s">
        <v>7</v>
      </c>
      <c r="H7" s="10" t="s">
        <v>8</v>
      </c>
      <c r="J7" s="10" t="s">
        <v>9</v>
      </c>
      <c r="L7" s="10" t="s">
        <v>5</v>
      </c>
      <c r="N7" s="10" t="s">
        <v>3234</v>
      </c>
      <c r="P7" s="10" t="s">
        <v>3235</v>
      </c>
    </row>
    <row r="8" spans="1:16" x14ac:dyDescent="0.2">
      <c r="A8" s="12" t="s">
        <v>3236</v>
      </c>
      <c r="B8" s="11"/>
      <c r="D8" s="11"/>
      <c r="F8" s="11"/>
      <c r="H8" s="11"/>
      <c r="J8" s="11"/>
      <c r="L8" s="11"/>
    </row>
    <row r="9" spans="1:16" x14ac:dyDescent="0.2">
      <c r="A9" s="12" t="s">
        <v>3237</v>
      </c>
    </row>
    <row r="10" spans="1:16" x14ac:dyDescent="0.2">
      <c r="A10" s="12" t="s">
        <v>12</v>
      </c>
      <c r="C10" s="13"/>
      <c r="E10" s="13"/>
      <c r="G10" s="13"/>
      <c r="I10" s="13"/>
      <c r="K10" s="13"/>
      <c r="M10" s="13"/>
    </row>
    <row r="11" spans="1:16" x14ac:dyDescent="0.2">
      <c r="A11" s="3" t="s">
        <v>153</v>
      </c>
      <c r="B11" s="14">
        <f>'VA_Cost by Plant Acct P10 (REG)'!B11</f>
        <v>91001.83</v>
      </c>
      <c r="C11" s="13"/>
      <c r="D11" s="14">
        <f>'VA_Cost by Plant Acct P10 (REG)'!D11</f>
        <v>0</v>
      </c>
      <c r="E11" s="13"/>
      <c r="F11" s="14">
        <f>'VA_Cost by Plant Acct P10 (REG)'!F11</f>
        <v>0</v>
      </c>
      <c r="G11" s="13"/>
      <c r="H11" s="14">
        <f>'VA_Cost by Plant Acct P10 (REG)'!H11</f>
        <v>0</v>
      </c>
      <c r="I11" s="13"/>
      <c r="J11" s="14">
        <f t="shared" ref="J11:J23" si="0">H11+F11+D11</f>
        <v>0</v>
      </c>
      <c r="K11" s="13"/>
      <c r="L11" s="14">
        <f t="shared" ref="L11:L23" si="1">J11+B11</f>
        <v>91001.83</v>
      </c>
      <c r="M11" s="13"/>
      <c r="N11" s="15">
        <f>'VA_Res by Plant Acct P17(REG)'!R10</f>
        <v>-68534.059999999983</v>
      </c>
      <c r="P11" s="15">
        <f>L11+N11</f>
        <v>22467.770000000019</v>
      </c>
    </row>
    <row r="12" spans="1:16" x14ac:dyDescent="0.2">
      <c r="A12" s="3" t="s">
        <v>154</v>
      </c>
      <c r="B12" s="14">
        <f>'VA_Cost by Plant Acct P10 (REG)'!B12</f>
        <v>102248.61</v>
      </c>
      <c r="C12" s="13"/>
      <c r="D12" s="14">
        <f>'VA_Cost by Plant Acct P10 (REG)'!D12</f>
        <v>0</v>
      </c>
      <c r="E12" s="13"/>
      <c r="F12" s="14">
        <f>'VA_Cost by Plant Acct P10 (REG)'!F12</f>
        <v>0</v>
      </c>
      <c r="G12" s="13"/>
      <c r="H12" s="14">
        <f>'VA_Cost by Plant Acct P10 (REG)'!H12</f>
        <v>0</v>
      </c>
      <c r="I12" s="13"/>
      <c r="J12" s="14">
        <f t="shared" si="0"/>
        <v>0</v>
      </c>
      <c r="K12" s="13"/>
      <c r="L12" s="14">
        <f t="shared" si="1"/>
        <v>102248.61</v>
      </c>
      <c r="M12" s="13"/>
      <c r="N12" s="15">
        <v>0</v>
      </c>
      <c r="P12" s="15">
        <f t="shared" ref="P12:P23" si="2">L12+N12</f>
        <v>102248.61</v>
      </c>
    </row>
    <row r="13" spans="1:16" x14ac:dyDescent="0.2">
      <c r="A13" s="3" t="s">
        <v>155</v>
      </c>
      <c r="B13" s="14">
        <f>'VA_Cost by Plant Acct P10 (REG)'!B13+'VA_Cost by Plant Acct P10 (REG)'!B61</f>
        <v>486252.05</v>
      </c>
      <c r="C13" s="13"/>
      <c r="D13" s="14">
        <f>'VA_Cost by Plant Acct P10 (REG)'!D13+'VA_Cost by Plant Acct P10 (REG)'!D61</f>
        <v>8038.93</v>
      </c>
      <c r="E13" s="13"/>
      <c r="F13" s="14">
        <f>'VA_Cost by Plant Acct P10 (REG)'!F13+'VA_Cost by Plant Acct P10 (REG)'!F61</f>
        <v>-4085.36</v>
      </c>
      <c r="G13" s="13"/>
      <c r="H13" s="14">
        <f>'VA_Cost by Plant Acct P10 (REG)'!H13+'VA_Cost by Plant Acct P10 (REG)'!H61</f>
        <v>0</v>
      </c>
      <c r="I13" s="13"/>
      <c r="J13" s="14">
        <f>'VA_Cost by Plant Acct P10 (REG)'!J13+'VA_Cost by Plant Acct P10 (REG)'!J61</f>
        <v>3953.57</v>
      </c>
      <c r="K13" s="13"/>
      <c r="L13" s="14">
        <f>J13+B13</f>
        <v>490205.62</v>
      </c>
      <c r="M13" s="13"/>
      <c r="N13" s="15">
        <f>'VA_Res by Plant Acct P17(REG)'!R11</f>
        <v>-123384.54000000004</v>
      </c>
      <c r="P13" s="15">
        <f t="shared" si="2"/>
        <v>366821.07999999996</v>
      </c>
    </row>
    <row r="14" spans="1:16" x14ac:dyDescent="0.2">
      <c r="A14" s="3" t="s">
        <v>156</v>
      </c>
      <c r="B14" s="14">
        <f>'VA_Cost by Plant Acct P10 (REG)'!B14+'VA_Cost by Plant Acct P10 (REG)'!B62</f>
        <v>8064221.8399999999</v>
      </c>
      <c r="C14" s="13"/>
      <c r="D14" s="14">
        <f>'VA_Cost by Plant Acct P10 (REG)'!D14+'VA_Cost by Plant Acct P10 (REG)'!D62</f>
        <v>417179.56</v>
      </c>
      <c r="E14" s="13"/>
      <c r="F14" s="14">
        <f>'VA_Cost by Plant Acct P10 (REG)'!F14</f>
        <v>-29355.08</v>
      </c>
      <c r="G14" s="13"/>
      <c r="H14" s="14">
        <f>'VA_Cost by Plant Acct P10 (REG)'!H14</f>
        <v>-60180.36</v>
      </c>
      <c r="I14" s="13"/>
      <c r="J14" s="14">
        <f t="shared" si="0"/>
        <v>327644.12</v>
      </c>
      <c r="K14" s="13"/>
      <c r="L14" s="14">
        <f t="shared" si="1"/>
        <v>8391865.959999999</v>
      </c>
      <c r="M14" s="13"/>
      <c r="N14" s="15">
        <f>'VA_Res by Plant Acct P17(REG)'!R12</f>
        <v>-3021321.9699999997</v>
      </c>
      <c r="P14" s="15">
        <f t="shared" si="2"/>
        <v>5370543.9899999993</v>
      </c>
    </row>
    <row r="15" spans="1:16" x14ac:dyDescent="0.2">
      <c r="A15" s="3" t="s">
        <v>157</v>
      </c>
      <c r="B15" s="14">
        <f>'VA_Cost by Plant Acct P10 (REG)'!B15+'VA_Cost by Plant Acct P10 (REG)'!B63</f>
        <v>26504719.779999997</v>
      </c>
      <c r="C15" s="13"/>
      <c r="D15" s="14">
        <f>'VA_Cost by Plant Acct P10 (REG)'!D15+'VA_Cost by Plant Acct P10 (REG)'!D63</f>
        <v>1665876.56</v>
      </c>
      <c r="E15" s="13"/>
      <c r="F15" s="14">
        <f>'VA_Cost by Plant Acct P10 (REG)'!F15</f>
        <v>-68158.070000000007</v>
      </c>
      <c r="G15" s="13"/>
      <c r="H15" s="14">
        <f>'VA_Cost by Plant Acct P10 (REG)'!H15+'VA_Cost by Plant Acct P10 (REG)'!H63</f>
        <v>0</v>
      </c>
      <c r="I15" s="13"/>
      <c r="J15" s="14">
        <f t="shared" si="0"/>
        <v>1597718.49</v>
      </c>
      <c r="K15" s="13"/>
      <c r="L15" s="14">
        <f t="shared" si="1"/>
        <v>28102438.269999996</v>
      </c>
      <c r="M15" s="13"/>
      <c r="N15" s="15">
        <f>'VA_Res by Plant Acct P17(REG)'!R13</f>
        <v>-12071065.77</v>
      </c>
      <c r="P15" s="15">
        <f t="shared" si="2"/>
        <v>16031372.499999996</v>
      </c>
    </row>
    <row r="16" spans="1:16" x14ac:dyDescent="0.2">
      <c r="A16" s="3" t="s">
        <v>158</v>
      </c>
      <c r="B16" s="14">
        <f>'VA_Cost by Plant Acct P10 (REG)'!B16+'VA_Cost by Plant Acct P10 (REG)'!B64</f>
        <v>23736912.500000004</v>
      </c>
      <c r="C16" s="13"/>
      <c r="D16" s="14">
        <f>'VA_Cost by Plant Acct P10 (REG)'!D16+'VA_Cost by Plant Acct P10 (REG)'!D64</f>
        <v>1144404.18</v>
      </c>
      <c r="E16" s="13"/>
      <c r="F16" s="14">
        <f>'VA_Cost by Plant Acct P10 (REG)'!F16</f>
        <v>-399793.9</v>
      </c>
      <c r="G16" s="13"/>
      <c r="H16" s="14">
        <f>'VA_Cost by Plant Acct P10 (REG)'!H16+'VA_Cost by Plant Acct P10 (REG)'!H64</f>
        <v>0</v>
      </c>
      <c r="I16" s="13"/>
      <c r="J16" s="14">
        <f t="shared" si="0"/>
        <v>744610.27999999991</v>
      </c>
      <c r="K16" s="13"/>
      <c r="L16" s="14">
        <f t="shared" si="1"/>
        <v>24481522.780000005</v>
      </c>
      <c r="M16" s="13"/>
      <c r="N16" s="15">
        <f>'VA_Res by Plant Acct P17(REG)'!R14</f>
        <v>-9114666.5999999996</v>
      </c>
      <c r="P16" s="15">
        <f t="shared" si="2"/>
        <v>15366856.180000005</v>
      </c>
    </row>
    <row r="17" spans="1:16" x14ac:dyDescent="0.2">
      <c r="A17" s="3" t="s">
        <v>159</v>
      </c>
      <c r="B17" s="14">
        <f>'VA_Cost by Plant Acct P10 (REG)'!B65</f>
        <v>0</v>
      </c>
      <c r="C17" s="13"/>
      <c r="D17" s="14">
        <f>'VA_Cost by Plant Acct P10 (REG)'!D65</f>
        <v>0</v>
      </c>
      <c r="E17" s="13"/>
      <c r="F17" s="14">
        <v>0</v>
      </c>
      <c r="G17" s="13"/>
      <c r="H17" s="14">
        <f>'VA_Cost by Plant Acct P10 (REG)'!H17</f>
        <v>0</v>
      </c>
      <c r="I17" s="13"/>
      <c r="J17" s="14">
        <f t="shared" si="0"/>
        <v>0</v>
      </c>
      <c r="K17" s="13"/>
      <c r="L17" s="14">
        <f t="shared" si="1"/>
        <v>0</v>
      </c>
      <c r="M17" s="13"/>
      <c r="N17" s="15">
        <f>'VA_Res by Plant Acct P17(REG)'!R15</f>
        <v>0</v>
      </c>
      <c r="P17" s="15">
        <f t="shared" si="2"/>
        <v>0</v>
      </c>
    </row>
    <row r="18" spans="1:16" x14ac:dyDescent="0.2">
      <c r="A18" s="3" t="s">
        <v>160</v>
      </c>
      <c r="B18" s="14">
        <f>'VA_Cost by Plant Acct P10 (REG)'!B17+'VA_Cost by Plant Acct P10 (REG)'!B66</f>
        <v>3952429.3300000005</v>
      </c>
      <c r="C18" s="13"/>
      <c r="D18" s="14">
        <f>'VA_Cost by Plant Acct P10 (REG)'!D17+'VA_Cost by Plant Acct P10 (REG)'!D66</f>
        <v>194229.86</v>
      </c>
      <c r="E18" s="13"/>
      <c r="F18" s="14">
        <f>'VA_Cost by Plant Acct P10 (REG)'!F17</f>
        <v>-7098.66</v>
      </c>
      <c r="G18" s="13"/>
      <c r="H18" s="14">
        <f>'VA_Cost by Plant Acct P10 (REG)'!H17</f>
        <v>0</v>
      </c>
      <c r="I18" s="13"/>
      <c r="J18" s="14">
        <f t="shared" si="0"/>
        <v>187131.19999999998</v>
      </c>
      <c r="K18" s="13"/>
      <c r="L18" s="14">
        <f t="shared" si="1"/>
        <v>4139560.5300000007</v>
      </c>
      <c r="M18" s="13"/>
      <c r="N18" s="15">
        <f>'VA_Res by Plant Acct P17(REG)'!R16</f>
        <v>-564430.45000000007</v>
      </c>
      <c r="P18" s="15">
        <f t="shared" si="2"/>
        <v>3575130.0800000005</v>
      </c>
    </row>
    <row r="19" spans="1:16" x14ac:dyDescent="0.2">
      <c r="A19" s="3" t="s">
        <v>161</v>
      </c>
      <c r="B19" s="14">
        <f>'VA_Cost by Plant Acct P10 (REG)'!B18+'VA_Cost by Plant Acct P10 (REG)'!B67</f>
        <v>13334888.539999999</v>
      </c>
      <c r="C19" s="13"/>
      <c r="D19" s="14">
        <f>'VA_Cost by Plant Acct P10 (REG)'!D18+'VA_Cost by Plant Acct P10 (REG)'!D67</f>
        <v>16330.71</v>
      </c>
      <c r="E19" s="13"/>
      <c r="F19" s="14">
        <f>'VA_Cost by Plant Acct P10 (REG)'!F18</f>
        <v>-628070.57999999996</v>
      </c>
      <c r="G19" s="13"/>
      <c r="H19" s="14">
        <f>'VA_Cost by Plant Acct P10 (REG)'!H18</f>
        <v>0</v>
      </c>
      <c r="I19" s="13"/>
      <c r="J19" s="14">
        <f t="shared" si="0"/>
        <v>-611739.87</v>
      </c>
      <c r="K19" s="13"/>
      <c r="L19" s="14">
        <f t="shared" si="1"/>
        <v>12723148.67</v>
      </c>
      <c r="M19" s="13"/>
      <c r="N19" s="15">
        <f>'VA_Res by Plant Acct P17(REG)'!R17</f>
        <v>-6959364.0700000012</v>
      </c>
      <c r="P19" s="15">
        <f t="shared" si="2"/>
        <v>5763784.5999999987</v>
      </c>
    </row>
    <row r="20" spans="1:16" x14ac:dyDescent="0.2">
      <c r="A20" s="3" t="s">
        <v>162</v>
      </c>
      <c r="B20" s="14">
        <f>'VA_Cost by Plant Acct P10 (REG)'!B19+'VA_Cost by Plant Acct P10 (REG)'!B68</f>
        <v>5218706.4200000009</v>
      </c>
      <c r="C20" s="13"/>
      <c r="D20" s="14">
        <f>'VA_Cost by Plant Acct P10 (REG)'!D19+'VA_Cost by Plant Acct P10 (REG)'!D68</f>
        <v>287844.31</v>
      </c>
      <c r="E20" s="13"/>
      <c r="F20" s="14">
        <f>'VA_Cost by Plant Acct P10 (REG)'!F19</f>
        <v>-7563.32</v>
      </c>
      <c r="G20" s="13"/>
      <c r="H20" s="14">
        <f>'VA_Cost by Plant Acct P10 (REG)'!H19</f>
        <v>0</v>
      </c>
      <c r="I20" s="13"/>
      <c r="J20" s="14">
        <f t="shared" si="0"/>
        <v>280280.99</v>
      </c>
      <c r="K20" s="13"/>
      <c r="L20" s="14">
        <f t="shared" si="1"/>
        <v>5498987.4100000011</v>
      </c>
      <c r="M20" s="13"/>
      <c r="N20" s="15">
        <f>'VA_Res by Plant Acct P17(REG)'!R18</f>
        <v>-4189392.6499999994</v>
      </c>
      <c r="P20" s="15">
        <f t="shared" si="2"/>
        <v>1309594.7600000016</v>
      </c>
    </row>
    <row r="21" spans="1:16" x14ac:dyDescent="0.2">
      <c r="A21" s="3" t="s">
        <v>163</v>
      </c>
      <c r="B21" s="14">
        <f>'VA_Cost by Plant Acct P10 (REG)'!B20+'VA_Cost by Plant Acct P10 (REG)'!B69</f>
        <v>4042189.4299999997</v>
      </c>
      <c r="C21" s="13"/>
      <c r="D21" s="14">
        <f>'VA_Cost by Plant Acct P10 (REG)'!D20+'VA_Cost by Plant Acct P10 (REG)'!D69</f>
        <v>89863.920000000013</v>
      </c>
      <c r="E21" s="14">
        <f>'VA_Cost by Plant Acct P10 (REG)'!E20+'VA_Cost by Plant Acct P10 (REG)'!E69</f>
        <v>0</v>
      </c>
      <c r="F21" s="14">
        <f>'VA_Cost by Plant Acct P10 (REG)'!F20+'VA_Cost by Plant Acct P10 (REG)'!F69</f>
        <v>-21535.72</v>
      </c>
      <c r="G21" s="14">
        <f>'VA_Cost by Plant Acct P10 (REG)'!G20+'VA_Cost by Plant Acct P10 (REG)'!G69</f>
        <v>0</v>
      </c>
      <c r="H21" s="14">
        <f>'VA_Cost by Plant Acct P10 (REG)'!H20+'VA_Cost by Plant Acct P10 (REG)'!H69</f>
        <v>0</v>
      </c>
      <c r="I21" s="13"/>
      <c r="J21" s="14">
        <f t="shared" si="0"/>
        <v>68328.200000000012</v>
      </c>
      <c r="K21" s="13"/>
      <c r="L21" s="14">
        <f t="shared" si="1"/>
        <v>4110517.63</v>
      </c>
      <c r="M21" s="13"/>
      <c r="N21" s="15">
        <f>'VA_Res by Plant Acct P17(REG)'!R19</f>
        <v>-2740337.0100000002</v>
      </c>
      <c r="P21" s="15">
        <f t="shared" si="2"/>
        <v>1370180.6199999996</v>
      </c>
    </row>
    <row r="22" spans="1:16" x14ac:dyDescent="0.2">
      <c r="A22" s="3" t="s">
        <v>165</v>
      </c>
      <c r="B22" s="14">
        <f>'VA_Cost by Plant Acct P10 (REG)'!B21</f>
        <v>855168.89000000013</v>
      </c>
      <c r="C22" s="92"/>
      <c r="D22" s="14">
        <f>'VA_Cost by Plant Acct P10 (REG)'!D21</f>
        <v>0</v>
      </c>
      <c r="E22" s="92"/>
      <c r="F22" s="14">
        <f>'VA_Cost by Plant Acct P10 (REG)'!F21</f>
        <v>0</v>
      </c>
      <c r="G22" s="92"/>
      <c r="H22" s="14">
        <f>'VA_Cost by Plant Acct P10 (REG)'!H21</f>
        <v>-855168.89</v>
      </c>
      <c r="I22" s="92"/>
      <c r="J22" s="17">
        <f t="shared" si="0"/>
        <v>-855168.89</v>
      </c>
      <c r="K22" s="92"/>
      <c r="L22" s="17">
        <f t="shared" si="1"/>
        <v>0</v>
      </c>
      <c r="M22" s="13"/>
      <c r="N22" s="15">
        <f>'VA_Res by Plant Acct P17(REG)'!R20</f>
        <v>0</v>
      </c>
      <c r="P22" s="15">
        <f t="shared" si="2"/>
        <v>0</v>
      </c>
    </row>
    <row r="23" spans="1:16" x14ac:dyDescent="0.2">
      <c r="A23" s="3" t="s">
        <v>166</v>
      </c>
      <c r="B23" s="16">
        <f>'VA_Cost by Plant Acct P10 (REG)'!B22+'VA_Cost by Plant Acct P10 (REG)'!B70</f>
        <v>2620853.7999999998</v>
      </c>
      <c r="C23" s="92"/>
      <c r="D23" s="16">
        <f>'VA_Cost by Plant Acct P10 (REG)'!D22+'VA_Cost by Plant Acct P10 (REG)'!D70</f>
        <v>305375.27</v>
      </c>
      <c r="E23" s="92"/>
      <c r="F23" s="16">
        <f>'VA_Cost by Plant Acct P10 (REG)'!F22</f>
        <v>-103139.88</v>
      </c>
      <c r="G23" s="92"/>
      <c r="H23" s="16">
        <f>'VA_Cost by Plant Acct P10 (REG)'!H22+'VA_Cost by Plant Acct P10 (REG)'!H70</f>
        <v>855168.89</v>
      </c>
      <c r="I23" s="92"/>
      <c r="J23" s="16">
        <f t="shared" si="0"/>
        <v>1057404.28</v>
      </c>
      <c r="K23" s="92"/>
      <c r="L23" s="16">
        <f t="shared" si="1"/>
        <v>3678258.08</v>
      </c>
      <c r="M23" s="13"/>
      <c r="N23" s="90">
        <f>'VA_Res by Plant Acct P17(REG)'!R21</f>
        <v>-1634852.4500000002</v>
      </c>
      <c r="P23" s="90">
        <f t="shared" si="2"/>
        <v>2043405.63</v>
      </c>
    </row>
    <row r="24" spans="1:16" x14ac:dyDescent="0.2">
      <c r="B24" s="17">
        <f>SUM(B11:B23)</f>
        <v>89009593.019999981</v>
      </c>
      <c r="C24" s="92"/>
      <c r="D24" s="17">
        <f>SUM(D11:D23)</f>
        <v>4129143.3</v>
      </c>
      <c r="E24" s="92"/>
      <c r="F24" s="17">
        <f>SUM(F11:F23)</f>
        <v>-1268800.5699999998</v>
      </c>
      <c r="G24" s="92"/>
      <c r="H24" s="17">
        <f>SUM(H11:H23)</f>
        <v>-60180.359999999986</v>
      </c>
      <c r="I24" s="92"/>
      <c r="J24" s="17">
        <f>SUM(J11:J23)</f>
        <v>2800162.37</v>
      </c>
      <c r="K24" s="92"/>
      <c r="L24" s="17">
        <f>SUM(L11:L23)</f>
        <v>91809755.389999986</v>
      </c>
      <c r="M24" s="13"/>
      <c r="N24" s="17">
        <f>SUM(N11:N23)</f>
        <v>-40487349.57</v>
      </c>
      <c r="P24" s="17">
        <f>SUM(P11:P23)</f>
        <v>51322405.820000008</v>
      </c>
    </row>
    <row r="25" spans="1:16" x14ac:dyDescent="0.2">
      <c r="B25" s="17"/>
      <c r="C25" s="92"/>
      <c r="D25" s="17"/>
      <c r="E25" s="92"/>
      <c r="F25" s="17"/>
      <c r="G25" s="92"/>
      <c r="H25" s="17"/>
      <c r="I25" s="92"/>
      <c r="J25" s="17"/>
      <c r="K25" s="92"/>
      <c r="L25" s="17"/>
      <c r="M25" s="13"/>
    </row>
    <row r="26" spans="1:16" x14ac:dyDescent="0.2">
      <c r="A26" s="12" t="s">
        <v>13</v>
      </c>
      <c r="B26" s="17"/>
      <c r="C26" s="92"/>
      <c r="D26" s="17"/>
      <c r="E26" s="92"/>
      <c r="F26" s="17"/>
      <c r="G26" s="92"/>
      <c r="H26" s="17"/>
      <c r="I26" s="92"/>
      <c r="J26" s="17"/>
      <c r="K26" s="92"/>
      <c r="L26" s="17"/>
      <c r="M26" s="13"/>
    </row>
    <row r="27" spans="1:16" x14ac:dyDescent="0.2">
      <c r="A27" s="3" t="s">
        <v>170</v>
      </c>
      <c r="B27" s="17">
        <f>'VA_Cost by Plant Acct P10 (REG)'!B26</f>
        <v>80601.7</v>
      </c>
      <c r="C27" s="92"/>
      <c r="D27" s="17">
        <f>'VA_Cost by Plant Acct P10 (REG)'!D26</f>
        <v>300027.74</v>
      </c>
      <c r="E27" s="92"/>
      <c r="F27" s="17">
        <f>'VA_Cost by Plant Acct P10 (REG)'!F26</f>
        <v>0</v>
      </c>
      <c r="G27" s="92"/>
      <c r="H27" s="17">
        <f>'VA_Cost by Plant Acct P10 (REG)'!H26</f>
        <v>0</v>
      </c>
      <c r="I27" s="92"/>
      <c r="J27" s="17">
        <f>H27+F27+D27</f>
        <v>300027.74</v>
      </c>
      <c r="K27" s="92"/>
      <c r="L27" s="17">
        <f t="shared" ref="L27:L39" si="3">J27+B27</f>
        <v>380629.44</v>
      </c>
      <c r="M27" s="13"/>
      <c r="N27" s="15">
        <v>0</v>
      </c>
      <c r="P27" s="15">
        <f t="shared" ref="P27:P39" si="4">L27+N27</f>
        <v>380629.44</v>
      </c>
    </row>
    <row r="28" spans="1:16" x14ac:dyDescent="0.2">
      <c r="A28" s="3" t="s">
        <v>171</v>
      </c>
      <c r="B28" s="17">
        <f>'VA_Cost by Plant Acct P10 (REG)'!B27+'VA_Cost by Plant Acct P10 (REG)'!B74</f>
        <v>1033575.8400000001</v>
      </c>
      <c r="C28" s="92"/>
      <c r="D28" s="17">
        <f>'VA_Cost by Plant Acct P10 (REG)'!D27+'VA_Cost by Plant Acct P10 (REG)'!D74</f>
        <v>3154.6199999999953</v>
      </c>
      <c r="E28" s="92"/>
      <c r="F28" s="17">
        <f>'VA_Cost by Plant Acct P10 (REG)'!F27+'VA_Cost by Plant Acct P10 (REG)'!F76</f>
        <v>-1358.41</v>
      </c>
      <c r="G28" s="92"/>
      <c r="H28" s="17">
        <f>'VA_Cost by Plant Acct P10 (REG)'!H27+'VA_Cost by Plant Acct P10 (REG)'!H76</f>
        <v>0</v>
      </c>
      <c r="I28" s="92"/>
      <c r="J28" s="17">
        <f>H28+F28+D28</f>
        <v>1796.2099999999953</v>
      </c>
      <c r="K28" s="92"/>
      <c r="L28" s="17">
        <f t="shared" si="3"/>
        <v>1035372.05</v>
      </c>
      <c r="M28" s="13"/>
      <c r="N28" s="15">
        <f>'VA_Res by Plant Acct P17(REG)'!R25</f>
        <v>-285150.9800000001</v>
      </c>
      <c r="P28" s="15">
        <f t="shared" si="4"/>
        <v>750221.07</v>
      </c>
    </row>
    <row r="29" spans="1:16" x14ac:dyDescent="0.2">
      <c r="A29" s="3" t="s">
        <v>3395</v>
      </c>
      <c r="B29" s="17">
        <f>'VA_Cost by Plant Acct P10 (REG)'!B28</f>
        <v>40883.599999999999</v>
      </c>
      <c r="C29" s="92"/>
      <c r="D29" s="17">
        <f>'VA_Cost by Plant Acct P10 (REG)'!D28</f>
        <v>0</v>
      </c>
      <c r="E29" s="92"/>
      <c r="F29" s="17">
        <f>'VA_Cost by Plant Acct P10 (REG)'!F28</f>
        <v>0</v>
      </c>
      <c r="G29" s="92"/>
      <c r="H29" s="17">
        <f>'VA_Cost by Plant Acct P10 (REG)'!H28</f>
        <v>0</v>
      </c>
      <c r="I29" s="92"/>
      <c r="J29" s="17">
        <v>0</v>
      </c>
      <c r="K29" s="92"/>
      <c r="L29" s="17">
        <f t="shared" si="3"/>
        <v>40883.599999999999</v>
      </c>
      <c r="M29" s="13"/>
      <c r="N29" s="15">
        <f>'VA_Res by Plant Acct P17(REG)'!R28</f>
        <v>-44181.960000000006</v>
      </c>
      <c r="P29" s="15">
        <f t="shared" si="4"/>
        <v>-3298.3600000000079</v>
      </c>
    </row>
    <row r="30" spans="1:16" x14ac:dyDescent="0.2">
      <c r="A30" s="3" t="s">
        <v>173</v>
      </c>
      <c r="B30" s="17">
        <f>'VA_Cost by Plant Acct P10 (REG)'!B29</f>
        <v>7397.76</v>
      </c>
      <c r="C30" s="92"/>
      <c r="D30" s="17">
        <f>'VA_Cost by Plant Acct P10 (REG)'!D29</f>
        <v>0</v>
      </c>
      <c r="E30" s="92"/>
      <c r="F30" s="17">
        <f>'VA_Cost by Plant Acct P10 (REG)'!F29</f>
        <v>-7397.76</v>
      </c>
      <c r="G30" s="92"/>
      <c r="H30" s="17">
        <f>'VA_Cost by Plant Acct P10 (REG)'!H29</f>
        <v>0</v>
      </c>
      <c r="I30" s="92"/>
      <c r="J30" s="17">
        <f t="shared" ref="J30:J39" si="5">H30+F30+D30</f>
        <v>-7397.76</v>
      </c>
      <c r="K30" s="92"/>
      <c r="L30" s="17">
        <f t="shared" si="3"/>
        <v>0</v>
      </c>
      <c r="M30" s="13"/>
      <c r="N30" s="15">
        <f>'VA_Res by Plant Acct P17(REG)'!R29</f>
        <v>0</v>
      </c>
      <c r="P30" s="15">
        <f t="shared" si="4"/>
        <v>0</v>
      </c>
    </row>
    <row r="31" spans="1:16" x14ac:dyDescent="0.2">
      <c r="A31" s="3" t="s">
        <v>3396</v>
      </c>
      <c r="B31" s="17">
        <f>'VA_Cost by Plant Acct P10 (REG)'!B30</f>
        <v>0</v>
      </c>
      <c r="C31" s="92"/>
      <c r="D31" s="17">
        <f>'VA_Cost by Plant Acct P10 (REG)'!D30</f>
        <v>0</v>
      </c>
      <c r="E31" s="92"/>
      <c r="F31" s="17">
        <f>'VA_Cost by Plant Acct P10 (REG)'!F30</f>
        <v>0</v>
      </c>
      <c r="G31" s="92"/>
      <c r="H31" s="17">
        <f>'VA_Cost by Plant Acct P10 (REG)'!H30</f>
        <v>0</v>
      </c>
      <c r="I31" s="92"/>
      <c r="J31" s="17">
        <f t="shared" si="5"/>
        <v>0</v>
      </c>
      <c r="K31" s="92"/>
      <c r="L31" s="17">
        <f t="shared" si="3"/>
        <v>0</v>
      </c>
      <c r="M31" s="13"/>
      <c r="N31" s="15">
        <f>'VA_Res by Plant Acct P17(REG)'!R30</f>
        <v>308.65000000000055</v>
      </c>
      <c r="P31" s="15">
        <f t="shared" si="4"/>
        <v>308.65000000000055</v>
      </c>
    </row>
    <row r="32" spans="1:16" x14ac:dyDescent="0.2">
      <c r="A32" s="3" t="s">
        <v>177</v>
      </c>
      <c r="B32" s="17">
        <f>'VA_Cost by Plant Acct P10 (REG)'!B31</f>
        <v>0</v>
      </c>
      <c r="C32" s="92"/>
      <c r="D32" s="17">
        <f>'VA_Cost by Plant Acct P10 (REG)'!D31</f>
        <v>0</v>
      </c>
      <c r="E32" s="92"/>
      <c r="F32" s="17">
        <f>'VA_Cost by Plant Acct P10 (REG)'!F31</f>
        <v>0</v>
      </c>
      <c r="G32" s="92"/>
      <c r="H32" s="17">
        <f>'VA_Cost by Plant Acct P10 (REG)'!H31</f>
        <v>0</v>
      </c>
      <c r="I32" s="92"/>
      <c r="J32" s="17">
        <f t="shared" si="5"/>
        <v>0</v>
      </c>
      <c r="K32" s="92"/>
      <c r="L32" s="17">
        <f t="shared" si="3"/>
        <v>0</v>
      </c>
      <c r="M32" s="13"/>
      <c r="N32" s="15">
        <f>'VA_Res by Plant Acct P17(REG)'!R31</f>
        <v>-7.2759576141834259E-12</v>
      </c>
      <c r="P32" s="15">
        <f t="shared" si="4"/>
        <v>-7.2759576141834259E-12</v>
      </c>
    </row>
    <row r="33" spans="1:16" x14ac:dyDescent="0.2">
      <c r="A33" s="3" t="s">
        <v>179</v>
      </c>
      <c r="B33" s="17">
        <f>'VA_Cost by Plant Acct P10 (REG)'!B32</f>
        <v>4526.22</v>
      </c>
      <c r="C33" s="92"/>
      <c r="D33" s="17">
        <f>'VA_Cost by Plant Acct P10 (REG)'!D32</f>
        <v>0</v>
      </c>
      <c r="E33" s="92"/>
      <c r="F33" s="17">
        <f>'VA_Cost by Plant Acct P10 (REG)'!F32</f>
        <v>0</v>
      </c>
      <c r="G33" s="92"/>
      <c r="H33" s="17">
        <f>'VA_Cost by Plant Acct P10 (REG)'!H32</f>
        <v>0</v>
      </c>
      <c r="I33" s="92"/>
      <c r="J33" s="17">
        <f t="shared" si="5"/>
        <v>0</v>
      </c>
      <c r="K33" s="92"/>
      <c r="L33" s="17">
        <f t="shared" si="3"/>
        <v>4526.22</v>
      </c>
      <c r="M33" s="13"/>
      <c r="N33" s="15">
        <f>'VA_Res by Plant Acct P17(REG)'!R32</f>
        <v>-3492.2499999999995</v>
      </c>
      <c r="P33" s="15">
        <f t="shared" si="4"/>
        <v>1033.9700000000007</v>
      </c>
    </row>
    <row r="34" spans="1:16" x14ac:dyDescent="0.2">
      <c r="A34" s="3" t="s">
        <v>180</v>
      </c>
      <c r="B34" s="17">
        <f>'VA_Cost by Plant Acct P10 (REG)'!B33+'VA_Cost by Plant Acct P10 (REG)'!B75</f>
        <v>464251.89000000007</v>
      </c>
      <c r="C34" s="92"/>
      <c r="D34" s="17">
        <f>'VA_Cost by Plant Acct P10 (REG)'!D33+'VA_Cost by Plant Acct P10 (REG)'!D75</f>
        <v>13144.79</v>
      </c>
      <c r="E34" s="92"/>
      <c r="F34" s="17">
        <f>'VA_Cost by Plant Acct P10 (REG)'!F33+'VA_Cost by Plant Acct P10 (REG)'!F75</f>
        <v>-3924.21</v>
      </c>
      <c r="G34" s="92"/>
      <c r="H34" s="17">
        <f>'VA_Cost by Plant Acct P10 (REG)'!H33+'VA_Cost by Plant Acct P10 (REG)'!H75</f>
        <v>0</v>
      </c>
      <c r="I34" s="92"/>
      <c r="J34" s="17">
        <f t="shared" si="5"/>
        <v>9220.5800000000017</v>
      </c>
      <c r="K34" s="92"/>
      <c r="L34" s="17">
        <f t="shared" si="3"/>
        <v>473472.47000000009</v>
      </c>
      <c r="M34" s="13"/>
      <c r="N34" s="15">
        <f>'VA_Res by Plant Acct P17(REG)'!R33</f>
        <v>-185488.93</v>
      </c>
      <c r="P34" s="15">
        <f t="shared" si="4"/>
        <v>287983.5400000001</v>
      </c>
    </row>
    <row r="35" spans="1:16" x14ac:dyDescent="0.2">
      <c r="A35" s="3" t="s">
        <v>181</v>
      </c>
      <c r="B35" s="17">
        <f>'VA_Cost by Plant Acct P10 (REG)'!B34</f>
        <v>0</v>
      </c>
      <c r="C35" s="92"/>
      <c r="D35" s="17">
        <f>'VA_Cost by Plant Acct P10 (REG)'!D34</f>
        <v>0</v>
      </c>
      <c r="E35" s="92"/>
      <c r="F35" s="17">
        <f>'VA_Cost by Plant Acct P10 (REG)'!F34</f>
        <v>0</v>
      </c>
      <c r="G35" s="92"/>
      <c r="H35" s="17">
        <f>'VA_Cost by Plant Acct P10 (REG)'!H34</f>
        <v>0</v>
      </c>
      <c r="I35" s="92"/>
      <c r="J35" s="17">
        <f t="shared" si="5"/>
        <v>0</v>
      </c>
      <c r="K35" s="92"/>
      <c r="L35" s="17">
        <f t="shared" si="3"/>
        <v>0</v>
      </c>
      <c r="M35" s="13"/>
      <c r="N35" s="15">
        <f>'VA_Res by Plant Acct P17(REG)'!R34</f>
        <v>0</v>
      </c>
      <c r="P35" s="15">
        <f t="shared" si="4"/>
        <v>0</v>
      </c>
    </row>
    <row r="36" spans="1:16" x14ac:dyDescent="0.2">
      <c r="A36" s="3" t="s">
        <v>3238</v>
      </c>
      <c r="B36" s="17">
        <f>'VA_Cost by Plant Acct P10 (REG)'!B35</f>
        <v>282277.26</v>
      </c>
      <c r="C36" s="92"/>
      <c r="D36" s="17">
        <f>'VA_Cost by Plant Acct P10 (REG)'!D76+'VA_Cost by Plant Acct P10 (REG)'!D35</f>
        <v>0</v>
      </c>
      <c r="E36" s="92"/>
      <c r="F36" s="17">
        <f>'VA_Cost by Plant Acct P10 (REG)'!F76</f>
        <v>0</v>
      </c>
      <c r="G36" s="92"/>
      <c r="H36" s="17">
        <f>'VA_Cost by Plant Acct P10 (REG)'!H76</f>
        <v>0</v>
      </c>
      <c r="I36" s="92"/>
      <c r="J36" s="17">
        <f t="shared" si="5"/>
        <v>0</v>
      </c>
      <c r="K36" s="92"/>
      <c r="L36" s="17">
        <f t="shared" si="3"/>
        <v>282277.26</v>
      </c>
      <c r="M36" s="13"/>
      <c r="N36" s="15">
        <f>'VA_Res by Plant Acct P17(REG)'!R35</f>
        <v>-93747.540000000008</v>
      </c>
      <c r="P36" s="15">
        <f t="shared" si="4"/>
        <v>188529.72</v>
      </c>
    </row>
    <row r="37" spans="1:16" x14ac:dyDescent="0.2">
      <c r="A37" s="3" t="s">
        <v>3239</v>
      </c>
      <c r="B37" s="17">
        <f>'VA_Cost by Plant Acct P10 (REG)'!B36+'VA_Cost by Plant Acct P10 (REG)'!B77</f>
        <v>542762.68999999994</v>
      </c>
      <c r="C37" s="92"/>
      <c r="D37" s="17">
        <f>'VA_Cost by Plant Acct P10 (REG)'!D36+'VA_Cost by Plant Acct P10 (REG)'!D77</f>
        <v>54851.64</v>
      </c>
      <c r="E37" s="92"/>
      <c r="F37" s="17">
        <f>'VA_Cost by Plant Acct P10 (REG)'!F36+'VA_Cost by Plant Acct P10 (REG)'!F77</f>
        <v>0</v>
      </c>
      <c r="G37" s="92"/>
      <c r="H37" s="17">
        <f>'VA_Cost by Plant Acct P10 (REG)'!H36+'VA_Cost by Plant Acct P10 (REG)'!H77</f>
        <v>0</v>
      </c>
      <c r="I37" s="92"/>
      <c r="J37" s="17">
        <f t="shared" si="5"/>
        <v>54851.64</v>
      </c>
      <c r="K37" s="92"/>
      <c r="L37" s="17">
        <f t="shared" si="3"/>
        <v>597614.32999999996</v>
      </c>
      <c r="M37" s="13"/>
      <c r="N37" s="15">
        <f>'VA_Res by Plant Acct P17(REG)'!R36</f>
        <v>-231198.71</v>
      </c>
      <c r="P37" s="15">
        <f t="shared" si="4"/>
        <v>366415.62</v>
      </c>
    </row>
    <row r="38" spans="1:16" x14ac:dyDescent="0.2">
      <c r="A38" s="3" t="s">
        <v>3240</v>
      </c>
      <c r="B38" s="17">
        <f>'VA_Cost by Plant Acct P10 (REG)'!B37+'VA_Cost by Plant Acct P10 (REG)'!B78</f>
        <v>382484.28</v>
      </c>
      <c r="C38" s="92"/>
      <c r="D38" s="17">
        <f>'VA_Cost by Plant Acct P10 (REG)'!D37+'VA_Cost by Plant Acct P10 (REG)'!D78</f>
        <v>0</v>
      </c>
      <c r="E38" s="92"/>
      <c r="F38" s="17">
        <f>'VA_Cost by Plant Acct P10 (REG)'!F37+'VA_Cost by Plant Acct P10 (REG)'!F78</f>
        <v>0</v>
      </c>
      <c r="G38" s="92"/>
      <c r="H38" s="17">
        <f>'VA_Cost by Plant Acct P10 (REG)'!H37+'VA_Cost by Plant Acct P10 (REG)'!H78</f>
        <v>0</v>
      </c>
      <c r="I38" s="92"/>
      <c r="J38" s="17">
        <f t="shared" si="5"/>
        <v>0</v>
      </c>
      <c r="K38" s="92"/>
      <c r="L38" s="17">
        <f t="shared" si="3"/>
        <v>382484.28</v>
      </c>
      <c r="M38" s="13"/>
      <c r="N38" s="15">
        <f>'VA_Res by Plant Acct P17(REG)'!R37</f>
        <v>-344469.72000000003</v>
      </c>
      <c r="P38" s="15">
        <f t="shared" si="4"/>
        <v>38014.559999999998</v>
      </c>
    </row>
    <row r="39" spans="1:16" x14ac:dyDescent="0.2">
      <c r="A39" s="3" t="s">
        <v>186</v>
      </c>
      <c r="B39" s="16">
        <f>'VA_Cost by Plant Acct P10 (REG)'!B38</f>
        <v>0</v>
      </c>
      <c r="C39" s="92"/>
      <c r="D39" s="16">
        <f>'VA_Cost by Plant Acct P10 (REG)'!D38</f>
        <v>0</v>
      </c>
      <c r="E39" s="92"/>
      <c r="F39" s="16">
        <f>'VA_Cost by Plant Acct P10 (REG)'!F38</f>
        <v>0</v>
      </c>
      <c r="G39" s="92"/>
      <c r="H39" s="16">
        <f>'VA_Cost by Plant Acct P10 (REG)'!H38</f>
        <v>0</v>
      </c>
      <c r="I39" s="92"/>
      <c r="J39" s="16">
        <f t="shared" si="5"/>
        <v>0</v>
      </c>
      <c r="K39" s="92"/>
      <c r="L39" s="16">
        <f t="shared" si="3"/>
        <v>0</v>
      </c>
      <c r="M39" s="13"/>
      <c r="N39" s="90">
        <f>'VA_Res by Plant Acct P17(REG)'!R38</f>
        <v>0</v>
      </c>
      <c r="P39" s="90">
        <f t="shared" si="4"/>
        <v>0</v>
      </c>
    </row>
    <row r="40" spans="1:16" x14ac:dyDescent="0.2">
      <c r="B40" s="17">
        <f>SUM(B27:B39)</f>
        <v>2838761.24</v>
      </c>
      <c r="C40" s="92"/>
      <c r="D40" s="17">
        <f>SUM(D27:D39)</f>
        <v>371178.79</v>
      </c>
      <c r="E40" s="92"/>
      <c r="F40" s="17">
        <f>SUM(F27:F39)</f>
        <v>-12680.380000000001</v>
      </c>
      <c r="G40" s="92"/>
      <c r="H40" s="17">
        <f>SUM(H27:H39)</f>
        <v>0</v>
      </c>
      <c r="I40" s="92"/>
      <c r="J40" s="17">
        <f>SUM(J27:J39)</f>
        <v>358498.41000000003</v>
      </c>
      <c r="K40" s="92"/>
      <c r="L40" s="17">
        <f>SUM(L27:L39)</f>
        <v>3197259.6500000004</v>
      </c>
      <c r="M40" s="13"/>
      <c r="N40" s="17">
        <f>SUM(N27:N39)</f>
        <v>-1187421.4400000002</v>
      </c>
      <c r="P40" s="17">
        <f>SUM(P27:P39)</f>
        <v>2009838.21</v>
      </c>
    </row>
    <row r="41" spans="1:16" x14ac:dyDescent="0.2">
      <c r="B41" s="17"/>
      <c r="C41" s="92"/>
      <c r="D41" s="17"/>
      <c r="E41" s="92"/>
      <c r="F41" s="17"/>
      <c r="G41" s="92"/>
      <c r="H41" s="17"/>
      <c r="I41" s="92"/>
      <c r="J41" s="17"/>
      <c r="K41" s="92"/>
      <c r="L41" s="17"/>
      <c r="M41" s="13"/>
    </row>
    <row r="42" spans="1:16" x14ac:dyDescent="0.2">
      <c r="A42" s="12" t="s">
        <v>15</v>
      </c>
      <c r="B42" s="17"/>
      <c r="C42" s="92"/>
      <c r="D42" s="17"/>
      <c r="E42" s="92"/>
      <c r="F42" s="17"/>
      <c r="G42" s="92"/>
      <c r="H42" s="17"/>
      <c r="I42" s="92"/>
      <c r="J42" s="17"/>
      <c r="K42" s="92"/>
      <c r="L42" s="17"/>
      <c r="M42" s="13"/>
    </row>
    <row r="43" spans="1:16" x14ac:dyDescent="0.2">
      <c r="A43" s="3" t="s">
        <v>197</v>
      </c>
      <c r="B43" s="16">
        <f>'VA_Cost by Plant Acct P10 (REG)'!B42</f>
        <v>5338.69</v>
      </c>
      <c r="C43" s="92"/>
      <c r="D43" s="16">
        <f>'VA_Cost by Plant Acct P10 (REG)'!D42</f>
        <v>0</v>
      </c>
      <c r="E43" s="92"/>
      <c r="F43" s="16">
        <f>'VA_Cost by Plant Acct P10 (REG)'!F42</f>
        <v>0</v>
      </c>
      <c r="G43" s="92"/>
      <c r="H43" s="16">
        <f>'VA_Cost by Plant Acct P10 (REG)'!H42</f>
        <v>0</v>
      </c>
      <c r="I43" s="92"/>
      <c r="J43" s="16">
        <f>H43+F43+D43</f>
        <v>0</v>
      </c>
      <c r="K43" s="92"/>
      <c r="L43" s="16">
        <f>J43+B43</f>
        <v>5338.69</v>
      </c>
      <c r="M43" s="13"/>
      <c r="N43" s="90">
        <v>0</v>
      </c>
      <c r="P43" s="90">
        <f>L43+N43</f>
        <v>5338.69</v>
      </c>
    </row>
    <row r="44" spans="1:16" x14ac:dyDescent="0.2">
      <c r="B44" s="17">
        <f>SUM(B43)</f>
        <v>5338.69</v>
      </c>
      <c r="C44" s="92"/>
      <c r="D44" s="17">
        <f>SUM(D43)</f>
        <v>0</v>
      </c>
      <c r="E44" s="92"/>
      <c r="F44" s="17">
        <f>SUM(F43)</f>
        <v>0</v>
      </c>
      <c r="G44" s="92"/>
      <c r="H44" s="17">
        <f>SUM(H43)</f>
        <v>0</v>
      </c>
      <c r="I44" s="92"/>
      <c r="J44" s="17">
        <f>SUM(J43)</f>
        <v>0</v>
      </c>
      <c r="K44" s="92"/>
      <c r="L44" s="17">
        <f>SUM(L43)</f>
        <v>5338.69</v>
      </c>
      <c r="M44" s="13"/>
      <c r="N44" s="17">
        <f>SUM(N43)</f>
        <v>0</v>
      </c>
      <c r="P44" s="17">
        <f>SUM(P43)</f>
        <v>5338.69</v>
      </c>
    </row>
    <row r="45" spans="1:16" x14ac:dyDescent="0.2">
      <c r="B45" s="17"/>
      <c r="C45" s="92"/>
      <c r="D45" s="17"/>
      <c r="E45" s="92"/>
      <c r="F45" s="17"/>
      <c r="G45" s="92"/>
      <c r="H45" s="17"/>
      <c r="I45" s="92"/>
      <c r="J45" s="17"/>
      <c r="K45" s="92"/>
      <c r="L45" s="17"/>
      <c r="M45" s="13"/>
    </row>
    <row r="46" spans="1:16" x14ac:dyDescent="0.2">
      <c r="A46" s="12" t="s">
        <v>18</v>
      </c>
      <c r="B46" s="17"/>
      <c r="C46" s="92"/>
      <c r="D46" s="17"/>
      <c r="E46" s="92"/>
      <c r="F46" s="17"/>
      <c r="G46" s="92"/>
      <c r="H46" s="17"/>
      <c r="I46" s="92"/>
      <c r="J46" s="17"/>
      <c r="K46" s="92"/>
      <c r="L46" s="17"/>
      <c r="M46" s="13"/>
    </row>
    <row r="47" spans="1:16" x14ac:dyDescent="0.2">
      <c r="A47" s="3" t="s">
        <v>227</v>
      </c>
      <c r="B47" s="17">
        <f>'VA_Cost by Plant Acct P10 (REG)'!B46</f>
        <v>2118631.2200000002</v>
      </c>
      <c r="C47" s="92"/>
      <c r="D47" s="17">
        <f>'VA_Cost by Plant Acct P10 (REG)'!D46</f>
        <v>100844.38</v>
      </c>
      <c r="E47" s="92"/>
      <c r="F47" s="17">
        <f>'VA_Cost by Plant Acct P10 (REG)'!F46</f>
        <v>0</v>
      </c>
      <c r="G47" s="92"/>
      <c r="H47" s="17">
        <f>'VA_Cost by Plant Acct P10 (REG)'!H46</f>
        <v>0</v>
      </c>
      <c r="I47" s="92"/>
      <c r="J47" s="17">
        <f t="shared" ref="J47:J55" si="6">H47+F47+D47</f>
        <v>100844.38</v>
      </c>
      <c r="K47" s="92"/>
      <c r="L47" s="17">
        <f t="shared" ref="L47:L55" si="7">J47+B47</f>
        <v>2219475.6</v>
      </c>
      <c r="M47" s="13"/>
      <c r="N47" s="15">
        <f>'VA_Res by Plant Acct P17(REG)'!R44</f>
        <v>-1925671.7699999998</v>
      </c>
      <c r="P47" s="15">
        <f t="shared" ref="P47:P55" si="8">L47+N47</f>
        <v>293803.83000000031</v>
      </c>
    </row>
    <row r="48" spans="1:16" x14ac:dyDescent="0.2">
      <c r="A48" s="3" t="s">
        <v>228</v>
      </c>
      <c r="B48" s="17">
        <f>'VA_Cost by Plant Acct P10 (REG)'!B47</f>
        <v>45700.5</v>
      </c>
      <c r="C48" s="92"/>
      <c r="D48" s="17">
        <f>'VA_Cost by Plant Acct P10 (REG)'!D47</f>
        <v>0</v>
      </c>
      <c r="E48" s="92"/>
      <c r="F48" s="17">
        <f>'VA_Cost by Plant Acct P10 (REG)'!F47</f>
        <v>0</v>
      </c>
      <c r="G48" s="92"/>
      <c r="H48" s="17">
        <f>'VA_Cost by Plant Acct P10 (REG)'!H47</f>
        <v>0</v>
      </c>
      <c r="I48" s="92"/>
      <c r="J48" s="17">
        <f t="shared" si="6"/>
        <v>0</v>
      </c>
      <c r="K48" s="92"/>
      <c r="L48" s="17">
        <f t="shared" si="7"/>
        <v>45700.5</v>
      </c>
      <c r="M48" s="13"/>
      <c r="N48" s="15">
        <v>0</v>
      </c>
      <c r="P48" s="15">
        <f t="shared" si="8"/>
        <v>45700.5</v>
      </c>
    </row>
    <row r="49" spans="1:16" x14ac:dyDescent="0.2">
      <c r="A49" s="3" t="s">
        <v>229</v>
      </c>
      <c r="B49" s="17">
        <f>'VA_Cost by Plant Acct P10 (REG)'!B48</f>
        <v>1617920.16</v>
      </c>
      <c r="C49" s="92"/>
      <c r="D49" s="17">
        <f>'VA_Cost by Plant Acct P10 (REG)'!D48+'VA_Cost by Plant Acct P10 (REG)'!D81</f>
        <v>0</v>
      </c>
      <c r="E49" s="92"/>
      <c r="F49" s="17">
        <f>'VA_Cost by Plant Acct P10 (REG)'!F48</f>
        <v>-358.97</v>
      </c>
      <c r="G49" s="92"/>
      <c r="H49" s="17">
        <f>'VA_Cost by Plant Acct P10 (REG)'!H48</f>
        <v>0</v>
      </c>
      <c r="I49" s="92"/>
      <c r="J49" s="17">
        <f t="shared" si="6"/>
        <v>-358.97</v>
      </c>
      <c r="K49" s="92"/>
      <c r="L49" s="17">
        <f t="shared" si="7"/>
        <v>1617561.19</v>
      </c>
      <c r="M49" s="13"/>
      <c r="N49" s="15">
        <f>'VA_Res by Plant Acct P17(REG)'!R45</f>
        <v>-807162.27000000025</v>
      </c>
      <c r="P49" s="15">
        <f t="shared" si="8"/>
        <v>810398.91999999969</v>
      </c>
    </row>
    <row r="50" spans="1:16" x14ac:dyDescent="0.2">
      <c r="A50" s="3" t="s">
        <v>231</v>
      </c>
      <c r="B50" s="17">
        <f>'VA_Cost by Plant Acct P10 (REG)'!B49+'VA_Cost by Plant Acct P10 (REG)'!B82</f>
        <v>21870116.02</v>
      </c>
      <c r="C50" s="92"/>
      <c r="D50" s="17">
        <f>'VA_Cost by Plant Acct P10 (REG)'!D82+'VA_Cost by Plant Acct P10 (REG)'!D49</f>
        <v>550982.36</v>
      </c>
      <c r="E50" s="92"/>
      <c r="F50" s="17">
        <f>'VA_Cost by Plant Acct P10 (REG)'!F49</f>
        <v>-53813.64</v>
      </c>
      <c r="G50" s="92"/>
      <c r="H50" s="17">
        <f>'VA_Cost by Plant Acct P10 (REG)'!H49</f>
        <v>51847.62</v>
      </c>
      <c r="I50" s="92"/>
      <c r="J50" s="17">
        <f t="shared" si="6"/>
        <v>549016.34</v>
      </c>
      <c r="K50" s="92"/>
      <c r="L50" s="17">
        <f t="shared" si="7"/>
        <v>22419132.359999999</v>
      </c>
      <c r="M50" s="13"/>
      <c r="N50" s="15">
        <f>'VA_Res by Plant Acct P17(REG)'!R46</f>
        <v>-7707875.2700000023</v>
      </c>
      <c r="P50" s="15">
        <f t="shared" si="8"/>
        <v>14711257.089999996</v>
      </c>
    </row>
    <row r="51" spans="1:16" x14ac:dyDescent="0.2">
      <c r="A51" s="3" t="s">
        <v>234</v>
      </c>
      <c r="B51" s="17">
        <f>'VA_Cost by Plant Acct P10 (REG)'!B50</f>
        <v>7181081.3000000007</v>
      </c>
      <c r="C51" s="92"/>
      <c r="D51" s="17">
        <f>'VA_Cost by Plant Acct P10 (REG)'!D50</f>
        <v>0</v>
      </c>
      <c r="E51" s="92"/>
      <c r="F51" s="17">
        <f>'VA_Cost by Plant Acct P10 (REG)'!F50</f>
        <v>0</v>
      </c>
      <c r="G51" s="92"/>
      <c r="H51" s="17">
        <f>'VA_Cost by Plant Acct P10 (REG)'!H50</f>
        <v>0</v>
      </c>
      <c r="I51" s="92"/>
      <c r="J51" s="17">
        <f t="shared" si="6"/>
        <v>0</v>
      </c>
      <c r="K51" s="92"/>
      <c r="L51" s="17">
        <f t="shared" si="7"/>
        <v>7181081.3000000007</v>
      </c>
      <c r="M51" s="13"/>
      <c r="N51" s="15">
        <f>'VA_Res by Plant Acct P17(REG)'!R47</f>
        <v>-4925050.629999999</v>
      </c>
      <c r="P51" s="15">
        <f t="shared" si="8"/>
        <v>2256030.6700000018</v>
      </c>
    </row>
    <row r="52" spans="1:16" x14ac:dyDescent="0.2">
      <c r="A52" s="3" t="s">
        <v>235</v>
      </c>
      <c r="B52" s="17">
        <f>'VA_Cost by Plant Acct P10 (REG)'!B51+'VA_Cost by Plant Acct P10 (REG)'!B83</f>
        <v>11213584.189999999</v>
      </c>
      <c r="C52" s="92"/>
      <c r="D52" s="17">
        <f>'VA_Cost by Plant Acct P10 (REG)'!D51+'VA_Cost by Plant Acct P10 (REG)'!D83</f>
        <v>264232.0199999999</v>
      </c>
      <c r="E52" s="92"/>
      <c r="F52" s="17">
        <f>'VA_Cost by Plant Acct P10 (REG)'!F51+'VA_Cost by Plant Acct P10 (REG)'!F83</f>
        <v>-188375.09</v>
      </c>
      <c r="G52" s="92"/>
      <c r="H52" s="17">
        <f>'VA_Cost by Plant Acct P10 (REG)'!H51+'VA_Cost by Plant Acct P10 (REG)'!H83</f>
        <v>-51847.62</v>
      </c>
      <c r="I52" s="92"/>
      <c r="J52" s="17">
        <f t="shared" si="6"/>
        <v>24009.30999999991</v>
      </c>
      <c r="K52" s="92"/>
      <c r="L52" s="17">
        <f t="shared" si="7"/>
        <v>11237593.5</v>
      </c>
      <c r="M52" s="13"/>
      <c r="N52" s="15">
        <f>'VA_Res by Plant Acct P17(REG)'!R48</f>
        <v>-4352326.0700000012</v>
      </c>
      <c r="P52" s="15">
        <f t="shared" si="8"/>
        <v>6885267.4299999988</v>
      </c>
    </row>
    <row r="53" spans="1:16" x14ac:dyDescent="0.2">
      <c r="A53" s="3" t="s">
        <v>236</v>
      </c>
      <c r="B53" s="17">
        <f>'VA_Cost by Plant Acct P10 (REG)'!B52+'VA_Cost by Plant Acct P10 (REG)'!B84</f>
        <v>16826191.550000001</v>
      </c>
      <c r="C53" s="92"/>
      <c r="D53" s="17">
        <f>'VA_Cost by Plant Acct P10 (REG)'!D52+'VA_Cost by Plant Acct P10 (REG)'!D84</f>
        <v>19849.669999999984</v>
      </c>
      <c r="E53" s="92"/>
      <c r="F53" s="17">
        <f>'VA_Cost by Plant Acct P10 (REG)'!F52+'VA_Cost by Plant Acct P10 (REG)'!F84</f>
        <v>-65749.100000000006</v>
      </c>
      <c r="G53" s="92"/>
      <c r="H53" s="17">
        <f>'VA_Cost by Plant Acct P10 (REG)'!H52+'VA_Cost by Plant Acct P10 (REG)'!H84</f>
        <v>0</v>
      </c>
      <c r="I53" s="92"/>
      <c r="J53" s="17">
        <f t="shared" si="6"/>
        <v>-45899.430000000022</v>
      </c>
      <c r="K53" s="92"/>
      <c r="L53" s="17">
        <f t="shared" si="7"/>
        <v>16780292.120000001</v>
      </c>
      <c r="M53" s="13"/>
      <c r="N53" s="15">
        <f>'VA_Res by Plant Acct P17(REG)'!R49</f>
        <v>-10181763.579999996</v>
      </c>
      <c r="P53" s="15">
        <f t="shared" si="8"/>
        <v>6598528.5400000047</v>
      </c>
    </row>
    <row r="54" spans="1:16" x14ac:dyDescent="0.2">
      <c r="A54" s="3" t="s">
        <v>237</v>
      </c>
      <c r="B54" s="17">
        <v>0</v>
      </c>
      <c r="C54" s="92"/>
      <c r="D54" s="17">
        <v>0</v>
      </c>
      <c r="E54" s="92"/>
      <c r="F54" s="17">
        <v>0</v>
      </c>
      <c r="G54" s="92"/>
      <c r="H54" s="17">
        <v>0</v>
      </c>
      <c r="I54" s="92"/>
      <c r="J54" s="17">
        <f t="shared" si="6"/>
        <v>0</v>
      </c>
      <c r="K54" s="92"/>
      <c r="L54" s="17">
        <f t="shared" si="7"/>
        <v>0</v>
      </c>
      <c r="M54" s="13"/>
      <c r="N54" s="15">
        <f>'VA_Res by Plant Acct P17(REG)'!R50</f>
        <v>0</v>
      </c>
      <c r="P54" s="15">
        <f t="shared" si="8"/>
        <v>0</v>
      </c>
    </row>
    <row r="55" spans="1:16" x14ac:dyDescent="0.2">
      <c r="A55" s="3" t="s">
        <v>3397</v>
      </c>
      <c r="B55" s="16">
        <v>0</v>
      </c>
      <c r="C55" s="92"/>
      <c r="D55" s="16">
        <v>0</v>
      </c>
      <c r="E55" s="92"/>
      <c r="F55" s="16">
        <v>0</v>
      </c>
      <c r="G55" s="92"/>
      <c r="H55" s="16">
        <v>0</v>
      </c>
      <c r="I55" s="92"/>
      <c r="J55" s="16">
        <f t="shared" si="6"/>
        <v>0</v>
      </c>
      <c r="K55" s="92"/>
      <c r="L55" s="16">
        <f t="shared" si="7"/>
        <v>0</v>
      </c>
      <c r="M55" s="13"/>
      <c r="N55" s="90">
        <f>'VA_Res by Plant Acct P17(REG)'!R51</f>
        <v>0</v>
      </c>
      <c r="P55" s="90">
        <f t="shared" si="8"/>
        <v>0</v>
      </c>
    </row>
    <row r="56" spans="1:16" x14ac:dyDescent="0.2">
      <c r="B56" s="17">
        <f>SUM(B47:B55)</f>
        <v>60873224.939999998</v>
      </c>
      <c r="C56" s="92"/>
      <c r="D56" s="17">
        <f>SUM(D47:D55)</f>
        <v>935908.42999999993</v>
      </c>
      <c r="E56" s="92"/>
      <c r="F56" s="17">
        <f>SUM(F47:F55)</f>
        <v>-308296.80000000005</v>
      </c>
      <c r="G56" s="92"/>
      <c r="H56" s="17">
        <f>SUM(H47:H55)</f>
        <v>0</v>
      </c>
      <c r="I56" s="92"/>
      <c r="J56" s="17">
        <f>SUM(J47:J55)</f>
        <v>627611.62999999989</v>
      </c>
      <c r="K56" s="92"/>
      <c r="L56" s="17">
        <f>SUM(L47:L55)</f>
        <v>61500836.570000008</v>
      </c>
      <c r="M56" s="13"/>
      <c r="N56" s="17">
        <f>SUM(N47:N55)</f>
        <v>-29899849.589999996</v>
      </c>
      <c r="P56" s="17">
        <f>SUM(P47:P55)</f>
        <v>31600986.980000004</v>
      </c>
    </row>
    <row r="57" spans="1:16" x14ac:dyDescent="0.2">
      <c r="B57" s="17"/>
      <c r="C57" s="13"/>
      <c r="D57" s="17"/>
      <c r="E57" s="13"/>
      <c r="F57" s="17"/>
      <c r="G57" s="13"/>
      <c r="H57" s="17"/>
      <c r="I57" s="13"/>
      <c r="J57" s="17"/>
      <c r="K57" s="13"/>
      <c r="L57" s="17"/>
      <c r="M57" s="13"/>
    </row>
    <row r="58" spans="1:16" x14ac:dyDescent="0.2">
      <c r="C58" s="13"/>
      <c r="E58" s="13"/>
      <c r="G58" s="13"/>
      <c r="I58" s="13"/>
      <c r="K58" s="13"/>
      <c r="M58" s="13"/>
    </row>
    <row r="59" spans="1:16" ht="13.5" thickBot="1" x14ac:dyDescent="0.25">
      <c r="A59" s="12" t="s">
        <v>3398</v>
      </c>
      <c r="B59" s="78">
        <f>B56+B44+B40+B24</f>
        <v>152726917.88999999</v>
      </c>
      <c r="C59" s="92"/>
      <c r="D59" s="78">
        <f>D56+D44+D40+D24</f>
        <v>5436230.5199999996</v>
      </c>
      <c r="E59" s="92"/>
      <c r="F59" s="78">
        <f>F56+F44+F40+F24</f>
        <v>-1589777.75</v>
      </c>
      <c r="G59" s="92"/>
      <c r="H59" s="78">
        <f>H56+H44+H40+H24</f>
        <v>-60180.359999999986</v>
      </c>
      <c r="I59" s="92"/>
      <c r="J59" s="78">
        <f>J56+J44+J40+J24</f>
        <v>3786272.41</v>
      </c>
      <c r="K59" s="92"/>
      <c r="L59" s="78">
        <f>L56+L44+L40+L24</f>
        <v>156513190.29999998</v>
      </c>
      <c r="M59" s="92"/>
      <c r="N59" s="78">
        <f>N56+N44+N40+N24</f>
        <v>-71574620.599999994</v>
      </c>
      <c r="P59" s="78">
        <f>P56+P44+P40+P24</f>
        <v>84938569.700000018</v>
      </c>
    </row>
    <row r="60" spans="1:16" ht="13.5" thickTop="1" x14ac:dyDescent="0.2">
      <c r="C60" s="13"/>
      <c r="E60" s="13"/>
      <c r="G60" s="13"/>
      <c r="I60" s="13"/>
      <c r="K60" s="13"/>
      <c r="M60" s="13"/>
    </row>
    <row r="61" spans="1:16" x14ac:dyDescent="0.2">
      <c r="B61" s="14">
        <f>+B59-'VA_Cost by Plant Acct P10 (REG)'!B91</f>
        <v>0</v>
      </c>
      <c r="C61" s="13"/>
      <c r="E61" s="13"/>
      <c r="G61" s="13"/>
      <c r="I61" s="13"/>
      <c r="K61" s="13"/>
      <c r="M61" s="13"/>
    </row>
    <row r="62" spans="1:16" x14ac:dyDescent="0.2">
      <c r="C62" s="13"/>
      <c r="E62" s="13"/>
      <c r="G62" s="13"/>
      <c r="I62" s="13"/>
      <c r="K62" s="13"/>
      <c r="M62" s="13"/>
    </row>
    <row r="63" spans="1:16" x14ac:dyDescent="0.2">
      <c r="C63" s="13"/>
      <c r="E63" s="13"/>
      <c r="G63" s="13"/>
      <c r="I63" s="13"/>
      <c r="K63" s="13"/>
      <c r="M63" s="13"/>
    </row>
    <row r="64" spans="1:16" x14ac:dyDescent="0.2">
      <c r="C64" s="13"/>
      <c r="E64" s="13"/>
      <c r="G64" s="13"/>
      <c r="I64" s="13"/>
      <c r="K64" s="13"/>
      <c r="M64" s="13"/>
    </row>
    <row r="65" spans="3:13" x14ac:dyDescent="0.2">
      <c r="C65" s="13"/>
      <c r="E65" s="13"/>
      <c r="G65" s="13"/>
      <c r="I65" s="13"/>
      <c r="K65" s="13"/>
      <c r="M65" s="13"/>
    </row>
    <row r="66" spans="3:13" x14ac:dyDescent="0.2">
      <c r="C66" s="13"/>
      <c r="E66" s="13"/>
      <c r="G66" s="13"/>
      <c r="I66" s="13"/>
      <c r="K66" s="13"/>
      <c r="M66" s="13"/>
    </row>
    <row r="67" spans="3:13" x14ac:dyDescent="0.2">
      <c r="C67" s="13"/>
      <c r="E67" s="13"/>
      <c r="G67" s="13"/>
      <c r="I67" s="13"/>
      <c r="K67" s="13"/>
      <c r="M67" s="13"/>
    </row>
    <row r="68" spans="3:13" x14ac:dyDescent="0.2">
      <c r="C68" s="13"/>
      <c r="E68" s="13"/>
      <c r="G68" s="13"/>
      <c r="I68" s="13"/>
      <c r="K68" s="13"/>
      <c r="M68" s="13"/>
    </row>
    <row r="69" spans="3:13" x14ac:dyDescent="0.2">
      <c r="C69" s="13"/>
      <c r="E69" s="13"/>
      <c r="G69" s="13"/>
      <c r="I69" s="13"/>
      <c r="K69" s="13"/>
      <c r="M69" s="13"/>
    </row>
    <row r="70" spans="3:13" x14ac:dyDescent="0.2">
      <c r="C70" s="13"/>
      <c r="E70" s="13"/>
      <c r="G70" s="13"/>
      <c r="I70" s="13"/>
      <c r="K70" s="13"/>
      <c r="M70" s="13"/>
    </row>
    <row r="71" spans="3:13" x14ac:dyDescent="0.2">
      <c r="C71" s="13"/>
      <c r="E71" s="13"/>
      <c r="G71" s="13"/>
      <c r="I71" s="13"/>
      <c r="K71" s="13"/>
      <c r="M71" s="13"/>
    </row>
    <row r="72" spans="3:13" x14ac:dyDescent="0.2">
      <c r="C72" s="13"/>
      <c r="E72" s="13"/>
      <c r="G72" s="13"/>
      <c r="I72" s="13"/>
      <c r="K72" s="13"/>
      <c r="M72" s="13"/>
    </row>
    <row r="73" spans="3:13" x14ac:dyDescent="0.2">
      <c r="C73" s="13"/>
      <c r="E73" s="13"/>
      <c r="G73" s="13"/>
      <c r="I73" s="13"/>
      <c r="K73" s="13"/>
      <c r="M73" s="13"/>
    </row>
    <row r="74" spans="3:13" x14ac:dyDescent="0.2">
      <c r="C74" s="13"/>
      <c r="E74" s="13"/>
      <c r="G74" s="13"/>
      <c r="I74" s="13"/>
      <c r="K74" s="13"/>
      <c r="M74" s="13"/>
    </row>
    <row r="75" spans="3:13" x14ac:dyDescent="0.2">
      <c r="C75" s="13"/>
      <c r="E75" s="13"/>
      <c r="G75" s="13"/>
      <c r="I75" s="13"/>
      <c r="K75" s="13"/>
      <c r="M75" s="13"/>
    </row>
    <row r="76" spans="3:13" x14ac:dyDescent="0.2">
      <c r="C76" s="13"/>
      <c r="E76" s="13"/>
      <c r="G76" s="13"/>
      <c r="I76" s="13"/>
      <c r="K76" s="13"/>
      <c r="M76" s="13"/>
    </row>
    <row r="77" spans="3:13" x14ac:dyDescent="0.2">
      <c r="C77" s="13"/>
      <c r="E77" s="13"/>
      <c r="G77" s="13"/>
      <c r="I77" s="13"/>
      <c r="K77" s="13"/>
      <c r="M77" s="13"/>
    </row>
    <row r="78" spans="3:13" x14ac:dyDescent="0.2">
      <c r="C78" s="13"/>
      <c r="E78" s="13"/>
      <c r="G78" s="13"/>
      <c r="I78" s="13"/>
      <c r="K78" s="13"/>
      <c r="M78" s="13"/>
    </row>
    <row r="79" spans="3:13" x14ac:dyDescent="0.2">
      <c r="C79" s="13"/>
      <c r="E79" s="13"/>
      <c r="G79" s="13"/>
      <c r="I79" s="13"/>
      <c r="K79" s="13"/>
      <c r="M79" s="13"/>
    </row>
    <row r="80" spans="3:13" x14ac:dyDescent="0.2">
      <c r="C80" s="13"/>
      <c r="E80" s="13"/>
      <c r="G80" s="13"/>
      <c r="I80" s="13"/>
      <c r="K80" s="13"/>
      <c r="M80" s="13"/>
    </row>
    <row r="81" spans="3:13" x14ac:dyDescent="0.2">
      <c r="C81" s="13"/>
      <c r="E81" s="13"/>
      <c r="G81" s="13"/>
      <c r="I81" s="13"/>
      <c r="K81" s="13"/>
      <c r="M81" s="13"/>
    </row>
    <row r="82" spans="3:13" x14ac:dyDescent="0.2">
      <c r="C82" s="13"/>
      <c r="E82" s="13"/>
      <c r="G82" s="13"/>
      <c r="I82" s="13"/>
      <c r="K82" s="13"/>
      <c r="M82" s="13"/>
    </row>
    <row r="83" spans="3:13" x14ac:dyDescent="0.2">
      <c r="C83" s="13"/>
      <c r="E83" s="13"/>
      <c r="G83" s="13"/>
      <c r="I83" s="13"/>
      <c r="K83" s="13"/>
      <c r="M83" s="13"/>
    </row>
    <row r="84" spans="3:13" x14ac:dyDescent="0.2">
      <c r="C84" s="13"/>
      <c r="E84" s="13"/>
      <c r="G84" s="13"/>
      <c r="I84" s="13"/>
      <c r="K84" s="13"/>
      <c r="M84" s="13"/>
    </row>
    <row r="85" spans="3:13" x14ac:dyDescent="0.2">
      <c r="C85" s="13"/>
      <c r="E85" s="13"/>
      <c r="G85" s="13"/>
      <c r="I85" s="13"/>
      <c r="K85" s="13"/>
      <c r="M85" s="13"/>
    </row>
    <row r="86" spans="3:13" x14ac:dyDescent="0.2">
      <c r="C86" s="13"/>
      <c r="E86" s="13"/>
      <c r="G86" s="13"/>
      <c r="I86" s="13"/>
      <c r="K86" s="13"/>
      <c r="M86" s="13"/>
    </row>
    <row r="87" spans="3:13" x14ac:dyDescent="0.2">
      <c r="C87" s="13"/>
      <c r="E87" s="13"/>
      <c r="G87" s="13"/>
      <c r="I87" s="13"/>
      <c r="K87" s="13"/>
      <c r="M87" s="13"/>
    </row>
    <row r="88" spans="3:13" x14ac:dyDescent="0.2">
      <c r="C88" s="13"/>
      <c r="E88" s="13"/>
      <c r="G88" s="13"/>
      <c r="I88" s="13"/>
      <c r="K88" s="13"/>
      <c r="M88" s="13"/>
    </row>
    <row r="89" spans="3:13" x14ac:dyDescent="0.2">
      <c r="C89" s="13"/>
      <c r="E89" s="13"/>
      <c r="G89" s="13"/>
      <c r="I89" s="13"/>
      <c r="K89" s="13"/>
      <c r="M89" s="13"/>
    </row>
    <row r="90" spans="3:13" x14ac:dyDescent="0.2">
      <c r="C90" s="13"/>
      <c r="E90" s="13"/>
      <c r="G90" s="13"/>
      <c r="I90" s="13"/>
      <c r="K90" s="13"/>
      <c r="M90" s="13"/>
    </row>
    <row r="91" spans="3:13" x14ac:dyDescent="0.2">
      <c r="C91" s="13"/>
      <c r="E91" s="13"/>
      <c r="G91" s="13"/>
      <c r="I91" s="13"/>
      <c r="K91" s="13"/>
      <c r="M91" s="13"/>
    </row>
    <row r="92" spans="3:13" x14ac:dyDescent="0.2">
      <c r="C92" s="13"/>
      <c r="E92" s="13"/>
      <c r="G92" s="13"/>
      <c r="I92" s="13"/>
      <c r="K92" s="13"/>
      <c r="M92" s="13"/>
    </row>
    <row r="93" spans="3:13" x14ac:dyDescent="0.2">
      <c r="C93" s="13"/>
      <c r="E93" s="13"/>
      <c r="G93" s="13"/>
      <c r="I93" s="13"/>
      <c r="K93" s="13"/>
      <c r="M93" s="13"/>
    </row>
    <row r="94" spans="3:13" x14ac:dyDescent="0.2">
      <c r="C94" s="13"/>
      <c r="E94" s="13"/>
      <c r="G94" s="13"/>
      <c r="I94" s="13"/>
      <c r="K94" s="13"/>
      <c r="M94" s="13"/>
    </row>
    <row r="95" spans="3:13" x14ac:dyDescent="0.2">
      <c r="C95" s="13"/>
      <c r="E95" s="13"/>
      <c r="G95" s="13"/>
      <c r="I95" s="13"/>
      <c r="K95" s="13"/>
      <c r="M95" s="13"/>
    </row>
    <row r="96" spans="3:13" x14ac:dyDescent="0.2">
      <c r="C96" s="13"/>
      <c r="E96" s="13"/>
      <c r="G96" s="13"/>
      <c r="I96" s="13"/>
      <c r="K96" s="13"/>
      <c r="M96" s="13"/>
    </row>
    <row r="97" spans="3:13" x14ac:dyDescent="0.2">
      <c r="C97" s="13"/>
      <c r="E97" s="13"/>
      <c r="G97" s="13"/>
      <c r="I97" s="13"/>
      <c r="K97" s="13"/>
      <c r="M97" s="13"/>
    </row>
    <row r="98" spans="3:13" x14ac:dyDescent="0.2">
      <c r="C98" s="13"/>
      <c r="E98" s="13"/>
      <c r="G98" s="13"/>
      <c r="I98" s="13"/>
      <c r="K98" s="13"/>
      <c r="M98" s="13"/>
    </row>
    <row r="99" spans="3:13" x14ac:dyDescent="0.2">
      <c r="C99" s="13"/>
      <c r="E99" s="13"/>
      <c r="G99" s="13"/>
      <c r="I99" s="13"/>
      <c r="K99" s="13"/>
      <c r="M99" s="13"/>
    </row>
    <row r="100" spans="3:13" x14ac:dyDescent="0.2">
      <c r="C100" s="13"/>
      <c r="E100" s="13"/>
      <c r="G100" s="13"/>
      <c r="I100" s="13"/>
      <c r="K100" s="13"/>
      <c r="M100" s="13"/>
    </row>
  </sheetData>
  <mergeCells count="3">
    <mergeCell ref="A1:P1"/>
    <mergeCell ref="A2:P2"/>
    <mergeCell ref="A3:P3"/>
  </mergeCells>
  <printOptions horizontalCentered="1"/>
  <pageMargins left="0.75" right="0.75" top="1" bottom="1" header="0.5" footer="0.5"/>
  <pageSetup scale="67" fitToHeight="0" orientation="landscape" r:id="rId1"/>
  <headerFooter alignWithMargins="0">
    <oddFooter>&amp;R&amp;"Times New Roman,Bold"&amp;12Case No. 2018-00295
Attachment 6 to Response to US DOD-2 Question No. 7   
Page &amp;P of &amp;N
Garrett</oddFooter>
  </headerFooter>
  <rowBreaks count="1" manualBreakCount="1">
    <brk id="45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M133"/>
  <sheetViews>
    <sheetView workbookViewId="0">
      <pane xSplit="1" ySplit="7" topLeftCell="B8" activePane="bottomRight" state="frozen"/>
      <selection sqref="A1:R1"/>
      <selection pane="topRight" sqref="A1:R1"/>
      <selection pane="bottomLeft" sqref="A1:R1"/>
      <selection pane="bottomRight" sqref="A1:R1"/>
    </sheetView>
  </sheetViews>
  <sheetFormatPr defaultRowHeight="12.75" x14ac:dyDescent="0.2"/>
  <cols>
    <col min="1" max="1" width="50.85546875" style="3" bestFit="1" customWidth="1"/>
    <col min="2" max="2" width="17.7109375" style="19" customWidth="1"/>
    <col min="3" max="3" width="1.7109375" style="3" customWidth="1"/>
    <col min="4" max="4" width="17.7109375" style="19" customWidth="1"/>
    <col min="5" max="5" width="1.7109375" style="3" customWidth="1"/>
    <col min="6" max="6" width="17.7109375" style="19" customWidth="1"/>
    <col min="7" max="7" width="1.7109375" style="3" customWidth="1"/>
    <col min="8" max="8" width="17.7109375" style="19" customWidth="1"/>
    <col min="9" max="9" width="1.7109375" style="3" customWidth="1"/>
    <col min="10" max="10" width="17.7109375" style="19" customWidth="1"/>
    <col min="11" max="11" width="1.7109375" style="3" customWidth="1"/>
    <col min="12" max="12" width="17.7109375" style="19" customWidth="1"/>
    <col min="13" max="16384" width="9.140625" style="3"/>
  </cols>
  <sheetData>
    <row r="1" spans="1:13" s="86" customFormat="1" ht="15.75" x14ac:dyDescent="0.25">
      <c r="A1" s="154" t="s">
        <v>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</row>
    <row r="2" spans="1:13" s="86" customFormat="1" ht="15.75" x14ac:dyDescent="0.25">
      <c r="A2" s="154" t="s">
        <v>3399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</row>
    <row r="3" spans="1:13" x14ac:dyDescent="0.2">
      <c r="A3" s="144" t="str">
        <f>'KU_Summary - Cost - P1 (REG)'!A3:N3</f>
        <v>DECEMBER 2016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</row>
    <row r="4" spans="1:13" x14ac:dyDescent="0.2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</row>
    <row r="5" spans="1:13" x14ac:dyDescent="0.2">
      <c r="A5" s="87"/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</row>
    <row r="6" spans="1:13" x14ac:dyDescent="0.2">
      <c r="B6" s="25" t="s">
        <v>2</v>
      </c>
      <c r="H6" s="25" t="s">
        <v>3</v>
      </c>
      <c r="L6" s="25" t="s">
        <v>4</v>
      </c>
    </row>
    <row r="7" spans="1:13" x14ac:dyDescent="0.2">
      <c r="B7" s="10" t="s">
        <v>5</v>
      </c>
      <c r="D7" s="10" t="s">
        <v>6</v>
      </c>
      <c r="F7" s="10" t="s">
        <v>7</v>
      </c>
      <c r="H7" s="10" t="s">
        <v>8</v>
      </c>
      <c r="J7" s="10" t="s">
        <v>9</v>
      </c>
      <c r="L7" s="10" t="s">
        <v>5</v>
      </c>
    </row>
    <row r="8" spans="1:13" x14ac:dyDescent="0.2">
      <c r="B8" s="11"/>
      <c r="D8" s="11"/>
      <c r="F8" s="11"/>
      <c r="H8" s="11"/>
      <c r="J8" s="11"/>
      <c r="L8" s="11"/>
    </row>
    <row r="9" spans="1:13" x14ac:dyDescent="0.2">
      <c r="A9" s="12" t="s">
        <v>3400</v>
      </c>
    </row>
    <row r="10" spans="1:13" x14ac:dyDescent="0.2">
      <c r="A10" s="12" t="s">
        <v>12</v>
      </c>
      <c r="C10" s="98"/>
      <c r="E10" s="98"/>
      <c r="G10" s="98"/>
      <c r="I10" s="98"/>
      <c r="K10" s="98"/>
      <c r="M10" s="98"/>
    </row>
    <row r="11" spans="1:13" x14ac:dyDescent="0.2">
      <c r="A11" s="3" t="s">
        <v>3257</v>
      </c>
      <c r="B11" s="19">
        <v>91001.83</v>
      </c>
      <c r="C11" s="98"/>
      <c r="D11" s="19">
        <v>0</v>
      </c>
      <c r="E11" s="98"/>
      <c r="F11" s="19">
        <v>0</v>
      </c>
      <c r="G11" s="98"/>
      <c r="H11" s="19">
        <v>0</v>
      </c>
      <c r="I11" s="98"/>
      <c r="J11" s="19">
        <f>H11+F11+D11</f>
        <v>0</v>
      </c>
      <c r="K11" s="98"/>
      <c r="L11" s="19">
        <f>J11+B11</f>
        <v>91001.83</v>
      </c>
      <c r="M11" s="98"/>
    </row>
    <row r="12" spans="1:13" x14ac:dyDescent="0.2">
      <c r="A12" s="3" t="s">
        <v>3258</v>
      </c>
      <c r="B12" s="19">
        <v>102248.61</v>
      </c>
      <c r="C12" s="98"/>
      <c r="D12" s="19">
        <v>0</v>
      </c>
      <c r="E12" s="98"/>
      <c r="F12" s="19">
        <v>0</v>
      </c>
      <c r="G12" s="98"/>
      <c r="H12" s="19">
        <v>0</v>
      </c>
      <c r="I12" s="98"/>
      <c r="J12" s="19">
        <f>H12+F12+D12</f>
        <v>0</v>
      </c>
      <c r="K12" s="98"/>
      <c r="L12" s="19">
        <f t="shared" ref="L12:L22" si="0">J12+B12</f>
        <v>102248.61</v>
      </c>
      <c r="M12" s="98"/>
    </row>
    <row r="13" spans="1:13" x14ac:dyDescent="0.2">
      <c r="A13" s="3" t="s">
        <v>3259</v>
      </c>
      <c r="B13" s="19">
        <v>486252.05</v>
      </c>
      <c r="C13" s="98"/>
      <c r="D13" s="19">
        <v>8038.93</v>
      </c>
      <c r="E13" s="98"/>
      <c r="F13" s="19">
        <v>-4085.36</v>
      </c>
      <c r="G13" s="98"/>
      <c r="H13" s="19">
        <v>0</v>
      </c>
      <c r="I13" s="98"/>
      <c r="J13" s="19">
        <f t="shared" ref="J13:J22" si="1">H13+F13+D13</f>
        <v>3953.57</v>
      </c>
      <c r="K13" s="98"/>
      <c r="L13" s="19">
        <f t="shared" si="0"/>
        <v>490205.62</v>
      </c>
      <c r="M13" s="98"/>
    </row>
    <row r="14" spans="1:13" x14ac:dyDescent="0.2">
      <c r="A14" s="3" t="s">
        <v>3260</v>
      </c>
      <c r="B14" s="19">
        <v>8064221.8399999999</v>
      </c>
      <c r="C14" s="98"/>
      <c r="D14" s="19">
        <v>417179.56</v>
      </c>
      <c r="E14" s="98"/>
      <c r="F14" s="19">
        <v>-29355.08</v>
      </c>
      <c r="G14" s="98"/>
      <c r="H14" s="19">
        <v>-60180.36</v>
      </c>
      <c r="I14" s="98"/>
      <c r="J14" s="19">
        <f t="shared" si="1"/>
        <v>327644.12</v>
      </c>
      <c r="K14" s="98"/>
      <c r="L14" s="19">
        <f t="shared" si="0"/>
        <v>8391865.959999999</v>
      </c>
      <c r="M14" s="98"/>
    </row>
    <row r="15" spans="1:13" x14ac:dyDescent="0.2">
      <c r="A15" s="3" t="s">
        <v>3261</v>
      </c>
      <c r="B15" s="19">
        <v>26296948.349999998</v>
      </c>
      <c r="C15" s="98"/>
      <c r="D15" s="19">
        <v>1131688.46</v>
      </c>
      <c r="E15" s="98"/>
      <c r="F15" s="19">
        <v>-68158.070000000007</v>
      </c>
      <c r="G15" s="98"/>
      <c r="H15" s="19">
        <v>0</v>
      </c>
      <c r="I15" s="98"/>
      <c r="J15" s="19">
        <f t="shared" si="1"/>
        <v>1063530.3899999999</v>
      </c>
      <c r="K15" s="98"/>
      <c r="L15" s="19">
        <f t="shared" si="0"/>
        <v>27360478.739999998</v>
      </c>
      <c r="M15" s="98"/>
    </row>
    <row r="16" spans="1:13" x14ac:dyDescent="0.2">
      <c r="A16" s="3" t="s">
        <v>3262</v>
      </c>
      <c r="B16" s="19">
        <v>23459608.040000003</v>
      </c>
      <c r="C16" s="98"/>
      <c r="D16" s="19">
        <v>598380.06999999995</v>
      </c>
      <c r="E16" s="98"/>
      <c r="F16" s="19">
        <v>-399793.9</v>
      </c>
      <c r="G16" s="98"/>
      <c r="H16" s="19">
        <v>0</v>
      </c>
      <c r="I16" s="98"/>
      <c r="J16" s="19">
        <f t="shared" si="1"/>
        <v>198586.16999999993</v>
      </c>
      <c r="K16" s="98"/>
      <c r="L16" s="19">
        <f t="shared" si="0"/>
        <v>23658194.210000001</v>
      </c>
      <c r="M16" s="98"/>
    </row>
    <row r="17" spans="1:13" x14ac:dyDescent="0.2">
      <c r="A17" s="3" t="s">
        <v>3264</v>
      </c>
      <c r="B17" s="19">
        <v>3769095.2300000004</v>
      </c>
      <c r="C17" s="98"/>
      <c r="D17" s="19">
        <v>170446.9</v>
      </c>
      <c r="E17" s="98"/>
      <c r="F17" s="19">
        <v>-7098.66</v>
      </c>
      <c r="G17" s="98"/>
      <c r="H17" s="19">
        <v>0</v>
      </c>
      <c r="I17" s="98"/>
      <c r="J17" s="19">
        <f t="shared" si="1"/>
        <v>163348.24</v>
      </c>
      <c r="K17" s="98"/>
      <c r="L17" s="19">
        <f t="shared" si="0"/>
        <v>3932443.4700000007</v>
      </c>
      <c r="M17" s="98"/>
    </row>
    <row r="18" spans="1:13" x14ac:dyDescent="0.2">
      <c r="A18" s="3" t="s">
        <v>3265</v>
      </c>
      <c r="B18" s="19">
        <v>13334888.539999999</v>
      </c>
      <c r="C18" s="98"/>
      <c r="D18" s="19">
        <v>16330.71</v>
      </c>
      <c r="E18" s="98"/>
      <c r="F18" s="19">
        <v>-628070.57999999996</v>
      </c>
      <c r="G18" s="98"/>
      <c r="H18" s="19">
        <v>0</v>
      </c>
      <c r="I18" s="98"/>
      <c r="J18" s="19">
        <f t="shared" si="1"/>
        <v>-611739.87</v>
      </c>
      <c r="K18" s="98"/>
      <c r="L18" s="19">
        <f t="shared" si="0"/>
        <v>12723148.67</v>
      </c>
      <c r="M18" s="98"/>
    </row>
    <row r="19" spans="1:13" x14ac:dyDescent="0.2">
      <c r="A19" s="3" t="s">
        <v>3266</v>
      </c>
      <c r="B19" s="19">
        <v>5218706.4200000009</v>
      </c>
      <c r="C19" s="98"/>
      <c r="D19" s="19">
        <v>287844.31</v>
      </c>
      <c r="E19" s="98"/>
      <c r="F19" s="19">
        <v>-7563.32</v>
      </c>
      <c r="G19" s="98"/>
      <c r="H19" s="19">
        <v>0</v>
      </c>
      <c r="I19" s="98"/>
      <c r="J19" s="19">
        <f t="shared" si="1"/>
        <v>280280.99</v>
      </c>
      <c r="K19" s="98"/>
      <c r="L19" s="19">
        <f t="shared" si="0"/>
        <v>5498987.4100000011</v>
      </c>
      <c r="M19" s="98"/>
    </row>
    <row r="20" spans="1:13" x14ac:dyDescent="0.2">
      <c r="A20" s="3" t="s">
        <v>3267</v>
      </c>
      <c r="B20" s="19">
        <v>3869984.78</v>
      </c>
      <c r="C20" s="98"/>
      <c r="D20" s="19">
        <v>48566.23</v>
      </c>
      <c r="E20" s="98"/>
      <c r="F20" s="19">
        <v>-21535.72</v>
      </c>
      <c r="G20" s="98"/>
      <c r="H20" s="19">
        <v>0</v>
      </c>
      <c r="I20" s="98"/>
      <c r="J20" s="19">
        <f t="shared" si="1"/>
        <v>27030.510000000002</v>
      </c>
      <c r="K20" s="98"/>
      <c r="L20" s="19">
        <f t="shared" si="0"/>
        <v>3897015.2899999996</v>
      </c>
      <c r="M20" s="98"/>
    </row>
    <row r="21" spans="1:13" x14ac:dyDescent="0.2">
      <c r="A21" s="3" t="s">
        <v>3269</v>
      </c>
      <c r="B21" s="26">
        <v>855168.89000000013</v>
      </c>
      <c r="C21" s="105"/>
      <c r="D21" s="19">
        <v>0</v>
      </c>
      <c r="E21" s="98"/>
      <c r="F21" s="19">
        <v>0</v>
      </c>
      <c r="G21" s="98"/>
      <c r="H21" s="19">
        <v>-855168.89</v>
      </c>
      <c r="I21" s="105"/>
      <c r="J21" s="19">
        <f t="shared" si="1"/>
        <v>-855168.89</v>
      </c>
      <c r="K21" s="105"/>
      <c r="L21" s="19">
        <f t="shared" si="0"/>
        <v>0</v>
      </c>
      <c r="M21" s="98"/>
    </row>
    <row r="22" spans="1:13" x14ac:dyDescent="0.2">
      <c r="A22" s="3" t="s">
        <v>3270</v>
      </c>
      <c r="B22" s="27">
        <v>2534018.5</v>
      </c>
      <c r="C22" s="105"/>
      <c r="D22" s="19">
        <v>163851.29999999999</v>
      </c>
      <c r="E22" s="98"/>
      <c r="F22" s="19">
        <v>-103139.88</v>
      </c>
      <c r="G22" s="98"/>
      <c r="H22" s="19">
        <v>855168.89</v>
      </c>
      <c r="I22" s="105"/>
      <c r="J22" s="19">
        <f t="shared" si="1"/>
        <v>915880.31</v>
      </c>
      <c r="K22" s="105"/>
      <c r="L22" s="19">
        <f t="shared" si="0"/>
        <v>3449898.81</v>
      </c>
      <c r="M22" s="98"/>
    </row>
    <row r="23" spans="1:13" x14ac:dyDescent="0.2">
      <c r="B23" s="26">
        <f>SUM(B11:B22)</f>
        <v>88082143.080000013</v>
      </c>
      <c r="C23" s="105"/>
      <c r="D23" s="32">
        <f>SUM(D11:D22)</f>
        <v>2842326.4699999997</v>
      </c>
      <c r="E23" s="105"/>
      <c r="F23" s="32">
        <f>SUM(F11:F22)</f>
        <v>-1268800.5699999998</v>
      </c>
      <c r="G23" s="105"/>
      <c r="H23" s="32">
        <f>SUM(H11:H22)</f>
        <v>-60180.359999999986</v>
      </c>
      <c r="I23" s="105"/>
      <c r="J23" s="32">
        <f>SUM(J11:J22)</f>
        <v>1513345.5399999996</v>
      </c>
      <c r="K23" s="105"/>
      <c r="L23" s="32">
        <f>SUM(L11:L22)</f>
        <v>89595488.620000005</v>
      </c>
      <c r="M23" s="98"/>
    </row>
    <row r="24" spans="1:13" x14ac:dyDescent="0.2">
      <c r="B24" s="26"/>
      <c r="C24" s="105"/>
      <c r="D24" s="26"/>
      <c r="E24" s="105"/>
      <c r="F24" s="26"/>
      <c r="G24" s="105"/>
      <c r="H24" s="26"/>
      <c r="I24" s="105"/>
      <c r="J24" s="26"/>
      <c r="K24" s="105"/>
      <c r="L24" s="26"/>
      <c r="M24" s="98"/>
    </row>
    <row r="25" spans="1:13" x14ac:dyDescent="0.2">
      <c r="A25" s="12" t="s">
        <v>13</v>
      </c>
      <c r="B25" s="26"/>
      <c r="C25" s="105"/>
      <c r="D25" s="26"/>
      <c r="E25" s="105"/>
      <c r="F25" s="26"/>
      <c r="G25" s="105"/>
      <c r="H25" s="26"/>
      <c r="I25" s="105"/>
      <c r="J25" s="26"/>
      <c r="K25" s="105"/>
      <c r="L25" s="26"/>
      <c r="M25" s="98"/>
    </row>
    <row r="26" spans="1:13" x14ac:dyDescent="0.2">
      <c r="A26" s="3" t="s">
        <v>3273</v>
      </c>
      <c r="B26" s="26">
        <v>80601.7</v>
      </c>
      <c r="C26" s="105"/>
      <c r="D26" s="19">
        <v>300027.74</v>
      </c>
      <c r="E26" s="105"/>
      <c r="F26" s="19">
        <v>0</v>
      </c>
      <c r="G26" s="105"/>
      <c r="H26" s="19">
        <v>0</v>
      </c>
      <c r="I26" s="105"/>
      <c r="J26" s="26">
        <f t="shared" ref="J26:J38" si="2">H26+F26+D26</f>
        <v>300027.74</v>
      </c>
      <c r="K26" s="105"/>
      <c r="L26" s="26">
        <f t="shared" ref="L26:L38" si="3">J26+B26</f>
        <v>380629.44</v>
      </c>
      <c r="M26" s="98"/>
    </row>
    <row r="27" spans="1:13" x14ac:dyDescent="0.2">
      <c r="A27" s="3" t="s">
        <v>3274</v>
      </c>
      <c r="B27" s="26">
        <v>978105.54</v>
      </c>
      <c r="C27" s="105"/>
      <c r="D27" s="19">
        <v>58624.92</v>
      </c>
      <c r="E27" s="105"/>
      <c r="F27" s="19">
        <v>-1358.41</v>
      </c>
      <c r="G27" s="105"/>
      <c r="H27" s="19">
        <v>0</v>
      </c>
      <c r="I27" s="105"/>
      <c r="J27" s="26">
        <f t="shared" si="2"/>
        <v>57266.509999999995</v>
      </c>
      <c r="K27" s="105"/>
      <c r="L27" s="26">
        <f t="shared" si="3"/>
        <v>1035372.05</v>
      </c>
      <c r="M27" s="98"/>
    </row>
    <row r="28" spans="1:13" x14ac:dyDescent="0.2">
      <c r="A28" s="3" t="s">
        <v>3401</v>
      </c>
      <c r="B28" s="26">
        <v>40883.599999999999</v>
      </c>
      <c r="C28" s="105"/>
      <c r="D28" s="19">
        <v>0</v>
      </c>
      <c r="E28" s="105"/>
      <c r="F28" s="19">
        <v>0</v>
      </c>
      <c r="G28" s="105"/>
      <c r="H28" s="19">
        <v>0</v>
      </c>
      <c r="I28" s="105"/>
      <c r="J28" s="26">
        <v>0</v>
      </c>
      <c r="K28" s="105"/>
      <c r="L28" s="26">
        <f t="shared" si="3"/>
        <v>40883.599999999999</v>
      </c>
      <c r="M28" s="98"/>
    </row>
    <row r="29" spans="1:13" x14ac:dyDescent="0.2">
      <c r="A29" s="3" t="s">
        <v>3276</v>
      </c>
      <c r="B29" s="26">
        <v>7397.76</v>
      </c>
      <c r="C29" s="105"/>
      <c r="D29" s="19">
        <v>0</v>
      </c>
      <c r="E29" s="105"/>
      <c r="F29" s="19">
        <v>-7397.76</v>
      </c>
      <c r="G29" s="105"/>
      <c r="H29" s="19">
        <v>0</v>
      </c>
      <c r="I29" s="105"/>
      <c r="J29" s="26">
        <f t="shared" si="2"/>
        <v>-7397.76</v>
      </c>
      <c r="K29" s="105"/>
      <c r="L29" s="26">
        <f t="shared" si="3"/>
        <v>0</v>
      </c>
      <c r="M29" s="98"/>
    </row>
    <row r="30" spans="1:13" x14ac:dyDescent="0.2">
      <c r="A30" s="3" t="s">
        <v>3277</v>
      </c>
      <c r="B30" s="26">
        <v>0</v>
      </c>
      <c r="C30" s="105"/>
      <c r="D30" s="19">
        <v>0</v>
      </c>
      <c r="E30" s="105"/>
      <c r="F30" s="19">
        <v>0</v>
      </c>
      <c r="G30" s="105"/>
      <c r="H30" s="19">
        <v>0</v>
      </c>
      <c r="I30" s="105"/>
      <c r="J30" s="26">
        <f>H30+F30+D30</f>
        <v>0</v>
      </c>
      <c r="K30" s="105"/>
      <c r="L30" s="26">
        <f>J30+B30</f>
        <v>0</v>
      </c>
      <c r="M30" s="98"/>
    </row>
    <row r="31" spans="1:13" x14ac:dyDescent="0.2">
      <c r="A31" s="3" t="s">
        <v>3280</v>
      </c>
      <c r="B31" s="26">
        <v>0</v>
      </c>
      <c r="C31" s="105"/>
      <c r="D31" s="19">
        <v>0</v>
      </c>
      <c r="E31" s="105"/>
      <c r="F31" s="19">
        <v>0</v>
      </c>
      <c r="G31" s="105"/>
      <c r="H31" s="19">
        <v>0</v>
      </c>
      <c r="I31" s="105"/>
      <c r="J31" s="26">
        <f t="shared" si="2"/>
        <v>0</v>
      </c>
      <c r="K31" s="105"/>
      <c r="L31" s="26">
        <f>J31+B31</f>
        <v>0</v>
      </c>
      <c r="M31" s="98"/>
    </row>
    <row r="32" spans="1:13" x14ac:dyDescent="0.2">
      <c r="A32" s="3" t="s">
        <v>3282</v>
      </c>
      <c r="B32" s="26">
        <v>4526.22</v>
      </c>
      <c r="C32" s="105"/>
      <c r="D32" s="19">
        <v>0</v>
      </c>
      <c r="E32" s="105"/>
      <c r="F32" s="19">
        <v>0</v>
      </c>
      <c r="G32" s="105"/>
      <c r="H32" s="19">
        <v>0</v>
      </c>
      <c r="I32" s="105"/>
      <c r="J32" s="26">
        <f t="shared" si="2"/>
        <v>0</v>
      </c>
      <c r="K32" s="105"/>
      <c r="L32" s="26">
        <f>J32+B32</f>
        <v>4526.22</v>
      </c>
      <c r="M32" s="98"/>
    </row>
    <row r="33" spans="1:13" x14ac:dyDescent="0.2">
      <c r="A33" s="3" t="s">
        <v>3283</v>
      </c>
      <c r="B33" s="26">
        <v>464251.89000000007</v>
      </c>
      <c r="C33" s="105"/>
      <c r="D33" s="19">
        <v>13144.79</v>
      </c>
      <c r="E33" s="105"/>
      <c r="F33" s="19">
        <v>-3924.21</v>
      </c>
      <c r="G33" s="105"/>
      <c r="H33" s="19">
        <v>0</v>
      </c>
      <c r="I33" s="105"/>
      <c r="J33" s="26">
        <f t="shared" si="2"/>
        <v>9220.5800000000017</v>
      </c>
      <c r="K33" s="105"/>
      <c r="L33" s="26">
        <f t="shared" si="3"/>
        <v>473472.47000000009</v>
      </c>
      <c r="M33" s="98"/>
    </row>
    <row r="34" spans="1:13" x14ac:dyDescent="0.2">
      <c r="A34" s="3" t="s">
        <v>3284</v>
      </c>
      <c r="B34" s="26">
        <v>0</v>
      </c>
      <c r="C34" s="105"/>
      <c r="D34" s="19">
        <v>0</v>
      </c>
      <c r="E34" s="105"/>
      <c r="F34" s="19">
        <v>0</v>
      </c>
      <c r="G34" s="105"/>
      <c r="H34" s="19">
        <v>0</v>
      </c>
      <c r="I34" s="105"/>
      <c r="J34" s="26">
        <f t="shared" si="2"/>
        <v>0</v>
      </c>
      <c r="K34" s="105"/>
      <c r="L34" s="26">
        <f t="shared" si="3"/>
        <v>0</v>
      </c>
      <c r="M34" s="98"/>
    </row>
    <row r="35" spans="1:13" x14ac:dyDescent="0.2">
      <c r="A35" s="3" t="s">
        <v>3285</v>
      </c>
      <c r="B35" s="26">
        <v>282277.26</v>
      </c>
      <c r="C35" s="105"/>
      <c r="D35" s="19">
        <v>0</v>
      </c>
      <c r="E35" s="105"/>
      <c r="F35" s="19">
        <v>0</v>
      </c>
      <c r="G35" s="105"/>
      <c r="H35" s="19">
        <v>0</v>
      </c>
      <c r="I35" s="105"/>
      <c r="J35" s="26">
        <f>H35+F35+D35</f>
        <v>0</v>
      </c>
      <c r="K35" s="105"/>
      <c r="L35" s="26">
        <f>J35+B35</f>
        <v>282277.26</v>
      </c>
      <c r="M35" s="98"/>
    </row>
    <row r="36" spans="1:13" x14ac:dyDescent="0.2">
      <c r="A36" s="3" t="s">
        <v>3286</v>
      </c>
      <c r="B36" s="26">
        <v>542762.68999999994</v>
      </c>
      <c r="C36" s="105"/>
      <c r="D36" s="19">
        <v>54851.64</v>
      </c>
      <c r="E36" s="105"/>
      <c r="F36" s="19">
        <v>0</v>
      </c>
      <c r="G36" s="105"/>
      <c r="H36" s="19">
        <v>0</v>
      </c>
      <c r="I36" s="105"/>
      <c r="J36" s="26">
        <f t="shared" si="2"/>
        <v>54851.64</v>
      </c>
      <c r="K36" s="105"/>
      <c r="L36" s="26">
        <f t="shared" si="3"/>
        <v>597614.32999999996</v>
      </c>
      <c r="M36" s="98"/>
    </row>
    <row r="37" spans="1:13" x14ac:dyDescent="0.2">
      <c r="A37" s="3" t="s">
        <v>3287</v>
      </c>
      <c r="B37" s="26">
        <v>382484.28</v>
      </c>
      <c r="C37" s="105"/>
      <c r="D37" s="19">
        <v>0</v>
      </c>
      <c r="E37" s="105"/>
      <c r="F37" s="19">
        <v>0</v>
      </c>
      <c r="G37" s="105"/>
      <c r="H37" s="19">
        <v>0</v>
      </c>
      <c r="I37" s="105"/>
      <c r="J37" s="26">
        <f t="shared" si="2"/>
        <v>0</v>
      </c>
      <c r="K37" s="105"/>
      <c r="L37" s="26">
        <f t="shared" si="3"/>
        <v>382484.28</v>
      </c>
      <c r="M37" s="98"/>
    </row>
    <row r="38" spans="1:13" x14ac:dyDescent="0.2">
      <c r="A38" s="3" t="s">
        <v>3289</v>
      </c>
      <c r="B38" s="27">
        <v>0</v>
      </c>
      <c r="C38" s="105"/>
      <c r="D38" s="19">
        <v>0</v>
      </c>
      <c r="E38" s="105"/>
      <c r="F38" s="19">
        <v>0</v>
      </c>
      <c r="G38" s="105"/>
      <c r="H38" s="19">
        <v>0</v>
      </c>
      <c r="I38" s="105"/>
      <c r="J38" s="27">
        <f t="shared" si="2"/>
        <v>0</v>
      </c>
      <c r="K38" s="105"/>
      <c r="L38" s="27">
        <f t="shared" si="3"/>
        <v>0</v>
      </c>
      <c r="M38" s="98"/>
    </row>
    <row r="39" spans="1:13" x14ac:dyDescent="0.2">
      <c r="B39" s="26">
        <f>SUM(B26:B38)</f>
        <v>2783290.9400000004</v>
      </c>
      <c r="C39" s="105"/>
      <c r="D39" s="32">
        <f>SUM(D26:D38)</f>
        <v>426649.08999999997</v>
      </c>
      <c r="E39" s="105"/>
      <c r="F39" s="32">
        <f>SUM(F26:F38)</f>
        <v>-12680.380000000001</v>
      </c>
      <c r="G39" s="105"/>
      <c r="H39" s="32">
        <f>SUM(H26:H38)</f>
        <v>0</v>
      </c>
      <c r="I39" s="105"/>
      <c r="J39" s="26">
        <f>SUM(J26:J38)</f>
        <v>413968.71</v>
      </c>
      <c r="K39" s="105"/>
      <c r="L39" s="26">
        <f>SUM(L26:L38)</f>
        <v>3197259.6500000004</v>
      </c>
      <c r="M39" s="98"/>
    </row>
    <row r="40" spans="1:13" x14ac:dyDescent="0.2">
      <c r="B40" s="26"/>
      <c r="C40" s="105"/>
      <c r="D40" s="26"/>
      <c r="E40" s="105"/>
      <c r="F40" s="26"/>
      <c r="G40" s="105"/>
      <c r="H40" s="26"/>
      <c r="I40" s="105"/>
      <c r="J40" s="26"/>
      <c r="K40" s="105"/>
      <c r="L40" s="26"/>
      <c r="M40" s="98"/>
    </row>
    <row r="41" spans="1:13" x14ac:dyDescent="0.2">
      <c r="A41" s="12" t="s">
        <v>15</v>
      </c>
      <c r="B41" s="26"/>
      <c r="C41" s="105"/>
      <c r="D41" s="26"/>
      <c r="E41" s="105"/>
      <c r="F41" s="26"/>
      <c r="G41" s="105"/>
      <c r="H41" s="26"/>
      <c r="I41" s="105"/>
      <c r="J41" s="26"/>
      <c r="K41" s="105"/>
      <c r="L41" s="26"/>
      <c r="M41" s="98"/>
    </row>
    <row r="42" spans="1:13" x14ac:dyDescent="0.2">
      <c r="A42" s="3" t="s">
        <v>3298</v>
      </c>
      <c r="B42" s="27">
        <v>5338.69</v>
      </c>
      <c r="C42" s="105"/>
      <c r="D42" s="19">
        <v>0</v>
      </c>
      <c r="E42" s="105"/>
      <c r="F42" s="19">
        <v>0</v>
      </c>
      <c r="G42" s="105"/>
      <c r="H42" s="19">
        <v>0</v>
      </c>
      <c r="I42" s="105"/>
      <c r="J42" s="27">
        <f>H42+F42+D42</f>
        <v>0</v>
      </c>
      <c r="K42" s="105"/>
      <c r="L42" s="27">
        <f>J42+B42</f>
        <v>5338.69</v>
      </c>
      <c r="M42" s="98"/>
    </row>
    <row r="43" spans="1:13" x14ac:dyDescent="0.2">
      <c r="B43" s="26">
        <f>SUM(B42)</f>
        <v>5338.69</v>
      </c>
      <c r="C43" s="105"/>
      <c r="D43" s="32">
        <f>SUM(D42)</f>
        <v>0</v>
      </c>
      <c r="E43" s="105"/>
      <c r="F43" s="32">
        <f>SUM(F42)</f>
        <v>0</v>
      </c>
      <c r="G43" s="105"/>
      <c r="H43" s="32">
        <f>SUM(H42)</f>
        <v>0</v>
      </c>
      <c r="I43" s="105"/>
      <c r="J43" s="26">
        <f>SUM(J42)</f>
        <v>0</v>
      </c>
      <c r="K43" s="105"/>
      <c r="L43" s="26">
        <f>SUM(L42)</f>
        <v>5338.69</v>
      </c>
      <c r="M43" s="98"/>
    </row>
    <row r="44" spans="1:13" x14ac:dyDescent="0.2">
      <c r="B44" s="26"/>
      <c r="C44" s="105"/>
      <c r="D44" s="26"/>
      <c r="E44" s="105"/>
      <c r="F44" s="26"/>
      <c r="G44" s="105"/>
      <c r="H44" s="26"/>
      <c r="I44" s="105"/>
      <c r="J44" s="26"/>
      <c r="K44" s="105"/>
      <c r="L44" s="26"/>
      <c r="M44" s="98"/>
    </row>
    <row r="45" spans="1:13" x14ac:dyDescent="0.2">
      <c r="A45" s="12" t="s">
        <v>18</v>
      </c>
      <c r="B45" s="26"/>
      <c r="C45" s="105"/>
      <c r="D45" s="26"/>
      <c r="E45" s="105"/>
      <c r="F45" s="26"/>
      <c r="G45" s="105"/>
      <c r="H45" s="26"/>
      <c r="I45" s="105"/>
      <c r="J45" s="26"/>
      <c r="K45" s="105"/>
      <c r="L45" s="26"/>
      <c r="M45" s="98"/>
    </row>
    <row r="46" spans="1:13" x14ac:dyDescent="0.2">
      <c r="A46" s="3" t="s">
        <v>3325</v>
      </c>
      <c r="B46" s="26">
        <v>2118631.2200000002</v>
      </c>
      <c r="C46" s="105"/>
      <c r="D46" s="19">
        <v>100844.38</v>
      </c>
      <c r="E46" s="105"/>
      <c r="F46" s="19">
        <v>0</v>
      </c>
      <c r="G46" s="105"/>
      <c r="H46" s="19">
        <v>0</v>
      </c>
      <c r="I46" s="105"/>
      <c r="J46" s="26">
        <f t="shared" ref="J46:J52" si="4">H46+F46+D46</f>
        <v>100844.38</v>
      </c>
      <c r="K46" s="105"/>
      <c r="L46" s="26">
        <f t="shared" ref="L46:L52" si="5">J46+B46</f>
        <v>2219475.6</v>
      </c>
      <c r="M46" s="98"/>
    </row>
    <row r="47" spans="1:13" x14ac:dyDescent="0.2">
      <c r="A47" s="3" t="s">
        <v>3326</v>
      </c>
      <c r="B47" s="26">
        <v>45700.5</v>
      </c>
      <c r="C47" s="105"/>
      <c r="D47" s="19">
        <v>0</v>
      </c>
      <c r="E47" s="105"/>
      <c r="F47" s="19">
        <v>0</v>
      </c>
      <c r="G47" s="105"/>
      <c r="H47" s="19">
        <v>0</v>
      </c>
      <c r="I47" s="105"/>
      <c r="J47" s="26">
        <f t="shared" si="4"/>
        <v>0</v>
      </c>
      <c r="K47" s="105"/>
      <c r="L47" s="26">
        <f t="shared" si="5"/>
        <v>45700.5</v>
      </c>
      <c r="M47" s="98"/>
    </row>
    <row r="48" spans="1:13" x14ac:dyDescent="0.2">
      <c r="A48" s="3" t="s">
        <v>3327</v>
      </c>
      <c r="B48" s="26">
        <v>1617920.16</v>
      </c>
      <c r="C48" s="105"/>
      <c r="D48" s="19">
        <v>0</v>
      </c>
      <c r="E48" s="105"/>
      <c r="F48" s="19">
        <v>-358.97</v>
      </c>
      <c r="G48" s="105"/>
      <c r="H48" s="19">
        <v>0</v>
      </c>
      <c r="I48" s="105"/>
      <c r="J48" s="26">
        <f t="shared" si="4"/>
        <v>-358.97</v>
      </c>
      <c r="K48" s="105"/>
      <c r="L48" s="26">
        <f t="shared" si="5"/>
        <v>1617561.19</v>
      </c>
      <c r="M48" s="98"/>
    </row>
    <row r="49" spans="1:13" x14ac:dyDescent="0.2">
      <c r="A49" s="3" t="s">
        <v>3329</v>
      </c>
      <c r="B49" s="26">
        <v>21721930.5</v>
      </c>
      <c r="C49" s="105"/>
      <c r="D49" s="19">
        <v>601924.24</v>
      </c>
      <c r="E49" s="105"/>
      <c r="F49" s="19">
        <v>-53813.64</v>
      </c>
      <c r="G49" s="105"/>
      <c r="H49" s="19">
        <v>51847.62</v>
      </c>
      <c r="I49" s="105"/>
      <c r="J49" s="26">
        <f t="shared" si="4"/>
        <v>599958.22</v>
      </c>
      <c r="K49" s="105"/>
      <c r="L49" s="26">
        <f t="shared" si="5"/>
        <v>22321888.719999999</v>
      </c>
      <c r="M49" s="98"/>
    </row>
    <row r="50" spans="1:13" x14ac:dyDescent="0.2">
      <c r="A50" s="3" t="s">
        <v>3332</v>
      </c>
      <c r="B50" s="26">
        <v>7181081.3000000007</v>
      </c>
      <c r="C50" s="105"/>
      <c r="D50" s="19">
        <v>0</v>
      </c>
      <c r="E50" s="105"/>
      <c r="F50" s="19">
        <v>0</v>
      </c>
      <c r="G50" s="105"/>
      <c r="H50" s="19">
        <v>0</v>
      </c>
      <c r="I50" s="105"/>
      <c r="J50" s="26">
        <f t="shared" si="4"/>
        <v>0</v>
      </c>
      <c r="K50" s="105"/>
      <c r="L50" s="26">
        <f t="shared" si="5"/>
        <v>7181081.3000000007</v>
      </c>
      <c r="M50" s="98"/>
    </row>
    <row r="51" spans="1:13" x14ac:dyDescent="0.2">
      <c r="A51" s="3" t="s">
        <v>3333</v>
      </c>
      <c r="B51" s="26">
        <v>10331733.279999999</v>
      </c>
      <c r="C51" s="105"/>
      <c r="D51" s="19">
        <v>1146082.93</v>
      </c>
      <c r="E51" s="105"/>
      <c r="F51" s="19">
        <v>-188375.09</v>
      </c>
      <c r="G51" s="105"/>
      <c r="H51" s="19">
        <v>-51847.62</v>
      </c>
      <c r="I51" s="105"/>
      <c r="J51" s="26">
        <f t="shared" si="4"/>
        <v>905860.22</v>
      </c>
      <c r="K51" s="105"/>
      <c r="L51" s="26">
        <f t="shared" si="5"/>
        <v>11237593.5</v>
      </c>
      <c r="M51" s="98"/>
    </row>
    <row r="52" spans="1:13" x14ac:dyDescent="0.2">
      <c r="A52" s="3" t="s">
        <v>3334</v>
      </c>
      <c r="B52" s="27">
        <v>16579001.25</v>
      </c>
      <c r="C52" s="105"/>
      <c r="D52" s="19">
        <v>267039.96999999997</v>
      </c>
      <c r="E52" s="105"/>
      <c r="F52" s="19">
        <v>-65749.100000000006</v>
      </c>
      <c r="G52" s="105"/>
      <c r="H52" s="19">
        <v>0</v>
      </c>
      <c r="I52" s="105"/>
      <c r="J52" s="27">
        <f t="shared" si="4"/>
        <v>201290.86999999997</v>
      </c>
      <c r="K52" s="105"/>
      <c r="L52" s="27">
        <f t="shared" si="5"/>
        <v>16780292.120000001</v>
      </c>
      <c r="M52" s="98"/>
    </row>
    <row r="53" spans="1:13" x14ac:dyDescent="0.2">
      <c r="B53" s="26">
        <f>SUM(B46:B52)</f>
        <v>59595998.210000001</v>
      </c>
      <c r="C53" s="105"/>
      <c r="D53" s="32">
        <f>SUM(D46:D52)</f>
        <v>2115891.5199999996</v>
      </c>
      <c r="E53" s="105"/>
      <c r="F53" s="32">
        <f>SUM(F46:F52)</f>
        <v>-308296.80000000005</v>
      </c>
      <c r="G53" s="105"/>
      <c r="H53" s="32">
        <f>SUM(H46:H52)</f>
        <v>0</v>
      </c>
      <c r="I53" s="105"/>
      <c r="J53" s="26">
        <f>SUM(J46:J52)</f>
        <v>1807594.72</v>
      </c>
      <c r="K53" s="105"/>
      <c r="L53" s="26">
        <f>SUM(L46:L52)</f>
        <v>61403592.930000007</v>
      </c>
      <c r="M53" s="98"/>
    </row>
    <row r="54" spans="1:13" x14ac:dyDescent="0.2">
      <c r="B54" s="26"/>
      <c r="C54" s="98"/>
      <c r="D54" s="26"/>
      <c r="E54" s="98"/>
      <c r="F54" s="26"/>
      <c r="G54" s="98"/>
      <c r="H54" s="26"/>
      <c r="I54" s="98"/>
      <c r="J54" s="26"/>
      <c r="K54" s="98"/>
      <c r="L54" s="26"/>
      <c r="M54" s="98"/>
    </row>
    <row r="55" spans="1:13" x14ac:dyDescent="0.2">
      <c r="C55" s="98"/>
      <c r="E55" s="98"/>
      <c r="G55" s="98"/>
      <c r="I55" s="98"/>
      <c r="K55" s="98"/>
      <c r="M55" s="98"/>
    </row>
    <row r="56" spans="1:13" x14ac:dyDescent="0.2">
      <c r="A56" s="12" t="s">
        <v>3402</v>
      </c>
      <c r="B56" s="31">
        <f>B53+B43+B39+B23</f>
        <v>150466770.92000002</v>
      </c>
      <c r="C56" s="105"/>
      <c r="D56" s="31">
        <f>D53+D43+D39+D23</f>
        <v>5384867.0799999991</v>
      </c>
      <c r="E56" s="105"/>
      <c r="F56" s="31">
        <f>F53+F43+F39+F23</f>
        <v>-1589777.75</v>
      </c>
      <c r="G56" s="105"/>
      <c r="H56" s="31">
        <f>H53+H43+H39+H23</f>
        <v>-60180.359999999986</v>
      </c>
      <c r="I56" s="105"/>
      <c r="J56" s="31">
        <f>J53+J43+J39+J23</f>
        <v>3734908.9699999997</v>
      </c>
      <c r="K56" s="105"/>
      <c r="L56" s="31">
        <f>L53+L43+L39+L23</f>
        <v>154201679.89000002</v>
      </c>
      <c r="M56" s="105"/>
    </row>
    <row r="57" spans="1:13" x14ac:dyDescent="0.2">
      <c r="C57" s="98"/>
      <c r="E57" s="98"/>
      <c r="G57" s="98"/>
      <c r="I57" s="98"/>
      <c r="K57" s="98"/>
      <c r="M57" s="98"/>
    </row>
    <row r="58" spans="1:13" x14ac:dyDescent="0.2">
      <c r="C58" s="98"/>
      <c r="E58" s="98"/>
      <c r="G58" s="98"/>
      <c r="I58" s="98"/>
      <c r="K58" s="98"/>
      <c r="M58" s="98"/>
    </row>
    <row r="59" spans="1:13" x14ac:dyDescent="0.2">
      <c r="A59" s="12" t="s">
        <v>3245</v>
      </c>
      <c r="C59" s="98"/>
      <c r="E59" s="98"/>
      <c r="G59" s="98"/>
      <c r="I59" s="98"/>
      <c r="K59" s="98"/>
      <c r="M59" s="98"/>
    </row>
    <row r="60" spans="1:13" x14ac:dyDescent="0.2">
      <c r="A60" s="12" t="s">
        <v>12</v>
      </c>
      <c r="C60" s="98"/>
      <c r="E60" s="98"/>
      <c r="G60" s="98"/>
      <c r="I60" s="98"/>
      <c r="K60" s="98"/>
      <c r="M60" s="98"/>
    </row>
    <row r="61" spans="1:13" x14ac:dyDescent="0.2">
      <c r="A61" s="3" t="s">
        <v>3341</v>
      </c>
      <c r="B61" s="19">
        <v>0</v>
      </c>
      <c r="C61" s="98"/>
      <c r="D61" s="19">
        <v>0</v>
      </c>
      <c r="E61" s="98"/>
      <c r="F61" s="19">
        <v>0</v>
      </c>
      <c r="G61" s="98"/>
      <c r="H61" s="19">
        <v>0</v>
      </c>
      <c r="I61" s="98"/>
      <c r="J61" s="19">
        <f t="shared" ref="J61:J70" si="6">H61+F61+D61</f>
        <v>0</v>
      </c>
      <c r="K61" s="98"/>
      <c r="L61" s="19">
        <f t="shared" ref="L61:L70" si="7">J61+B61</f>
        <v>0</v>
      </c>
      <c r="M61" s="98"/>
    </row>
    <row r="62" spans="1:13" x14ac:dyDescent="0.2">
      <c r="A62" s="3" t="s">
        <v>3342</v>
      </c>
      <c r="B62" s="19">
        <v>0</v>
      </c>
      <c r="C62" s="98"/>
      <c r="D62" s="19">
        <v>0</v>
      </c>
      <c r="E62" s="98"/>
      <c r="F62" s="19">
        <v>0</v>
      </c>
      <c r="G62" s="98"/>
      <c r="H62" s="19">
        <v>0</v>
      </c>
      <c r="I62" s="98"/>
      <c r="J62" s="19">
        <f t="shared" si="6"/>
        <v>0</v>
      </c>
      <c r="K62" s="98"/>
      <c r="L62" s="19">
        <f t="shared" si="7"/>
        <v>0</v>
      </c>
      <c r="M62" s="98"/>
    </row>
    <row r="63" spans="1:13" x14ac:dyDescent="0.2">
      <c r="A63" s="3" t="s">
        <v>3343</v>
      </c>
      <c r="B63" s="19">
        <v>207771.4299999997</v>
      </c>
      <c r="C63" s="98"/>
      <c r="D63" s="19">
        <v>534188.1</v>
      </c>
      <c r="E63" s="98"/>
      <c r="F63" s="19">
        <v>0</v>
      </c>
      <c r="G63" s="98"/>
      <c r="H63" s="19">
        <v>0</v>
      </c>
      <c r="I63" s="98"/>
      <c r="J63" s="19">
        <f>H63+F63+D63</f>
        <v>534188.1</v>
      </c>
      <c r="K63" s="98"/>
      <c r="L63" s="19">
        <f>J63+B63</f>
        <v>741959.52999999968</v>
      </c>
      <c r="M63" s="98"/>
    </row>
    <row r="64" spans="1:13" x14ac:dyDescent="0.2">
      <c r="A64" s="3" t="s">
        <v>3344</v>
      </c>
      <c r="B64" s="19">
        <v>277304.45999999985</v>
      </c>
      <c r="C64" s="98"/>
      <c r="D64" s="19">
        <v>546024.11</v>
      </c>
      <c r="E64" s="98"/>
      <c r="F64" s="19">
        <v>0</v>
      </c>
      <c r="G64" s="98"/>
      <c r="H64" s="19">
        <v>0</v>
      </c>
      <c r="I64" s="98"/>
      <c r="J64" s="19">
        <f t="shared" si="6"/>
        <v>546024.11</v>
      </c>
      <c r="K64" s="98"/>
      <c r="L64" s="19">
        <f t="shared" si="7"/>
        <v>823328.56999999983</v>
      </c>
      <c r="M64" s="98"/>
    </row>
    <row r="65" spans="1:13" x14ac:dyDescent="0.2">
      <c r="A65" s="3" t="s">
        <v>3345</v>
      </c>
      <c r="B65" s="19">
        <v>0</v>
      </c>
      <c r="C65" s="98"/>
      <c r="D65" s="19">
        <v>0</v>
      </c>
      <c r="E65" s="98"/>
      <c r="F65" s="19">
        <v>0</v>
      </c>
      <c r="G65" s="98"/>
      <c r="H65" s="19">
        <v>0</v>
      </c>
      <c r="I65" s="98"/>
      <c r="J65" s="19">
        <f t="shared" si="6"/>
        <v>0</v>
      </c>
      <c r="K65" s="98"/>
      <c r="L65" s="19">
        <f t="shared" si="7"/>
        <v>0</v>
      </c>
      <c r="M65" s="98"/>
    </row>
    <row r="66" spans="1:13" x14ac:dyDescent="0.2">
      <c r="A66" s="3" t="s">
        <v>3346</v>
      </c>
      <c r="B66" s="19">
        <v>183334.09999999998</v>
      </c>
      <c r="C66" s="98"/>
      <c r="D66" s="19">
        <v>23782.959999999999</v>
      </c>
      <c r="E66" s="98"/>
      <c r="F66" s="19">
        <v>0</v>
      </c>
      <c r="G66" s="98"/>
      <c r="H66" s="19">
        <v>0</v>
      </c>
      <c r="I66" s="98"/>
      <c r="J66" s="19">
        <f t="shared" si="6"/>
        <v>23782.959999999999</v>
      </c>
      <c r="K66" s="98"/>
      <c r="L66" s="19">
        <f t="shared" si="7"/>
        <v>207117.05999999997</v>
      </c>
      <c r="M66" s="98"/>
    </row>
    <row r="67" spans="1:13" x14ac:dyDescent="0.2">
      <c r="A67" s="3" t="s">
        <v>3347</v>
      </c>
      <c r="B67" s="19">
        <v>0</v>
      </c>
      <c r="C67" s="98"/>
      <c r="D67" s="19">
        <v>0</v>
      </c>
      <c r="E67" s="98"/>
      <c r="F67" s="19">
        <v>0</v>
      </c>
      <c r="G67" s="98"/>
      <c r="H67" s="19">
        <v>0</v>
      </c>
      <c r="I67" s="98"/>
      <c r="J67" s="19">
        <f t="shared" si="6"/>
        <v>0</v>
      </c>
      <c r="K67" s="98"/>
      <c r="L67" s="19">
        <f t="shared" si="7"/>
        <v>0</v>
      </c>
      <c r="M67" s="98"/>
    </row>
    <row r="68" spans="1:13" x14ac:dyDescent="0.2">
      <c r="A68" s="3" t="s">
        <v>3348</v>
      </c>
      <c r="B68" s="26">
        <v>7.1622707764618099E-12</v>
      </c>
      <c r="C68" s="105"/>
      <c r="D68" s="19">
        <v>0</v>
      </c>
      <c r="E68" s="105"/>
      <c r="F68" s="19">
        <v>0</v>
      </c>
      <c r="G68" s="105"/>
      <c r="H68" s="19">
        <v>0</v>
      </c>
      <c r="I68" s="105"/>
      <c r="J68" s="26">
        <f t="shared" si="6"/>
        <v>0</v>
      </c>
      <c r="K68" s="105"/>
      <c r="L68" s="26">
        <f t="shared" si="7"/>
        <v>7.1622707764618099E-12</v>
      </c>
      <c r="M68" s="105"/>
    </row>
    <row r="69" spans="1:13" x14ac:dyDescent="0.2">
      <c r="A69" s="3" t="s">
        <v>3349</v>
      </c>
      <c r="B69" s="26">
        <v>172204.65</v>
      </c>
      <c r="C69" s="105"/>
      <c r="D69" s="19">
        <v>41297.69</v>
      </c>
      <c r="E69" s="105"/>
      <c r="F69" s="19">
        <v>0</v>
      </c>
      <c r="G69" s="105"/>
      <c r="H69" s="19">
        <v>0</v>
      </c>
      <c r="I69" s="105"/>
      <c r="J69" s="26">
        <f t="shared" si="6"/>
        <v>41297.69</v>
      </c>
      <c r="K69" s="105"/>
      <c r="L69" s="26">
        <f t="shared" si="7"/>
        <v>213502.34</v>
      </c>
      <c r="M69" s="105"/>
    </row>
    <row r="70" spans="1:13" x14ac:dyDescent="0.2">
      <c r="A70" s="3" t="s">
        <v>3351</v>
      </c>
      <c r="B70" s="27">
        <v>86835.299999999974</v>
      </c>
      <c r="C70" s="105"/>
      <c r="D70" s="19">
        <v>141523.97</v>
      </c>
      <c r="E70" s="105"/>
      <c r="F70" s="19">
        <v>0</v>
      </c>
      <c r="G70" s="105"/>
      <c r="H70" s="19">
        <v>0</v>
      </c>
      <c r="I70" s="105"/>
      <c r="J70" s="27">
        <f t="shared" si="6"/>
        <v>141523.97</v>
      </c>
      <c r="K70" s="105"/>
      <c r="L70" s="27">
        <f t="shared" si="7"/>
        <v>228359.26999999996</v>
      </c>
      <c r="M70" s="105"/>
    </row>
    <row r="71" spans="1:13" x14ac:dyDescent="0.2">
      <c r="B71" s="26">
        <f>SUM(B61:B70)</f>
        <v>927449.93999999948</v>
      </c>
      <c r="C71" s="105"/>
      <c r="D71" s="32">
        <f>SUM(D61:D70)</f>
        <v>1286816.8299999998</v>
      </c>
      <c r="E71" s="105"/>
      <c r="F71" s="32">
        <f>SUM(F61:F70)</f>
        <v>0</v>
      </c>
      <c r="G71" s="105"/>
      <c r="H71" s="32">
        <f>SUM(H61:H70)</f>
        <v>0</v>
      </c>
      <c r="I71" s="105"/>
      <c r="J71" s="26">
        <f>SUM(J61:J70)</f>
        <v>1286816.8299999998</v>
      </c>
      <c r="K71" s="105"/>
      <c r="L71" s="26">
        <f>SUM(L61:L70)</f>
        <v>2214266.7699999996</v>
      </c>
      <c r="M71" s="105"/>
    </row>
    <row r="72" spans="1:13" x14ac:dyDescent="0.2">
      <c r="B72" s="26"/>
      <c r="C72" s="105"/>
      <c r="D72" s="26"/>
      <c r="E72" s="105"/>
      <c r="F72" s="26"/>
      <c r="G72" s="105"/>
      <c r="H72" s="26"/>
      <c r="I72" s="105"/>
      <c r="J72" s="26"/>
      <c r="K72" s="105"/>
      <c r="L72" s="26"/>
      <c r="M72" s="105"/>
    </row>
    <row r="73" spans="1:13" x14ac:dyDescent="0.2">
      <c r="A73" s="12" t="s">
        <v>13</v>
      </c>
      <c r="B73" s="26"/>
      <c r="C73" s="105"/>
      <c r="D73" s="26"/>
      <c r="E73" s="105"/>
      <c r="F73" s="26"/>
      <c r="G73" s="105"/>
      <c r="H73" s="26"/>
      <c r="I73" s="105"/>
      <c r="J73" s="26"/>
      <c r="K73" s="105"/>
      <c r="L73" s="26"/>
      <c r="M73" s="98"/>
    </row>
    <row r="74" spans="1:13" x14ac:dyDescent="0.2">
      <c r="A74" s="3" t="s">
        <v>3352</v>
      </c>
      <c r="B74" s="26">
        <v>55470.3</v>
      </c>
      <c r="C74" s="105"/>
      <c r="D74" s="19">
        <v>-55470.3</v>
      </c>
      <c r="E74" s="105"/>
      <c r="F74" s="19">
        <v>0</v>
      </c>
      <c r="G74" s="105"/>
      <c r="H74" s="19">
        <v>0</v>
      </c>
      <c r="I74" s="105"/>
      <c r="J74" s="26">
        <f>H74+F74+D74</f>
        <v>-55470.3</v>
      </c>
      <c r="K74" s="105"/>
      <c r="L74" s="26">
        <f>J74+B74</f>
        <v>0</v>
      </c>
      <c r="M74" s="98"/>
    </row>
    <row r="75" spans="1:13" x14ac:dyDescent="0.2">
      <c r="A75" s="3" t="s">
        <v>3358</v>
      </c>
      <c r="B75" s="26">
        <v>0</v>
      </c>
      <c r="C75" s="105"/>
      <c r="D75" s="19">
        <v>0</v>
      </c>
      <c r="E75" s="105"/>
      <c r="F75" s="19">
        <v>0</v>
      </c>
      <c r="G75" s="105"/>
      <c r="H75" s="19">
        <v>0</v>
      </c>
      <c r="I75" s="105"/>
      <c r="J75" s="26">
        <f>H75+F75+D75</f>
        <v>0</v>
      </c>
      <c r="K75" s="105"/>
      <c r="L75" s="26">
        <f>J75+B75</f>
        <v>0</v>
      </c>
      <c r="M75" s="98"/>
    </row>
    <row r="76" spans="1:13" x14ac:dyDescent="0.2">
      <c r="A76" s="3" t="s">
        <v>3359</v>
      </c>
      <c r="B76" s="26">
        <v>0</v>
      </c>
      <c r="C76" s="105"/>
      <c r="D76" s="19">
        <v>0</v>
      </c>
      <c r="E76" s="105"/>
      <c r="F76" s="19">
        <v>0</v>
      </c>
      <c r="G76" s="105"/>
      <c r="H76" s="19">
        <v>0</v>
      </c>
      <c r="I76" s="105"/>
      <c r="J76" s="26">
        <f>H76+F76+D76</f>
        <v>0</v>
      </c>
      <c r="K76" s="105"/>
      <c r="L76" s="26">
        <f>J76+B76</f>
        <v>0</v>
      </c>
      <c r="M76" s="98"/>
    </row>
    <row r="77" spans="1:13" x14ac:dyDescent="0.2">
      <c r="A77" s="3" t="s">
        <v>3360</v>
      </c>
      <c r="B77" s="26">
        <v>0</v>
      </c>
      <c r="C77" s="105"/>
      <c r="D77" s="19">
        <v>0</v>
      </c>
      <c r="E77" s="105"/>
      <c r="F77" s="19">
        <v>0</v>
      </c>
      <c r="G77" s="105"/>
      <c r="H77" s="19">
        <v>0</v>
      </c>
      <c r="I77" s="105"/>
      <c r="J77" s="26">
        <f>H77+F77+D77</f>
        <v>0</v>
      </c>
      <c r="K77" s="105"/>
      <c r="L77" s="26">
        <f>J77+B77</f>
        <v>0</v>
      </c>
      <c r="M77" s="98"/>
    </row>
    <row r="78" spans="1:13" x14ac:dyDescent="0.2">
      <c r="A78" s="3" t="s">
        <v>3361</v>
      </c>
      <c r="B78" s="26">
        <v>0</v>
      </c>
      <c r="C78" s="105"/>
      <c r="D78" s="19">
        <v>0</v>
      </c>
      <c r="E78" s="105"/>
      <c r="F78" s="19">
        <v>0</v>
      </c>
      <c r="G78" s="105"/>
      <c r="H78" s="19">
        <v>0</v>
      </c>
      <c r="I78" s="105"/>
      <c r="J78" s="26">
        <f>H78+F78+D78</f>
        <v>0</v>
      </c>
      <c r="K78" s="105"/>
      <c r="L78" s="26">
        <f>J78+B78</f>
        <v>0</v>
      </c>
      <c r="M78" s="98"/>
    </row>
    <row r="79" spans="1:13" x14ac:dyDescent="0.2">
      <c r="B79" s="32">
        <f>SUM(B74:B78)</f>
        <v>55470.3</v>
      </c>
      <c r="C79" s="105"/>
      <c r="D79" s="32">
        <f>SUM(D74:D78)</f>
        <v>-55470.3</v>
      </c>
      <c r="E79" s="105"/>
      <c r="F79" s="32">
        <f>SUM(F74:F78)</f>
        <v>0</v>
      </c>
      <c r="G79" s="105"/>
      <c r="H79" s="32">
        <f>SUM(H74:H78)</f>
        <v>0</v>
      </c>
      <c r="I79" s="32"/>
      <c r="J79" s="32">
        <f>SUM(J74:J78)</f>
        <v>-55470.3</v>
      </c>
      <c r="K79" s="105"/>
      <c r="L79" s="32">
        <f>SUM(L74:L78)</f>
        <v>0</v>
      </c>
      <c r="M79" s="98"/>
    </row>
    <row r="80" spans="1:13" x14ac:dyDescent="0.2">
      <c r="A80" s="12" t="s">
        <v>18</v>
      </c>
      <c r="C80" s="98"/>
      <c r="E80" s="98"/>
      <c r="G80" s="98"/>
      <c r="I80" s="98"/>
      <c r="K80" s="98"/>
      <c r="M80" s="98"/>
    </row>
    <row r="81" spans="1:13" x14ac:dyDescent="0.2">
      <c r="A81" s="3" t="s">
        <v>3386</v>
      </c>
      <c r="B81" s="19">
        <v>0</v>
      </c>
      <c r="C81" s="98"/>
      <c r="D81" s="19">
        <v>0</v>
      </c>
      <c r="E81" s="98"/>
      <c r="F81" s="19">
        <v>0</v>
      </c>
      <c r="G81" s="98"/>
      <c r="H81" s="19">
        <v>0</v>
      </c>
      <c r="I81" s="98"/>
      <c r="J81" s="26">
        <f>H81+F81+D81</f>
        <v>0</v>
      </c>
      <c r="K81" s="98"/>
      <c r="L81" s="26">
        <f>J81+B81</f>
        <v>0</v>
      </c>
      <c r="M81" s="98"/>
    </row>
    <row r="82" spans="1:13" x14ac:dyDescent="0.2">
      <c r="A82" s="3" t="s">
        <v>3387</v>
      </c>
      <c r="B82" s="26">
        <v>148185.51999999984</v>
      </c>
      <c r="C82" s="105"/>
      <c r="D82" s="19">
        <v>-50941.88</v>
      </c>
      <c r="E82" s="105"/>
      <c r="F82" s="19">
        <v>0</v>
      </c>
      <c r="G82" s="105"/>
      <c r="H82" s="19">
        <v>0</v>
      </c>
      <c r="I82" s="105"/>
      <c r="J82" s="26">
        <f>H82+F82+D82</f>
        <v>-50941.88</v>
      </c>
      <c r="K82" s="105"/>
      <c r="L82" s="26">
        <f>J82+B82</f>
        <v>97243.639999999839</v>
      </c>
      <c r="M82" s="105"/>
    </row>
    <row r="83" spans="1:13" x14ac:dyDescent="0.2">
      <c r="A83" s="3" t="s">
        <v>3390</v>
      </c>
      <c r="B83" s="26">
        <v>881850.91</v>
      </c>
      <c r="C83" s="105"/>
      <c r="D83" s="19">
        <v>-881850.91</v>
      </c>
      <c r="E83" s="105"/>
      <c r="F83" s="19">
        <v>0</v>
      </c>
      <c r="G83" s="105"/>
      <c r="H83" s="19">
        <v>0</v>
      </c>
      <c r="I83" s="105"/>
      <c r="J83" s="26">
        <f>H83+F83+D83</f>
        <v>-881850.91</v>
      </c>
      <c r="K83" s="105"/>
      <c r="L83" s="26">
        <f>J83+B83</f>
        <v>0</v>
      </c>
      <c r="M83" s="105"/>
    </row>
    <row r="84" spans="1:13" x14ac:dyDescent="0.2">
      <c r="A84" s="3" t="s">
        <v>3391</v>
      </c>
      <c r="B84" s="27">
        <v>247190.30000000005</v>
      </c>
      <c r="C84" s="105"/>
      <c r="D84" s="19">
        <v>-247190.3</v>
      </c>
      <c r="E84" s="105"/>
      <c r="F84" s="19">
        <v>0</v>
      </c>
      <c r="G84" s="105"/>
      <c r="H84" s="19">
        <v>0</v>
      </c>
      <c r="I84" s="105"/>
      <c r="J84" s="27">
        <f>H84+F84+D84</f>
        <v>-247190.3</v>
      </c>
      <c r="K84" s="105"/>
      <c r="L84" s="27">
        <f>J84+B84</f>
        <v>0</v>
      </c>
      <c r="M84" s="105"/>
    </row>
    <row r="85" spans="1:13" x14ac:dyDescent="0.2">
      <c r="B85" s="26">
        <f>SUM(B81:B84)</f>
        <v>1277226.73</v>
      </c>
      <c r="C85" s="105"/>
      <c r="D85" s="32">
        <f>SUM(D81:D84)</f>
        <v>-1179983.0900000001</v>
      </c>
      <c r="E85" s="105"/>
      <c r="F85" s="32">
        <f>SUM(F81:F84)</f>
        <v>0</v>
      </c>
      <c r="G85" s="105"/>
      <c r="H85" s="32">
        <f>SUM(H81:H84)</f>
        <v>0</v>
      </c>
      <c r="I85" s="105"/>
      <c r="J85" s="26">
        <f>SUM(J81:J84)</f>
        <v>-1179983.0900000001</v>
      </c>
      <c r="K85" s="105"/>
      <c r="L85" s="26">
        <f>SUM(L81:L84)</f>
        <v>97243.639999999839</v>
      </c>
      <c r="M85" s="105"/>
    </row>
    <row r="86" spans="1:13" x14ac:dyDescent="0.2">
      <c r="B86" s="26"/>
      <c r="C86" s="105"/>
      <c r="D86" s="26"/>
      <c r="E86" s="105"/>
      <c r="F86" s="26"/>
      <c r="G86" s="105"/>
      <c r="H86" s="26"/>
      <c r="I86" s="105"/>
      <c r="J86" s="26"/>
      <c r="K86" s="105"/>
      <c r="L86" s="26"/>
      <c r="M86" s="105"/>
    </row>
    <row r="87" spans="1:13" x14ac:dyDescent="0.2">
      <c r="C87" s="98"/>
      <c r="E87" s="98"/>
      <c r="G87" s="98"/>
      <c r="I87" s="98"/>
      <c r="K87" s="98"/>
      <c r="M87" s="98"/>
    </row>
    <row r="88" spans="1:13" x14ac:dyDescent="0.2">
      <c r="A88" s="12" t="s">
        <v>3403</v>
      </c>
      <c r="B88" s="31">
        <f>B71+B85+B79</f>
        <v>2260146.9699999993</v>
      </c>
      <c r="C88" s="105"/>
      <c r="D88" s="31">
        <f>D71+D85+D79</f>
        <v>51363.439999999755</v>
      </c>
      <c r="E88" s="105"/>
      <c r="F88" s="31">
        <f>F71+F85+F79</f>
        <v>0</v>
      </c>
      <c r="G88" s="105"/>
      <c r="H88" s="31">
        <f>H71+H85+H79</f>
        <v>0</v>
      </c>
      <c r="I88" s="105"/>
      <c r="J88" s="31">
        <f>J71+J85+J79</f>
        <v>51363.439999999755</v>
      </c>
      <c r="K88" s="105"/>
      <c r="L88" s="31">
        <f>L71+L85+L79</f>
        <v>2311510.4099999992</v>
      </c>
      <c r="M88" s="98"/>
    </row>
    <row r="89" spans="1:13" x14ac:dyDescent="0.2">
      <c r="A89" s="12"/>
      <c r="B89" s="26"/>
      <c r="C89" s="98"/>
      <c r="D89" s="26"/>
      <c r="E89" s="98"/>
      <c r="F89" s="26"/>
      <c r="G89" s="98"/>
      <c r="H89" s="26"/>
      <c r="I89" s="98"/>
      <c r="J89" s="26"/>
      <c r="K89" s="98"/>
      <c r="L89" s="26"/>
      <c r="M89" s="98"/>
    </row>
    <row r="90" spans="1:13" x14ac:dyDescent="0.2">
      <c r="C90" s="98"/>
      <c r="E90" s="98"/>
      <c r="G90" s="98"/>
      <c r="I90" s="98"/>
      <c r="K90" s="98"/>
      <c r="M90" s="98"/>
    </row>
    <row r="91" spans="1:13" ht="13.5" thickBot="1" x14ac:dyDescent="0.25">
      <c r="A91" s="12" t="s">
        <v>3398</v>
      </c>
      <c r="B91" s="33">
        <f>B88+B56</f>
        <v>152726917.89000002</v>
      </c>
      <c r="C91" s="98"/>
      <c r="D91" s="33">
        <f>D88+D56</f>
        <v>5436230.5199999986</v>
      </c>
      <c r="E91" s="98"/>
      <c r="F91" s="33">
        <f>F88+F56</f>
        <v>-1589777.75</v>
      </c>
      <c r="G91" s="98"/>
      <c r="H91" s="33">
        <f>H88+H56</f>
        <v>-60180.359999999986</v>
      </c>
      <c r="I91" s="98"/>
      <c r="J91" s="33">
        <f>J88+J56</f>
        <v>3786272.4099999997</v>
      </c>
      <c r="K91" s="98"/>
      <c r="L91" s="33">
        <f>L88+L56</f>
        <v>156513190.30000001</v>
      </c>
      <c r="M91" s="98"/>
    </row>
    <row r="92" spans="1:13" ht="13.5" thickTop="1" x14ac:dyDescent="0.2">
      <c r="C92" s="98"/>
      <c r="E92" s="98"/>
      <c r="G92" s="98"/>
      <c r="I92" s="98"/>
      <c r="K92" s="98"/>
      <c r="M92" s="98"/>
    </row>
    <row r="93" spans="1:13" x14ac:dyDescent="0.2">
      <c r="C93" s="98"/>
      <c r="E93" s="98"/>
      <c r="G93" s="98"/>
      <c r="I93" s="98"/>
      <c r="K93" s="98"/>
      <c r="M93" s="98"/>
    </row>
    <row r="94" spans="1:13" x14ac:dyDescent="0.2">
      <c r="C94" s="98"/>
      <c r="E94" s="98"/>
      <c r="G94" s="98"/>
      <c r="I94" s="98"/>
      <c r="K94" s="98"/>
      <c r="M94" s="98"/>
    </row>
    <row r="95" spans="1:13" x14ac:dyDescent="0.2">
      <c r="C95" s="98"/>
      <c r="E95" s="98"/>
      <c r="G95" s="98"/>
      <c r="I95" s="98"/>
      <c r="K95" s="98"/>
      <c r="M95" s="98"/>
    </row>
    <row r="96" spans="1:13" x14ac:dyDescent="0.2">
      <c r="C96" s="98"/>
      <c r="E96" s="98"/>
      <c r="G96" s="98"/>
      <c r="I96" s="98"/>
      <c r="K96" s="98"/>
      <c r="M96" s="98"/>
    </row>
    <row r="97" spans="3:13" x14ac:dyDescent="0.2">
      <c r="C97" s="98"/>
      <c r="E97" s="98"/>
      <c r="G97" s="98"/>
      <c r="I97" s="98"/>
      <c r="K97" s="98"/>
      <c r="M97" s="98"/>
    </row>
    <row r="98" spans="3:13" x14ac:dyDescent="0.2">
      <c r="C98" s="98"/>
      <c r="E98" s="98"/>
      <c r="G98" s="98"/>
      <c r="I98" s="98"/>
      <c r="K98" s="98"/>
      <c r="M98" s="98"/>
    </row>
    <row r="99" spans="3:13" x14ac:dyDescent="0.2">
      <c r="C99" s="98"/>
      <c r="E99" s="98"/>
      <c r="G99" s="98"/>
      <c r="I99" s="98"/>
      <c r="K99" s="98"/>
      <c r="M99" s="98"/>
    </row>
    <row r="100" spans="3:13" x14ac:dyDescent="0.2">
      <c r="C100" s="98"/>
      <c r="E100" s="98"/>
      <c r="G100" s="98"/>
      <c r="I100" s="98"/>
      <c r="K100" s="98"/>
      <c r="M100" s="98"/>
    </row>
    <row r="101" spans="3:13" x14ac:dyDescent="0.2">
      <c r="C101" s="98"/>
      <c r="E101" s="98"/>
      <c r="G101" s="98"/>
      <c r="I101" s="98"/>
      <c r="K101" s="98"/>
      <c r="M101" s="98"/>
    </row>
    <row r="102" spans="3:13" x14ac:dyDescent="0.2">
      <c r="C102" s="98"/>
      <c r="E102" s="98"/>
      <c r="G102" s="98"/>
      <c r="I102" s="98"/>
      <c r="K102" s="98"/>
      <c r="M102" s="98"/>
    </row>
    <row r="103" spans="3:13" x14ac:dyDescent="0.2">
      <c r="C103" s="98"/>
      <c r="E103" s="98"/>
      <c r="G103" s="98"/>
      <c r="I103" s="98"/>
      <c r="K103" s="98"/>
      <c r="M103" s="98"/>
    </row>
    <row r="104" spans="3:13" x14ac:dyDescent="0.2">
      <c r="C104" s="98"/>
      <c r="E104" s="98"/>
      <c r="G104" s="98"/>
      <c r="I104" s="98"/>
      <c r="K104" s="98"/>
      <c r="M104" s="98"/>
    </row>
    <row r="105" spans="3:13" x14ac:dyDescent="0.2">
      <c r="C105" s="98"/>
      <c r="E105" s="98"/>
      <c r="G105" s="98"/>
      <c r="I105" s="98"/>
      <c r="K105" s="98"/>
      <c r="M105" s="98"/>
    </row>
    <row r="106" spans="3:13" x14ac:dyDescent="0.2">
      <c r="C106" s="98"/>
      <c r="E106" s="98"/>
      <c r="G106" s="98"/>
      <c r="I106" s="98"/>
      <c r="K106" s="98"/>
      <c r="M106" s="98"/>
    </row>
    <row r="107" spans="3:13" x14ac:dyDescent="0.2">
      <c r="C107" s="98"/>
      <c r="E107" s="98"/>
      <c r="G107" s="98"/>
      <c r="I107" s="98"/>
      <c r="K107" s="98"/>
      <c r="M107" s="98"/>
    </row>
    <row r="108" spans="3:13" x14ac:dyDescent="0.2">
      <c r="C108" s="98"/>
      <c r="E108" s="98"/>
      <c r="G108" s="98"/>
      <c r="I108" s="98"/>
      <c r="K108" s="98"/>
      <c r="M108" s="98"/>
    </row>
    <row r="109" spans="3:13" x14ac:dyDescent="0.2">
      <c r="C109" s="98"/>
      <c r="E109" s="98"/>
      <c r="G109" s="98"/>
      <c r="I109" s="98"/>
      <c r="K109" s="98"/>
      <c r="M109" s="98"/>
    </row>
    <row r="110" spans="3:13" x14ac:dyDescent="0.2">
      <c r="C110" s="98"/>
      <c r="E110" s="98"/>
      <c r="G110" s="98"/>
      <c r="I110" s="98"/>
      <c r="K110" s="98"/>
      <c r="M110" s="98"/>
    </row>
    <row r="111" spans="3:13" x14ac:dyDescent="0.2">
      <c r="C111" s="98"/>
      <c r="E111" s="98"/>
      <c r="G111" s="98"/>
      <c r="I111" s="98"/>
      <c r="K111" s="98"/>
      <c r="M111" s="98"/>
    </row>
    <row r="112" spans="3:13" x14ac:dyDescent="0.2">
      <c r="C112" s="98"/>
      <c r="E112" s="98"/>
      <c r="G112" s="98"/>
      <c r="I112" s="98"/>
      <c r="K112" s="98"/>
      <c r="M112" s="98"/>
    </row>
    <row r="113" spans="3:13" x14ac:dyDescent="0.2">
      <c r="C113" s="98"/>
      <c r="E113" s="98"/>
      <c r="G113" s="98"/>
      <c r="I113" s="98"/>
      <c r="K113" s="98"/>
      <c r="M113" s="98"/>
    </row>
    <row r="114" spans="3:13" x14ac:dyDescent="0.2">
      <c r="C114" s="98"/>
      <c r="E114" s="98"/>
      <c r="G114" s="98"/>
      <c r="I114" s="98"/>
      <c r="K114" s="98"/>
      <c r="M114" s="98"/>
    </row>
    <row r="115" spans="3:13" x14ac:dyDescent="0.2">
      <c r="C115" s="98"/>
      <c r="E115" s="98"/>
      <c r="G115" s="98"/>
      <c r="I115" s="98"/>
      <c r="K115" s="98"/>
      <c r="M115" s="98"/>
    </row>
    <row r="116" spans="3:13" x14ac:dyDescent="0.2">
      <c r="C116" s="98"/>
      <c r="E116" s="98"/>
      <c r="G116" s="98"/>
      <c r="I116" s="98"/>
      <c r="K116" s="98"/>
      <c r="M116" s="98"/>
    </row>
    <row r="117" spans="3:13" x14ac:dyDescent="0.2">
      <c r="C117" s="98"/>
      <c r="E117" s="98"/>
      <c r="G117" s="98"/>
      <c r="I117" s="98"/>
      <c r="K117" s="98"/>
      <c r="M117" s="98"/>
    </row>
    <row r="118" spans="3:13" x14ac:dyDescent="0.2">
      <c r="C118" s="98"/>
      <c r="E118" s="98"/>
      <c r="G118" s="98"/>
      <c r="I118" s="98"/>
      <c r="K118" s="98"/>
      <c r="M118" s="98"/>
    </row>
    <row r="119" spans="3:13" x14ac:dyDescent="0.2">
      <c r="C119" s="98"/>
      <c r="E119" s="98"/>
      <c r="G119" s="98"/>
      <c r="I119" s="98"/>
      <c r="K119" s="98"/>
      <c r="M119" s="98"/>
    </row>
    <row r="120" spans="3:13" x14ac:dyDescent="0.2">
      <c r="C120" s="98"/>
      <c r="E120" s="98"/>
      <c r="G120" s="98"/>
      <c r="I120" s="98"/>
      <c r="K120" s="98"/>
      <c r="M120" s="98"/>
    </row>
    <row r="121" spans="3:13" x14ac:dyDescent="0.2">
      <c r="C121" s="98"/>
      <c r="E121" s="98"/>
      <c r="G121" s="98"/>
      <c r="I121" s="98"/>
      <c r="K121" s="98"/>
      <c r="M121" s="98"/>
    </row>
    <row r="122" spans="3:13" x14ac:dyDescent="0.2">
      <c r="C122" s="98"/>
      <c r="E122" s="98"/>
      <c r="G122" s="98"/>
      <c r="I122" s="98"/>
      <c r="K122" s="98"/>
      <c r="M122" s="98"/>
    </row>
    <row r="123" spans="3:13" x14ac:dyDescent="0.2">
      <c r="C123" s="98"/>
      <c r="E123" s="98"/>
      <c r="G123" s="98"/>
      <c r="I123" s="98"/>
      <c r="K123" s="98"/>
      <c r="M123" s="98"/>
    </row>
    <row r="124" spans="3:13" x14ac:dyDescent="0.2">
      <c r="C124" s="98"/>
      <c r="E124" s="98"/>
      <c r="G124" s="98"/>
      <c r="I124" s="98"/>
      <c r="K124" s="98"/>
      <c r="M124" s="98"/>
    </row>
    <row r="125" spans="3:13" x14ac:dyDescent="0.2">
      <c r="C125" s="98"/>
      <c r="E125" s="98"/>
      <c r="G125" s="98"/>
      <c r="I125" s="98"/>
      <c r="K125" s="98"/>
      <c r="M125" s="98"/>
    </row>
    <row r="126" spans="3:13" x14ac:dyDescent="0.2">
      <c r="C126" s="98"/>
      <c r="E126" s="98"/>
      <c r="G126" s="98"/>
      <c r="I126" s="98"/>
      <c r="K126" s="98"/>
      <c r="M126" s="98"/>
    </row>
    <row r="127" spans="3:13" x14ac:dyDescent="0.2">
      <c r="C127" s="98"/>
      <c r="E127" s="98"/>
      <c r="G127" s="98"/>
      <c r="I127" s="98"/>
      <c r="K127" s="98"/>
      <c r="M127" s="98"/>
    </row>
    <row r="128" spans="3:13" x14ac:dyDescent="0.2">
      <c r="C128" s="98"/>
      <c r="E128" s="98"/>
      <c r="G128" s="98"/>
      <c r="I128" s="98"/>
      <c r="K128" s="98"/>
      <c r="M128" s="98"/>
    </row>
    <row r="129" spans="3:13" x14ac:dyDescent="0.2">
      <c r="C129" s="98"/>
      <c r="E129" s="98"/>
      <c r="G129" s="98"/>
      <c r="I129" s="98"/>
      <c r="K129" s="98"/>
      <c r="M129" s="98"/>
    </row>
    <row r="130" spans="3:13" x14ac:dyDescent="0.2">
      <c r="C130" s="98"/>
      <c r="E130" s="98"/>
      <c r="G130" s="98"/>
      <c r="I130" s="98"/>
      <c r="K130" s="98"/>
      <c r="M130" s="98"/>
    </row>
    <row r="131" spans="3:13" x14ac:dyDescent="0.2">
      <c r="C131" s="98"/>
      <c r="E131" s="98"/>
      <c r="G131" s="98"/>
      <c r="I131" s="98"/>
      <c r="K131" s="98"/>
      <c r="M131" s="98"/>
    </row>
    <row r="132" spans="3:13" x14ac:dyDescent="0.2">
      <c r="C132" s="98"/>
      <c r="E132" s="98"/>
      <c r="G132" s="98"/>
      <c r="I132" s="98"/>
      <c r="K132" s="98"/>
      <c r="M132" s="98"/>
    </row>
    <row r="133" spans="3:13" x14ac:dyDescent="0.2">
      <c r="C133" s="98"/>
      <c r="E133" s="98"/>
      <c r="G133" s="98"/>
      <c r="I133" s="98"/>
      <c r="K133" s="98"/>
      <c r="M133" s="98"/>
    </row>
  </sheetData>
  <mergeCells count="3">
    <mergeCell ref="A1:L1"/>
    <mergeCell ref="A2:L2"/>
    <mergeCell ref="A3:L3"/>
  </mergeCells>
  <printOptions horizontalCentered="1"/>
  <pageMargins left="0.75" right="0.75" top="1" bottom="1" header="0.5" footer="0.5"/>
  <pageSetup scale="67" fitToHeight="0" orientation="landscape" r:id="rId1"/>
  <headerFooter alignWithMargins="0">
    <oddFooter>&amp;R&amp;"Times New Roman,Bold"&amp;12Case No. 2018-00295
Attachment 6 to Response to US DOD-2 Question No. 7   
Page &amp;P of &amp;N
Garrett</oddFooter>
  </headerFooter>
  <rowBreaks count="1" manualBreakCount="1">
    <brk id="44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workbookViewId="0">
      <selection sqref="A1:R1"/>
    </sheetView>
  </sheetViews>
  <sheetFormatPr defaultRowHeight="12.75" x14ac:dyDescent="0.2"/>
  <cols>
    <col min="1" max="1" width="38.140625" style="3" bestFit="1" customWidth="1"/>
    <col min="2" max="2" width="17.7109375" style="14" customWidth="1"/>
    <col min="3" max="3" width="1.7109375" style="3" customWidth="1"/>
    <col min="4" max="4" width="17.7109375" style="14" customWidth="1"/>
    <col min="5" max="5" width="1.7109375" style="3" customWidth="1"/>
    <col min="6" max="6" width="17.7109375" style="14" customWidth="1"/>
    <col min="7" max="7" width="1.7109375" style="3" customWidth="1"/>
    <col min="8" max="8" width="17.7109375" style="14" customWidth="1"/>
    <col min="9" max="9" width="1.7109375" style="3" customWidth="1"/>
    <col min="10" max="10" width="17.7109375" style="14" customWidth="1"/>
    <col min="11" max="11" width="1.7109375" style="3" customWidth="1"/>
    <col min="12" max="12" width="17.7109375" style="14" customWidth="1"/>
    <col min="13" max="13" width="2.7109375" style="3" customWidth="1"/>
    <col min="14" max="14" width="14" style="3" customWidth="1"/>
    <col min="15" max="15" width="2.140625" style="3" customWidth="1"/>
    <col min="16" max="16" width="23.140625" style="3" bestFit="1" customWidth="1"/>
    <col min="17" max="16384" width="9.140625" style="3"/>
  </cols>
  <sheetData>
    <row r="1" spans="1:16" s="86" customFormat="1" ht="15.75" x14ac:dyDescent="0.25">
      <c r="A1" s="154" t="s">
        <v>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</row>
    <row r="2" spans="1:16" s="86" customFormat="1" ht="15.75" x14ac:dyDescent="0.25">
      <c r="A2" s="154" t="s">
        <v>3404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</row>
    <row r="3" spans="1:16" x14ac:dyDescent="0.2">
      <c r="A3" s="144" t="str">
        <f>'KU_Summary - Cost - P1 (REG)'!A3:N3</f>
        <v>DECEMBER 2016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</row>
    <row r="4" spans="1:16" x14ac:dyDescent="0.2">
      <c r="A4" s="87"/>
      <c r="B4" s="72"/>
      <c r="C4" s="87"/>
      <c r="D4" s="72"/>
      <c r="E4" s="87"/>
      <c r="F4" s="72"/>
      <c r="G4" s="87"/>
      <c r="H4" s="72"/>
      <c r="I4" s="87"/>
      <c r="J4" s="72"/>
      <c r="K4" s="87"/>
      <c r="L4" s="72"/>
    </row>
    <row r="5" spans="1:16" x14ac:dyDescent="0.2">
      <c r="A5" s="87"/>
      <c r="B5" s="72"/>
      <c r="C5" s="87"/>
      <c r="D5" s="72"/>
      <c r="E5" s="87"/>
      <c r="F5" s="72"/>
      <c r="G5" s="87"/>
      <c r="H5" s="72"/>
      <c r="I5" s="87"/>
      <c r="J5" s="72"/>
      <c r="K5" s="87"/>
      <c r="L5" s="72"/>
    </row>
    <row r="7" spans="1:16" x14ac:dyDescent="0.2">
      <c r="B7" s="25" t="s">
        <v>2</v>
      </c>
      <c r="H7" s="25" t="s">
        <v>3</v>
      </c>
      <c r="L7" s="25" t="s">
        <v>4</v>
      </c>
      <c r="P7" s="12" t="s">
        <v>3232</v>
      </c>
    </row>
    <row r="8" spans="1:16" x14ac:dyDescent="0.2">
      <c r="B8" s="10" t="s">
        <v>5</v>
      </c>
      <c r="D8" s="10" t="s">
        <v>6</v>
      </c>
      <c r="F8" s="10" t="s">
        <v>7</v>
      </c>
      <c r="H8" s="10" t="s">
        <v>8</v>
      </c>
      <c r="J8" s="10" t="s">
        <v>9</v>
      </c>
      <c r="L8" s="10" t="s">
        <v>5</v>
      </c>
      <c r="N8" s="10" t="s">
        <v>3234</v>
      </c>
      <c r="P8" s="10" t="s">
        <v>3235</v>
      </c>
    </row>
    <row r="9" spans="1:16" x14ac:dyDescent="0.2">
      <c r="A9" s="12" t="s">
        <v>3236</v>
      </c>
      <c r="B9" s="11"/>
      <c r="D9" s="11"/>
      <c r="F9" s="11"/>
      <c r="H9" s="11"/>
      <c r="J9" s="11"/>
      <c r="L9" s="11"/>
    </row>
    <row r="10" spans="1:16" x14ac:dyDescent="0.2">
      <c r="A10" s="12" t="s">
        <v>3237</v>
      </c>
    </row>
    <row r="11" spans="1:16" x14ac:dyDescent="0.2">
      <c r="A11" s="12" t="s">
        <v>12</v>
      </c>
    </row>
    <row r="12" spans="1:16" x14ac:dyDescent="0.2">
      <c r="A12" s="3" t="s">
        <v>153</v>
      </c>
      <c r="B12" s="14">
        <f>'TN_Cost by Plant Acct P12 (REG)'!B11</f>
        <v>2627.41</v>
      </c>
      <c r="C12" s="13"/>
      <c r="D12" s="14">
        <f>'TN_Cost by Plant Acct P12 (REG)'!D11</f>
        <v>0</v>
      </c>
      <c r="E12" s="13"/>
      <c r="F12" s="14">
        <f>'TN_Cost by Plant Acct P12 (REG)'!F11</f>
        <v>0</v>
      </c>
      <c r="G12" s="13"/>
      <c r="H12" s="14">
        <f>'TN_Cost by Plant Acct P12 (REG)'!H11</f>
        <v>0</v>
      </c>
      <c r="I12" s="13"/>
      <c r="J12" s="14">
        <f t="shared" ref="J12:J23" si="0">D12+F12+H12</f>
        <v>0</v>
      </c>
      <c r="K12" s="13"/>
      <c r="L12" s="14">
        <f t="shared" ref="L12:L23" si="1">J12+B12</f>
        <v>2627.41</v>
      </c>
      <c r="N12" s="15">
        <f>'TN_Res by Plant Acct P18(REG)'!R10</f>
        <v>-2453.1299999999992</v>
      </c>
      <c r="P12" s="15">
        <f>L12+N12</f>
        <v>174.28000000000065</v>
      </c>
    </row>
    <row r="13" spans="1:16" x14ac:dyDescent="0.2">
      <c r="A13" s="3" t="s">
        <v>154</v>
      </c>
      <c r="B13" s="14">
        <f>'TN_Cost by Plant Acct P12 (REG)'!B12</f>
        <v>2412.8200000000002</v>
      </c>
      <c r="C13" s="13"/>
      <c r="D13" s="14">
        <f>'TN_Cost by Plant Acct P12 (REG)'!D12</f>
        <v>0</v>
      </c>
      <c r="E13" s="13"/>
      <c r="F13" s="14">
        <f>'TN_Cost by Plant Acct P12 (REG)'!F12</f>
        <v>0</v>
      </c>
      <c r="G13" s="13"/>
      <c r="H13" s="14">
        <f>'TN_Cost by Plant Acct P12 (REG)'!H12</f>
        <v>0</v>
      </c>
      <c r="I13" s="13"/>
      <c r="J13" s="14">
        <f t="shared" si="0"/>
        <v>0</v>
      </c>
      <c r="K13" s="13"/>
      <c r="L13" s="14">
        <f t="shared" si="1"/>
        <v>2412.8200000000002</v>
      </c>
      <c r="N13" s="15">
        <v>0</v>
      </c>
      <c r="P13" s="15">
        <f t="shared" ref="P13:P23" si="2">L13+N13</f>
        <v>2412.8200000000002</v>
      </c>
    </row>
    <row r="14" spans="1:16" x14ac:dyDescent="0.2">
      <c r="A14" s="3" t="s">
        <v>155</v>
      </c>
      <c r="B14" s="14">
        <f>'TN_Cost by Plant Acct P12 (REG)'!B13</f>
        <v>2575.89</v>
      </c>
      <c r="C14" s="13"/>
      <c r="D14" s="14">
        <f>'TN_Cost by Plant Acct P12 (REG)'!D13</f>
        <v>0</v>
      </c>
      <c r="E14" s="13"/>
      <c r="F14" s="14">
        <f>'TN_Cost by Plant Acct P12 (REG)'!F13</f>
        <v>0</v>
      </c>
      <c r="G14" s="13"/>
      <c r="H14" s="14">
        <f>'TN_Cost by Plant Acct P12 (REG)'!H13</f>
        <v>0</v>
      </c>
      <c r="I14" s="13"/>
      <c r="J14" s="14">
        <f t="shared" si="0"/>
        <v>0</v>
      </c>
      <c r="K14" s="13"/>
      <c r="L14" s="14">
        <f t="shared" si="1"/>
        <v>2575.89</v>
      </c>
      <c r="N14" s="15">
        <f>'TN_Res by Plant Acct P18(REG)'!R11</f>
        <v>-2615.3000000000002</v>
      </c>
      <c r="P14" s="15">
        <f t="shared" si="2"/>
        <v>-39.410000000000309</v>
      </c>
    </row>
    <row r="15" spans="1:16" x14ac:dyDescent="0.2">
      <c r="A15" s="3" t="s">
        <v>156</v>
      </c>
      <c r="B15" s="14">
        <f>'TN_Cost by Plant Acct P12 (REG)'!B14+'TN_Cost by Plant Acct P12 (REG)'!B37</f>
        <v>66887.25</v>
      </c>
      <c r="C15" s="13"/>
      <c r="D15" s="14">
        <f>'TN_Cost by Plant Acct P12 (REG)'!D14+'TN_Cost by Plant Acct P12 (REG)'!D37</f>
        <v>0</v>
      </c>
      <c r="E15" s="13"/>
      <c r="F15" s="14">
        <f>'TN_Cost by Plant Acct P12 (REG)'!F14+'TN_Cost by Plant Acct P12 (REG)'!F37</f>
        <v>0</v>
      </c>
      <c r="G15" s="13"/>
      <c r="H15" s="14">
        <f>'TN_Cost by Plant Acct P12 (REG)'!H14+'TN_Cost by Plant Acct P12 (REG)'!H37</f>
        <v>0</v>
      </c>
      <c r="I15" s="13"/>
      <c r="J15" s="14">
        <f t="shared" si="0"/>
        <v>0</v>
      </c>
      <c r="K15" s="13"/>
      <c r="L15" s="14">
        <f t="shared" si="1"/>
        <v>66887.25</v>
      </c>
      <c r="N15" s="15">
        <f>'TN_Res by Plant Acct P18(REG)'!R12</f>
        <v>-32970.89</v>
      </c>
      <c r="P15" s="15">
        <f t="shared" si="2"/>
        <v>33916.36</v>
      </c>
    </row>
    <row r="16" spans="1:16" x14ac:dyDescent="0.2">
      <c r="A16" s="3" t="s">
        <v>157</v>
      </c>
      <c r="B16" s="14">
        <f>'TN_Cost by Plant Acct P12 (REG)'!B15</f>
        <v>47785.56</v>
      </c>
      <c r="C16" s="13"/>
      <c r="D16" s="14">
        <f>'TN_Cost by Plant Acct P12 (REG)'!D15</f>
        <v>0</v>
      </c>
      <c r="E16" s="13"/>
      <c r="F16" s="14">
        <f>'TN_Cost by Plant Acct P12 (REG)'!F15</f>
        <v>0</v>
      </c>
      <c r="G16" s="13"/>
      <c r="H16" s="14">
        <f>'TN_Cost by Plant Acct P12 (REG)'!H15</f>
        <v>0</v>
      </c>
      <c r="I16" s="13"/>
      <c r="J16" s="14">
        <f t="shared" si="0"/>
        <v>0</v>
      </c>
      <c r="K16" s="13"/>
      <c r="L16" s="14">
        <f t="shared" si="1"/>
        <v>47785.56</v>
      </c>
      <c r="N16" s="15">
        <f>'TN_Res by Plant Acct P18(REG)'!R13</f>
        <v>-46448.889999999992</v>
      </c>
      <c r="P16" s="15">
        <f t="shared" si="2"/>
        <v>1336.6700000000055</v>
      </c>
    </row>
    <row r="17" spans="1:16" x14ac:dyDescent="0.2">
      <c r="A17" s="3" t="s">
        <v>158</v>
      </c>
      <c r="B17" s="14">
        <f>'TN_Cost by Plant Acct P12 (REG)'!B16</f>
        <v>46763.22</v>
      </c>
      <c r="C17" s="13"/>
      <c r="D17" s="14">
        <f>'TN_Cost by Plant Acct P12 (REG)'!D16</f>
        <v>0</v>
      </c>
      <c r="E17" s="13"/>
      <c r="F17" s="14">
        <f>'TN_Cost by Plant Acct P12 (REG)'!F16</f>
        <v>0</v>
      </c>
      <c r="G17" s="13"/>
      <c r="H17" s="14">
        <f>'TN_Cost by Plant Acct P12 (REG)'!H16</f>
        <v>0</v>
      </c>
      <c r="I17" s="13"/>
      <c r="J17" s="14">
        <f t="shared" si="0"/>
        <v>0</v>
      </c>
      <c r="K17" s="13"/>
      <c r="L17" s="14">
        <f t="shared" si="1"/>
        <v>46763.22</v>
      </c>
      <c r="N17" s="15">
        <f>'TN_Res by Plant Acct P18(REG)'!R14</f>
        <v>-51330.500000000015</v>
      </c>
      <c r="P17" s="15">
        <f t="shared" si="2"/>
        <v>-4567.2800000000134</v>
      </c>
    </row>
    <row r="18" spans="1:16" x14ac:dyDescent="0.2">
      <c r="A18" s="3" t="s">
        <v>159</v>
      </c>
      <c r="B18" s="14">
        <f>'TN_Cost by Plant Acct P12 (REG)'!B17</f>
        <v>0</v>
      </c>
      <c r="C18" s="13"/>
      <c r="D18" s="14">
        <f>'TN_Cost by Plant Acct P12 (REG)'!D17</f>
        <v>0</v>
      </c>
      <c r="E18" s="13"/>
      <c r="F18" s="14">
        <f>'TN_Cost by Plant Acct P12 (REG)'!F17</f>
        <v>0</v>
      </c>
      <c r="G18" s="13"/>
      <c r="H18" s="14">
        <f>'TN_Cost by Plant Acct P12 (REG)'!H17</f>
        <v>0</v>
      </c>
      <c r="I18" s="13"/>
      <c r="J18" s="14">
        <f t="shared" si="0"/>
        <v>0</v>
      </c>
      <c r="K18" s="13"/>
      <c r="L18" s="14">
        <f t="shared" si="1"/>
        <v>0</v>
      </c>
      <c r="N18" s="15">
        <v>0</v>
      </c>
      <c r="P18" s="15">
        <f t="shared" si="2"/>
        <v>0</v>
      </c>
    </row>
    <row r="19" spans="1:16" x14ac:dyDescent="0.2">
      <c r="A19" s="3" t="s">
        <v>3405</v>
      </c>
      <c r="B19" s="14">
        <f>'TN_Cost by Plant Acct P12 (REG)'!B18</f>
        <v>0</v>
      </c>
      <c r="C19" s="13"/>
      <c r="D19" s="14">
        <f>'TN_Cost by Plant Acct P12 (REG)'!D18</f>
        <v>0</v>
      </c>
      <c r="E19" s="13"/>
      <c r="F19" s="14">
        <f>'TN_Cost by Plant Acct P12 (REG)'!F18</f>
        <v>0</v>
      </c>
      <c r="G19" s="13"/>
      <c r="H19" s="14">
        <f>'TN_Cost by Plant Acct P12 (REG)'!H18</f>
        <v>0</v>
      </c>
      <c r="I19" s="13"/>
      <c r="J19" s="14">
        <f t="shared" si="0"/>
        <v>0</v>
      </c>
      <c r="K19" s="13"/>
      <c r="L19" s="14">
        <f t="shared" si="1"/>
        <v>0</v>
      </c>
      <c r="N19" s="15">
        <v>0</v>
      </c>
      <c r="P19" s="15">
        <f t="shared" si="2"/>
        <v>0</v>
      </c>
    </row>
    <row r="20" spans="1:16" x14ac:dyDescent="0.2">
      <c r="A20" s="3" t="s">
        <v>161</v>
      </c>
      <c r="B20" s="14">
        <f>'TN_Cost by Plant Acct P12 (REG)'!B19</f>
        <v>3118.28</v>
      </c>
      <c r="C20" s="13"/>
      <c r="D20" s="14">
        <f>'TN_Cost by Plant Acct P12 (REG)'!D19</f>
        <v>0</v>
      </c>
      <c r="E20" s="13"/>
      <c r="F20" s="14">
        <f>'TN_Cost by Plant Acct P12 (REG)'!F19</f>
        <v>0</v>
      </c>
      <c r="G20" s="13"/>
      <c r="H20" s="14">
        <f>'TN_Cost by Plant Acct P12 (REG)'!H19</f>
        <v>0</v>
      </c>
      <c r="I20" s="13"/>
      <c r="J20" s="14">
        <f t="shared" si="0"/>
        <v>0</v>
      </c>
      <c r="K20" s="13"/>
      <c r="L20" s="14">
        <f t="shared" si="1"/>
        <v>3118.28</v>
      </c>
      <c r="N20" s="15">
        <f>'TN_Res by Plant Acct P18(REG)'!R17</f>
        <v>-5133.0499999999984</v>
      </c>
      <c r="P20" s="15">
        <f t="shared" si="2"/>
        <v>-2014.7699999999982</v>
      </c>
    </row>
    <row r="21" spans="1:16" x14ac:dyDescent="0.2">
      <c r="A21" s="3" t="s">
        <v>162</v>
      </c>
      <c r="B21" s="14">
        <f>'TN_Cost by Plant Acct P12 (REG)'!B20</f>
        <v>254.62</v>
      </c>
      <c r="C21" s="13"/>
      <c r="D21" s="14">
        <f>'TN_Cost by Plant Acct P12 (REG)'!D20</f>
        <v>0</v>
      </c>
      <c r="E21" s="13"/>
      <c r="F21" s="14">
        <f>'TN_Cost by Plant Acct P12 (REG)'!F20</f>
        <v>0</v>
      </c>
      <c r="G21" s="13"/>
      <c r="H21" s="14">
        <f>'TN_Cost by Plant Acct P12 (REG)'!H20</f>
        <v>0</v>
      </c>
      <c r="I21" s="13"/>
      <c r="J21" s="14">
        <f t="shared" si="0"/>
        <v>0</v>
      </c>
      <c r="K21" s="13"/>
      <c r="L21" s="14">
        <f t="shared" si="1"/>
        <v>254.62</v>
      </c>
      <c r="N21" s="15">
        <f>'TN_Res by Plant Acct P18(REG)'!R18</f>
        <v>-1144.4700000000003</v>
      </c>
      <c r="P21" s="15">
        <f t="shared" si="2"/>
        <v>-889.85000000000025</v>
      </c>
    </row>
    <row r="22" spans="1:16" x14ac:dyDescent="0.2">
      <c r="A22" s="3" t="s">
        <v>163</v>
      </c>
      <c r="B22" s="14">
        <f>'TN_Cost by Plant Acct P12 (REG)'!B21</f>
        <v>4199.21</v>
      </c>
      <c r="C22" s="13"/>
      <c r="D22" s="14">
        <f>'TN_Cost by Plant Acct P12 (REG)'!D21</f>
        <v>0</v>
      </c>
      <c r="E22" s="13"/>
      <c r="F22" s="14">
        <f>'TN_Cost by Plant Acct P12 (REG)'!F21</f>
        <v>0</v>
      </c>
      <c r="G22" s="13"/>
      <c r="H22" s="14">
        <f>'TN_Cost by Plant Acct P12 (REG)'!H21</f>
        <v>0</v>
      </c>
      <c r="I22" s="13"/>
      <c r="J22" s="14">
        <f t="shared" si="0"/>
        <v>0</v>
      </c>
      <c r="K22" s="13"/>
      <c r="L22" s="14">
        <f t="shared" si="1"/>
        <v>4199.21</v>
      </c>
      <c r="N22" s="15">
        <f>'TN_Res by Plant Acct P18(REG)'!R19</f>
        <v>-293.28999999999974</v>
      </c>
      <c r="P22" s="15">
        <f t="shared" si="2"/>
        <v>3905.92</v>
      </c>
    </row>
    <row r="23" spans="1:16" x14ac:dyDescent="0.2">
      <c r="A23" s="3" t="s">
        <v>165</v>
      </c>
      <c r="B23" s="16">
        <f>'TN_Cost by Plant Acct P12 (REG)'!B22</f>
        <v>0</v>
      </c>
      <c r="C23" s="92"/>
      <c r="D23" s="16">
        <f>'TN_Cost by Plant Acct P12 (REG)'!D22</f>
        <v>0</v>
      </c>
      <c r="E23" s="92"/>
      <c r="F23" s="16">
        <f>'TN_Cost by Plant Acct P12 (REG)'!F22</f>
        <v>0</v>
      </c>
      <c r="G23" s="92"/>
      <c r="H23" s="16">
        <f>'TN_Cost by Plant Acct P12 (REG)'!H22</f>
        <v>0</v>
      </c>
      <c r="I23" s="92"/>
      <c r="J23" s="16">
        <f t="shared" si="0"/>
        <v>0</v>
      </c>
      <c r="K23" s="92"/>
      <c r="L23" s="16">
        <f t="shared" si="1"/>
        <v>0</v>
      </c>
      <c r="M23" s="59"/>
      <c r="N23" s="90">
        <f>'TN_Res by Plant Acct P18(REG)'!R20</f>
        <v>0</v>
      </c>
      <c r="P23" s="90">
        <f t="shared" si="2"/>
        <v>0</v>
      </c>
    </row>
    <row r="24" spans="1:16" x14ac:dyDescent="0.2">
      <c r="B24" s="17">
        <f>SUM(B12:B23)</f>
        <v>176624.25999999998</v>
      </c>
      <c r="C24" s="92"/>
      <c r="D24" s="17">
        <f>SUM(D12:D23)</f>
        <v>0</v>
      </c>
      <c r="E24" s="92"/>
      <c r="F24" s="17">
        <f>SUM(F12:F23)</f>
        <v>0</v>
      </c>
      <c r="G24" s="92"/>
      <c r="H24" s="17">
        <f>SUM(H12:H23)</f>
        <v>0</v>
      </c>
      <c r="I24" s="92"/>
      <c r="J24" s="17">
        <f>SUM(J12:J23)</f>
        <v>0</v>
      </c>
      <c r="K24" s="92"/>
      <c r="L24" s="17">
        <f>SUM(L12:L23)</f>
        <v>176624.25999999998</v>
      </c>
      <c r="M24" s="59"/>
      <c r="N24" s="17">
        <f>SUM(N12:N23)</f>
        <v>-142389.52000000002</v>
      </c>
      <c r="P24" s="17">
        <f>SUM(P12:P23)</f>
        <v>34234.74</v>
      </c>
    </row>
    <row r="25" spans="1:16" x14ac:dyDescent="0.2">
      <c r="B25" s="17"/>
      <c r="C25" s="92"/>
      <c r="D25" s="17"/>
      <c r="E25" s="92"/>
      <c r="F25" s="17"/>
      <c r="G25" s="92"/>
      <c r="H25" s="17"/>
      <c r="I25" s="92"/>
      <c r="J25" s="17"/>
      <c r="K25" s="92"/>
      <c r="L25" s="17"/>
      <c r="M25" s="59"/>
    </row>
    <row r="26" spans="1:16" x14ac:dyDescent="0.2">
      <c r="A26" s="12" t="s">
        <v>18</v>
      </c>
      <c r="B26" s="17"/>
      <c r="C26" s="92"/>
      <c r="D26" s="17"/>
      <c r="E26" s="92"/>
      <c r="F26" s="17"/>
      <c r="G26" s="92"/>
      <c r="H26" s="17"/>
      <c r="I26" s="92"/>
      <c r="J26" s="17"/>
      <c r="K26" s="92"/>
      <c r="L26" s="17"/>
      <c r="M26" s="59"/>
    </row>
    <row r="27" spans="1:16" x14ac:dyDescent="0.2">
      <c r="A27" s="3" t="s">
        <v>227</v>
      </c>
      <c r="B27" s="17">
        <f>'TN_Cost by Plant Acct P12 (REG)'!B26</f>
        <v>439.53</v>
      </c>
      <c r="C27" s="92"/>
      <c r="D27" s="17">
        <f>'TN_Cost by Plant Acct P12 (REG)'!D26</f>
        <v>0</v>
      </c>
      <c r="E27" s="92"/>
      <c r="F27" s="17">
        <f>'TN_Cost by Plant Acct P12 (REG)'!F26</f>
        <v>0</v>
      </c>
      <c r="G27" s="92"/>
      <c r="H27" s="17">
        <f>'TN_Cost by Plant Acct P12 (REG)'!H26</f>
        <v>0</v>
      </c>
      <c r="I27" s="92"/>
      <c r="J27" s="17">
        <f>D27+F27+H27</f>
        <v>0</v>
      </c>
      <c r="K27" s="92"/>
      <c r="L27" s="17">
        <f>J27+B27</f>
        <v>439.53</v>
      </c>
      <c r="M27" s="59"/>
      <c r="N27" s="15">
        <f>'TN_Res by Plant Acct P18(REG)'!R24</f>
        <v>-365.25999999999993</v>
      </c>
      <c r="P27" s="15">
        <f>L27+N27</f>
        <v>74.270000000000039</v>
      </c>
    </row>
    <row r="28" spans="1:16" x14ac:dyDescent="0.2">
      <c r="A28" s="3" t="s">
        <v>235</v>
      </c>
      <c r="B28" s="17">
        <f>'TN_Cost by Plant Acct P12 (REG)'!B27</f>
        <v>125979</v>
      </c>
      <c r="C28" s="92"/>
      <c r="D28" s="17">
        <f>'TN_Cost by Plant Acct P12 (REG)'!D27</f>
        <v>0</v>
      </c>
      <c r="E28" s="92"/>
      <c r="F28" s="17">
        <f>'TN_Cost by Plant Acct P12 (REG)'!F27</f>
        <v>0</v>
      </c>
      <c r="G28" s="92"/>
      <c r="H28" s="17">
        <f>'TN_Cost by Plant Acct P12 (REG)'!H27</f>
        <v>0</v>
      </c>
      <c r="I28" s="92"/>
      <c r="J28" s="17">
        <f>D28+F28+H28</f>
        <v>0</v>
      </c>
      <c r="K28" s="92"/>
      <c r="L28" s="17">
        <f>J28+B28</f>
        <v>125979</v>
      </c>
      <c r="M28" s="59"/>
      <c r="N28" s="15">
        <f>'TN_Res by Plant Acct P18(REG)'!R25</f>
        <v>-86195.550000000017</v>
      </c>
      <c r="P28" s="15">
        <f>L28+N28</f>
        <v>39783.449999999983</v>
      </c>
    </row>
    <row r="29" spans="1:16" x14ac:dyDescent="0.2">
      <c r="A29" s="3" t="s">
        <v>236</v>
      </c>
      <c r="B29" s="16">
        <f>'TN_Cost by Plant Acct P12 (REG)'!B28</f>
        <v>78061.73</v>
      </c>
      <c r="C29" s="92"/>
      <c r="D29" s="16">
        <f>'TN_Cost by Plant Acct P12 (REG)'!D28</f>
        <v>0</v>
      </c>
      <c r="E29" s="92"/>
      <c r="F29" s="16">
        <f>'TN_Cost by Plant Acct P12 (REG)'!F28</f>
        <v>0</v>
      </c>
      <c r="G29" s="92"/>
      <c r="H29" s="16">
        <f>'TN_Cost by Plant Acct P12 (REG)'!H28</f>
        <v>0</v>
      </c>
      <c r="I29" s="92"/>
      <c r="J29" s="16">
        <f>D29+F29+H29</f>
        <v>0</v>
      </c>
      <c r="K29" s="92"/>
      <c r="L29" s="16">
        <f>J29+B29</f>
        <v>78061.73</v>
      </c>
      <c r="M29" s="59"/>
      <c r="N29" s="90">
        <f>'TN_Res by Plant Acct P18(REG)'!R26</f>
        <v>-52069.709999999992</v>
      </c>
      <c r="P29" s="90">
        <f>L29+N29</f>
        <v>25992.020000000004</v>
      </c>
    </row>
    <row r="30" spans="1:16" x14ac:dyDescent="0.2">
      <c r="B30" s="17">
        <f>SUM(B27:B29)</f>
        <v>204480.26</v>
      </c>
      <c r="C30" s="92"/>
      <c r="D30" s="17">
        <f>SUM(D27:D29)</f>
        <v>0</v>
      </c>
      <c r="E30" s="92"/>
      <c r="F30" s="17">
        <f>SUM(F27:F29)</f>
        <v>0</v>
      </c>
      <c r="G30" s="92"/>
      <c r="H30" s="17">
        <f>SUM(H27:H29)</f>
        <v>0</v>
      </c>
      <c r="I30" s="92"/>
      <c r="J30" s="17">
        <f>SUM(J27:J29)</f>
        <v>0</v>
      </c>
      <c r="K30" s="92"/>
      <c r="L30" s="17">
        <f>SUM(L27:L29)</f>
        <v>204480.26</v>
      </c>
      <c r="M30" s="59"/>
      <c r="N30" s="17">
        <f>SUM(N27:N29)</f>
        <v>-138630.52000000002</v>
      </c>
      <c r="P30" s="17">
        <f>SUM(P27:P29)</f>
        <v>65849.739999999991</v>
      </c>
    </row>
    <row r="31" spans="1:16" x14ac:dyDescent="0.2">
      <c r="B31" s="17"/>
      <c r="C31" s="92"/>
      <c r="D31" s="17"/>
      <c r="E31" s="92"/>
      <c r="F31" s="17"/>
      <c r="G31" s="92"/>
      <c r="H31" s="17"/>
      <c r="I31" s="92"/>
      <c r="J31" s="17"/>
      <c r="K31" s="92"/>
      <c r="L31" s="17"/>
      <c r="M31" s="59"/>
    </row>
    <row r="32" spans="1:16" x14ac:dyDescent="0.2">
      <c r="C32" s="13"/>
      <c r="E32" s="13"/>
      <c r="G32" s="13"/>
      <c r="I32" s="13"/>
      <c r="K32" s="13"/>
    </row>
    <row r="33" spans="1:16" ht="13.5" thickBot="1" x14ac:dyDescent="0.25">
      <c r="A33" s="12" t="s">
        <v>3406</v>
      </c>
      <c r="B33" s="78">
        <f>B30+B24</f>
        <v>381104.52</v>
      </c>
      <c r="C33" s="13"/>
      <c r="D33" s="78">
        <f>D30+D24</f>
        <v>0</v>
      </c>
      <c r="E33" s="13"/>
      <c r="F33" s="78">
        <f>F30+F24</f>
        <v>0</v>
      </c>
      <c r="G33" s="13"/>
      <c r="H33" s="78">
        <f>H30+H24</f>
        <v>0</v>
      </c>
      <c r="I33" s="13"/>
      <c r="J33" s="78">
        <f>J30+J24</f>
        <v>0</v>
      </c>
      <c r="K33" s="13"/>
      <c r="L33" s="78">
        <f>L30+L24</f>
        <v>381104.52</v>
      </c>
      <c r="N33" s="78">
        <f>N30+N24</f>
        <v>-281020.04000000004</v>
      </c>
      <c r="P33" s="78">
        <f>P30+P24</f>
        <v>100084.47999999998</v>
      </c>
    </row>
    <row r="34" spans="1:16" ht="13.5" thickTop="1" x14ac:dyDescent="0.2">
      <c r="C34" s="13"/>
      <c r="E34" s="13"/>
      <c r="G34" s="13"/>
      <c r="I34" s="13"/>
      <c r="K34" s="13"/>
    </row>
    <row r="35" spans="1:16" x14ac:dyDescent="0.2">
      <c r="C35" s="13"/>
      <c r="E35" s="13"/>
      <c r="G35" s="13"/>
      <c r="I35" s="13"/>
      <c r="K35" s="13"/>
    </row>
    <row r="36" spans="1:16" x14ac:dyDescent="0.2">
      <c r="C36" s="13"/>
      <c r="E36" s="13"/>
      <c r="G36" s="13"/>
      <c r="I36" s="13"/>
      <c r="K36" s="13"/>
    </row>
    <row r="37" spans="1:16" x14ac:dyDescent="0.2">
      <c r="C37" s="13"/>
      <c r="E37" s="13"/>
      <c r="G37" s="13"/>
      <c r="I37" s="13"/>
      <c r="K37" s="13"/>
    </row>
    <row r="38" spans="1:16" x14ac:dyDescent="0.2">
      <c r="C38" s="13"/>
      <c r="E38" s="13"/>
      <c r="G38" s="13"/>
      <c r="I38" s="13"/>
      <c r="K38" s="13"/>
    </row>
    <row r="39" spans="1:16" x14ac:dyDescent="0.2">
      <c r="C39" s="13"/>
      <c r="E39" s="13"/>
      <c r="G39" s="13"/>
      <c r="I39" s="13"/>
      <c r="K39" s="13"/>
    </row>
  </sheetData>
  <mergeCells count="3">
    <mergeCell ref="A1:P1"/>
    <mergeCell ref="A2:P2"/>
    <mergeCell ref="A3:P3"/>
  </mergeCells>
  <printOptions horizontalCentered="1"/>
  <pageMargins left="0.75" right="0.75" top="1" bottom="1" header="0.5" footer="0.5"/>
  <pageSetup scale="67" orientation="landscape" r:id="rId1"/>
  <headerFooter alignWithMargins="0">
    <oddFooter>&amp;R&amp;"Times New Roman,Bold"&amp;12Case No. 2018-00295
Attachment 6 to Response to US DOD-2 Question No. 7   
Page &amp;P of &amp;N
Garrett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M45"/>
  <sheetViews>
    <sheetView workbookViewId="0">
      <pane xSplit="1" ySplit="8" topLeftCell="B9" activePane="bottomRight" state="frozen"/>
      <selection sqref="A1:R1"/>
      <selection pane="topRight" sqref="A1:R1"/>
      <selection pane="bottomLeft" sqref="A1:R1"/>
      <selection pane="bottomRight" sqref="A1:R1"/>
    </sheetView>
  </sheetViews>
  <sheetFormatPr defaultRowHeight="12.75" x14ac:dyDescent="0.2"/>
  <cols>
    <col min="1" max="1" width="41.42578125" style="3" bestFit="1" customWidth="1"/>
    <col min="2" max="2" width="17.7109375" style="19" customWidth="1"/>
    <col min="3" max="3" width="1.7109375" style="3" customWidth="1"/>
    <col min="4" max="4" width="17.7109375" style="19" customWidth="1"/>
    <col min="5" max="5" width="1.7109375" style="3" customWidth="1"/>
    <col min="6" max="6" width="17.7109375" style="19" customWidth="1"/>
    <col min="7" max="7" width="1.7109375" style="3" customWidth="1"/>
    <col min="8" max="8" width="17.7109375" style="19" customWidth="1"/>
    <col min="9" max="9" width="1.7109375" style="3" customWidth="1"/>
    <col min="10" max="10" width="17.7109375" style="19" customWidth="1"/>
    <col min="11" max="11" width="1.7109375" style="3" customWidth="1"/>
    <col min="12" max="12" width="17.7109375" style="19" customWidth="1"/>
    <col min="13" max="16384" width="9.140625" style="3"/>
  </cols>
  <sheetData>
    <row r="1" spans="1:12" s="86" customFormat="1" ht="15.75" x14ac:dyDescent="0.25">
      <c r="A1" s="154" t="s">
        <v>0</v>
      </c>
      <c r="B1" s="155"/>
      <c r="C1" s="154"/>
      <c r="D1" s="155"/>
      <c r="E1" s="154"/>
      <c r="F1" s="155"/>
      <c r="G1" s="154"/>
      <c r="H1" s="155"/>
      <c r="I1" s="154"/>
      <c r="J1" s="155"/>
      <c r="K1" s="154"/>
      <c r="L1" s="155"/>
    </row>
    <row r="2" spans="1:12" s="86" customFormat="1" ht="15.75" x14ac:dyDescent="0.25">
      <c r="A2" s="154" t="s">
        <v>3407</v>
      </c>
      <c r="B2" s="155"/>
      <c r="C2" s="154"/>
      <c r="D2" s="155"/>
      <c r="E2" s="154"/>
      <c r="F2" s="155"/>
      <c r="G2" s="154"/>
      <c r="H2" s="155"/>
      <c r="I2" s="154"/>
      <c r="J2" s="155"/>
      <c r="K2" s="154"/>
      <c r="L2" s="155"/>
    </row>
    <row r="3" spans="1:12" x14ac:dyDescent="0.2">
      <c r="A3" s="144" t="str">
        <f>'KU_Summary - Cost - P1 (REG)'!A3:N3</f>
        <v>DECEMBER 2016</v>
      </c>
      <c r="B3" s="156"/>
      <c r="C3" s="144"/>
      <c r="D3" s="156"/>
      <c r="E3" s="144"/>
      <c r="F3" s="156"/>
      <c r="G3" s="144"/>
      <c r="H3" s="156"/>
      <c r="I3" s="144"/>
      <c r="J3" s="156"/>
      <c r="K3" s="144"/>
      <c r="L3" s="156"/>
    </row>
    <row r="4" spans="1:12" x14ac:dyDescent="0.2">
      <c r="A4" s="87"/>
      <c r="B4" s="72"/>
      <c r="C4" s="87"/>
      <c r="D4" s="72"/>
      <c r="E4" s="87"/>
      <c r="F4" s="72"/>
      <c r="G4" s="87"/>
      <c r="H4" s="72"/>
      <c r="I4" s="87"/>
      <c r="J4" s="72"/>
      <c r="K4" s="87"/>
      <c r="L4" s="72"/>
    </row>
    <row r="6" spans="1:12" x14ac:dyDescent="0.2">
      <c r="B6" s="25" t="s">
        <v>2</v>
      </c>
      <c r="H6" s="25" t="s">
        <v>3</v>
      </c>
      <c r="L6" s="25" t="s">
        <v>4</v>
      </c>
    </row>
    <row r="7" spans="1:12" x14ac:dyDescent="0.2">
      <c r="B7" s="10" t="s">
        <v>5</v>
      </c>
      <c r="D7" s="10" t="s">
        <v>6</v>
      </c>
      <c r="F7" s="10" t="s">
        <v>7</v>
      </c>
      <c r="H7" s="10" t="s">
        <v>8</v>
      </c>
      <c r="J7" s="10" t="s">
        <v>9</v>
      </c>
      <c r="L7" s="10" t="s">
        <v>5</v>
      </c>
    </row>
    <row r="8" spans="1:12" x14ac:dyDescent="0.2">
      <c r="B8" s="11"/>
      <c r="D8" s="11"/>
      <c r="F8" s="11"/>
      <c r="H8" s="11"/>
      <c r="J8" s="11"/>
      <c r="L8" s="11"/>
    </row>
    <row r="9" spans="1:12" x14ac:dyDescent="0.2">
      <c r="A9" s="12" t="s">
        <v>3400</v>
      </c>
    </row>
    <row r="10" spans="1:12" x14ac:dyDescent="0.2">
      <c r="A10" s="12" t="s">
        <v>12</v>
      </c>
    </row>
    <row r="11" spans="1:12" x14ac:dyDescent="0.2">
      <c r="A11" s="3" t="s">
        <v>3257</v>
      </c>
      <c r="B11" s="19">
        <v>2627.41</v>
      </c>
      <c r="C11" s="98"/>
      <c r="D11" s="19">
        <v>0</v>
      </c>
      <c r="E11" s="98"/>
      <c r="F11" s="19">
        <v>0</v>
      </c>
      <c r="G11" s="98"/>
      <c r="H11" s="19">
        <v>0</v>
      </c>
      <c r="I11" s="98"/>
      <c r="J11" s="19">
        <f t="shared" ref="J11:J22" si="0">+D11+F11+H11</f>
        <v>0</v>
      </c>
      <c r="K11" s="98"/>
      <c r="L11" s="19">
        <f>J11+B11</f>
        <v>2627.41</v>
      </c>
    </row>
    <row r="12" spans="1:12" x14ac:dyDescent="0.2">
      <c r="A12" s="3" t="s">
        <v>3258</v>
      </c>
      <c r="B12" s="19">
        <v>2412.8200000000002</v>
      </c>
      <c r="C12" s="98"/>
      <c r="D12" s="19">
        <v>0</v>
      </c>
      <c r="E12" s="98"/>
      <c r="F12" s="19">
        <v>0</v>
      </c>
      <c r="G12" s="98"/>
      <c r="H12" s="19">
        <v>0</v>
      </c>
      <c r="I12" s="98"/>
      <c r="J12" s="19">
        <f t="shared" si="0"/>
        <v>0</v>
      </c>
      <c r="K12" s="98"/>
      <c r="L12" s="19">
        <f t="shared" ref="L12:L22" si="1">J12+B12</f>
        <v>2412.8200000000002</v>
      </c>
    </row>
    <row r="13" spans="1:12" x14ac:dyDescent="0.2">
      <c r="A13" s="3" t="s">
        <v>3259</v>
      </c>
      <c r="B13" s="19">
        <v>2575.89</v>
      </c>
      <c r="C13" s="98"/>
      <c r="D13" s="19">
        <v>0</v>
      </c>
      <c r="E13" s="98"/>
      <c r="F13" s="19">
        <v>0</v>
      </c>
      <c r="G13" s="98"/>
      <c r="H13" s="19">
        <v>0</v>
      </c>
      <c r="I13" s="98"/>
      <c r="J13" s="19">
        <f t="shared" si="0"/>
        <v>0</v>
      </c>
      <c r="K13" s="98"/>
      <c r="L13" s="19">
        <f t="shared" si="1"/>
        <v>2575.89</v>
      </c>
    </row>
    <row r="14" spans="1:12" x14ac:dyDescent="0.2">
      <c r="A14" s="3" t="s">
        <v>3260</v>
      </c>
      <c r="B14" s="19">
        <v>66887.25</v>
      </c>
      <c r="C14" s="98"/>
      <c r="D14" s="19">
        <v>0</v>
      </c>
      <c r="E14" s="98"/>
      <c r="F14" s="19">
        <v>0</v>
      </c>
      <c r="G14" s="98"/>
      <c r="H14" s="19">
        <v>0</v>
      </c>
      <c r="I14" s="98"/>
      <c r="J14" s="19">
        <f t="shared" si="0"/>
        <v>0</v>
      </c>
      <c r="K14" s="98"/>
      <c r="L14" s="19">
        <f t="shared" si="1"/>
        <v>66887.25</v>
      </c>
    </row>
    <row r="15" spans="1:12" x14ac:dyDescent="0.2">
      <c r="A15" s="3" t="s">
        <v>3261</v>
      </c>
      <c r="B15" s="19">
        <v>47785.56</v>
      </c>
      <c r="C15" s="98"/>
      <c r="D15" s="19">
        <v>0</v>
      </c>
      <c r="E15" s="98"/>
      <c r="F15" s="19">
        <v>0</v>
      </c>
      <c r="G15" s="98"/>
      <c r="H15" s="19">
        <v>0</v>
      </c>
      <c r="I15" s="98"/>
      <c r="J15" s="19">
        <f t="shared" si="0"/>
        <v>0</v>
      </c>
      <c r="K15" s="98"/>
      <c r="L15" s="19">
        <f t="shared" si="1"/>
        <v>47785.56</v>
      </c>
    </row>
    <row r="16" spans="1:12" x14ac:dyDescent="0.2">
      <c r="A16" s="3" t="s">
        <v>3262</v>
      </c>
      <c r="B16" s="19">
        <v>46763.22</v>
      </c>
      <c r="C16" s="98"/>
      <c r="D16" s="19">
        <v>0</v>
      </c>
      <c r="E16" s="98"/>
      <c r="F16" s="19">
        <v>0</v>
      </c>
      <c r="G16" s="98"/>
      <c r="H16" s="19">
        <v>0</v>
      </c>
      <c r="I16" s="98"/>
      <c r="J16" s="19">
        <f t="shared" si="0"/>
        <v>0</v>
      </c>
      <c r="K16" s="98"/>
      <c r="L16" s="19">
        <f t="shared" si="1"/>
        <v>46763.22</v>
      </c>
    </row>
    <row r="17" spans="1:13" x14ac:dyDescent="0.2">
      <c r="A17" s="3" t="s">
        <v>159</v>
      </c>
      <c r="B17" s="19">
        <v>0</v>
      </c>
      <c r="C17" s="98"/>
      <c r="D17" s="19">
        <v>0</v>
      </c>
      <c r="E17" s="98"/>
      <c r="F17" s="19">
        <v>0</v>
      </c>
      <c r="G17" s="98"/>
      <c r="H17" s="19">
        <v>0</v>
      </c>
      <c r="I17" s="98"/>
      <c r="J17" s="19">
        <f t="shared" si="0"/>
        <v>0</v>
      </c>
      <c r="K17" s="98"/>
      <c r="L17" s="19">
        <f t="shared" si="1"/>
        <v>0</v>
      </c>
    </row>
    <row r="18" spans="1:13" x14ac:dyDescent="0.2">
      <c r="A18" s="3" t="s">
        <v>3405</v>
      </c>
      <c r="B18" s="19">
        <v>0</v>
      </c>
      <c r="C18" s="98"/>
      <c r="D18" s="19">
        <v>0</v>
      </c>
      <c r="E18" s="98"/>
      <c r="F18" s="19">
        <v>0</v>
      </c>
      <c r="G18" s="98"/>
      <c r="H18" s="19">
        <v>0</v>
      </c>
      <c r="I18" s="98"/>
      <c r="J18" s="19">
        <f t="shared" si="0"/>
        <v>0</v>
      </c>
      <c r="K18" s="98"/>
      <c r="L18" s="19">
        <f t="shared" si="1"/>
        <v>0</v>
      </c>
    </row>
    <row r="19" spans="1:13" x14ac:dyDescent="0.2">
      <c r="A19" s="3" t="s">
        <v>3265</v>
      </c>
      <c r="B19" s="19">
        <v>3118.28</v>
      </c>
      <c r="C19" s="98"/>
      <c r="D19" s="19">
        <v>0</v>
      </c>
      <c r="E19" s="98"/>
      <c r="F19" s="19">
        <v>0</v>
      </c>
      <c r="G19" s="98"/>
      <c r="H19" s="19">
        <v>0</v>
      </c>
      <c r="I19" s="98"/>
      <c r="J19" s="19">
        <f t="shared" si="0"/>
        <v>0</v>
      </c>
      <c r="K19" s="98"/>
      <c r="L19" s="19">
        <f t="shared" si="1"/>
        <v>3118.28</v>
      </c>
    </row>
    <row r="20" spans="1:13" x14ac:dyDescent="0.2">
      <c r="A20" s="3" t="s">
        <v>3266</v>
      </c>
      <c r="B20" s="19">
        <v>254.62</v>
      </c>
      <c r="C20" s="98"/>
      <c r="D20" s="19">
        <v>0</v>
      </c>
      <c r="E20" s="98"/>
      <c r="F20" s="19">
        <v>0</v>
      </c>
      <c r="G20" s="98"/>
      <c r="H20" s="19">
        <v>0</v>
      </c>
      <c r="I20" s="98"/>
      <c r="J20" s="19">
        <f t="shared" si="0"/>
        <v>0</v>
      </c>
      <c r="K20" s="98"/>
      <c r="L20" s="19">
        <f t="shared" si="1"/>
        <v>254.62</v>
      </c>
    </row>
    <row r="21" spans="1:13" x14ac:dyDescent="0.2">
      <c r="A21" s="3" t="s">
        <v>3267</v>
      </c>
      <c r="B21" s="19">
        <v>4199.21</v>
      </c>
      <c r="C21" s="98"/>
      <c r="D21" s="19">
        <v>0</v>
      </c>
      <c r="E21" s="98"/>
      <c r="F21" s="19">
        <v>0</v>
      </c>
      <c r="G21" s="98"/>
      <c r="H21" s="19">
        <v>0</v>
      </c>
      <c r="I21" s="98"/>
      <c r="J21" s="19">
        <f t="shared" si="0"/>
        <v>0</v>
      </c>
      <c r="K21" s="98"/>
      <c r="L21" s="19">
        <f t="shared" si="1"/>
        <v>4199.21</v>
      </c>
    </row>
    <row r="22" spans="1:13" x14ac:dyDescent="0.2">
      <c r="A22" s="3" t="s">
        <v>3269</v>
      </c>
      <c r="B22" s="27">
        <v>0</v>
      </c>
      <c r="C22" s="105"/>
      <c r="D22" s="19">
        <v>0</v>
      </c>
      <c r="E22" s="105"/>
      <c r="F22" s="19">
        <v>0</v>
      </c>
      <c r="G22" s="105"/>
      <c r="H22" s="19">
        <v>0</v>
      </c>
      <c r="I22" s="105"/>
      <c r="J22" s="27">
        <f t="shared" si="0"/>
        <v>0</v>
      </c>
      <c r="K22" s="105"/>
      <c r="L22" s="27">
        <f t="shared" si="1"/>
        <v>0</v>
      </c>
    </row>
    <row r="23" spans="1:13" x14ac:dyDescent="0.2">
      <c r="B23" s="26">
        <f>SUM(B11:B22)</f>
        <v>176624.25999999998</v>
      </c>
      <c r="C23" s="105"/>
      <c r="D23" s="32">
        <f>SUM(D11:D22)</f>
        <v>0</v>
      </c>
      <c r="E23" s="105"/>
      <c r="F23" s="32">
        <f>SUM(F11:F22)</f>
        <v>0</v>
      </c>
      <c r="G23" s="105"/>
      <c r="H23" s="32">
        <f>SUM(H11:H22)</f>
        <v>0</v>
      </c>
      <c r="I23" s="105"/>
      <c r="J23" s="26">
        <f>SUM(J11:J22)</f>
        <v>0</v>
      </c>
      <c r="K23" s="105"/>
      <c r="L23" s="26">
        <f>SUM(L11:L22)</f>
        <v>176624.25999999998</v>
      </c>
      <c r="M23" s="59"/>
    </row>
    <row r="24" spans="1:13" x14ac:dyDescent="0.2">
      <c r="B24" s="26"/>
      <c r="C24" s="105"/>
      <c r="D24" s="26"/>
      <c r="E24" s="105"/>
      <c r="F24" s="26"/>
      <c r="G24" s="105"/>
      <c r="H24" s="26"/>
      <c r="I24" s="105"/>
      <c r="J24" s="26"/>
      <c r="K24" s="105"/>
      <c r="L24" s="26"/>
      <c r="M24" s="59"/>
    </row>
    <row r="25" spans="1:13" x14ac:dyDescent="0.2">
      <c r="A25" s="12" t="s">
        <v>18</v>
      </c>
      <c r="B25" s="26"/>
      <c r="C25" s="105"/>
      <c r="D25" s="26"/>
      <c r="E25" s="105"/>
      <c r="F25" s="26"/>
      <c r="G25" s="105"/>
      <c r="H25" s="26"/>
      <c r="I25" s="105"/>
      <c r="J25" s="26"/>
      <c r="K25" s="105"/>
      <c r="L25" s="26"/>
      <c r="M25" s="59"/>
    </row>
    <row r="26" spans="1:13" x14ac:dyDescent="0.2">
      <c r="A26" s="3" t="s">
        <v>3325</v>
      </c>
      <c r="B26" s="26">
        <v>439.53</v>
      </c>
      <c r="C26" s="105"/>
      <c r="D26" s="19">
        <v>0</v>
      </c>
      <c r="E26" s="105"/>
      <c r="F26" s="19">
        <v>0</v>
      </c>
      <c r="G26" s="105"/>
      <c r="H26" s="19">
        <v>0</v>
      </c>
      <c r="I26" s="105"/>
      <c r="J26" s="26">
        <f>D26+F26+H26</f>
        <v>0</v>
      </c>
      <c r="K26" s="105"/>
      <c r="L26" s="26">
        <f>J26+B26</f>
        <v>439.53</v>
      </c>
      <c r="M26" s="59"/>
    </row>
    <row r="27" spans="1:13" x14ac:dyDescent="0.2">
      <c r="A27" s="3" t="s">
        <v>3333</v>
      </c>
      <c r="B27" s="26">
        <v>125979</v>
      </c>
      <c r="C27" s="105"/>
      <c r="D27" s="19">
        <v>0</v>
      </c>
      <c r="E27" s="105"/>
      <c r="F27" s="19">
        <v>0</v>
      </c>
      <c r="G27" s="105"/>
      <c r="H27" s="19">
        <v>0</v>
      </c>
      <c r="I27" s="105"/>
      <c r="J27" s="26">
        <f>D27+F27+H27</f>
        <v>0</v>
      </c>
      <c r="K27" s="105"/>
      <c r="L27" s="26">
        <f>J27+B27</f>
        <v>125979</v>
      </c>
      <c r="M27" s="59"/>
    </row>
    <row r="28" spans="1:13" x14ac:dyDescent="0.2">
      <c r="A28" s="3" t="s">
        <v>3334</v>
      </c>
      <c r="B28" s="27">
        <v>78061.73</v>
      </c>
      <c r="C28" s="105"/>
      <c r="D28" s="19">
        <v>0</v>
      </c>
      <c r="E28" s="105"/>
      <c r="F28" s="19">
        <v>0</v>
      </c>
      <c r="G28" s="105"/>
      <c r="H28" s="19">
        <v>0</v>
      </c>
      <c r="I28" s="105"/>
      <c r="J28" s="27">
        <f>D28+F28+H28</f>
        <v>0</v>
      </c>
      <c r="K28" s="105"/>
      <c r="L28" s="27">
        <f>J28+B28</f>
        <v>78061.73</v>
      </c>
      <c r="M28" s="59"/>
    </row>
    <row r="29" spans="1:13" x14ac:dyDescent="0.2">
      <c r="B29" s="26">
        <f>SUM(B26:B28)</f>
        <v>204480.26</v>
      </c>
      <c r="C29" s="105"/>
      <c r="D29" s="32">
        <f>SUM(D26:D28)</f>
        <v>0</v>
      </c>
      <c r="E29" s="105"/>
      <c r="F29" s="32">
        <f>SUM(F26:F28)</f>
        <v>0</v>
      </c>
      <c r="G29" s="105"/>
      <c r="H29" s="32">
        <f>SUM(H26:H28)</f>
        <v>0</v>
      </c>
      <c r="I29" s="105"/>
      <c r="J29" s="26">
        <f>SUM(J26:J28)</f>
        <v>0</v>
      </c>
      <c r="K29" s="105"/>
      <c r="L29" s="26">
        <f>SUM(L26:L28)</f>
        <v>204480.26</v>
      </c>
      <c r="M29" s="59"/>
    </row>
    <row r="30" spans="1:13" x14ac:dyDescent="0.2">
      <c r="B30" s="26"/>
      <c r="C30" s="105"/>
      <c r="D30" s="26"/>
      <c r="E30" s="105"/>
      <c r="F30" s="26"/>
      <c r="G30" s="105"/>
      <c r="H30" s="26"/>
      <c r="I30" s="105"/>
      <c r="J30" s="26"/>
      <c r="K30" s="105"/>
      <c r="L30" s="26"/>
      <c r="M30" s="59"/>
    </row>
    <row r="31" spans="1:13" x14ac:dyDescent="0.2">
      <c r="C31" s="98"/>
      <c r="E31" s="98"/>
      <c r="G31" s="98"/>
      <c r="I31" s="98"/>
      <c r="K31" s="98"/>
    </row>
    <row r="32" spans="1:13" ht="13.5" thickBot="1" x14ac:dyDescent="0.25">
      <c r="A32" s="12" t="s">
        <v>3408</v>
      </c>
      <c r="B32" s="33">
        <f>B29+B23</f>
        <v>381104.52</v>
      </c>
      <c r="C32" s="98"/>
      <c r="D32" s="33">
        <f>D29+D23</f>
        <v>0</v>
      </c>
      <c r="E32" s="98"/>
      <c r="F32" s="33">
        <f>F29+F23</f>
        <v>0</v>
      </c>
      <c r="G32" s="98"/>
      <c r="H32" s="33">
        <f>H29+H23</f>
        <v>0</v>
      </c>
      <c r="I32" s="98"/>
      <c r="J32" s="33">
        <f>J29+J23</f>
        <v>0</v>
      </c>
      <c r="K32" s="98"/>
      <c r="L32" s="33">
        <f>L29+L23</f>
        <v>381104.52</v>
      </c>
    </row>
    <row r="33" spans="1:12" ht="13.5" thickTop="1" x14ac:dyDescent="0.2">
      <c r="C33" s="98"/>
      <c r="E33" s="98"/>
      <c r="G33" s="98"/>
      <c r="I33" s="98"/>
      <c r="K33" s="98"/>
    </row>
    <row r="34" spans="1:12" x14ac:dyDescent="0.2">
      <c r="C34" s="98"/>
      <c r="E34" s="98"/>
      <c r="G34" s="98"/>
      <c r="I34" s="98"/>
      <c r="K34" s="98"/>
    </row>
    <row r="35" spans="1:12" x14ac:dyDescent="0.2">
      <c r="A35" s="12" t="s">
        <v>3245</v>
      </c>
      <c r="C35" s="98"/>
      <c r="E35" s="98"/>
      <c r="G35" s="98"/>
      <c r="I35" s="98"/>
      <c r="K35" s="98"/>
    </row>
    <row r="36" spans="1:12" x14ac:dyDescent="0.2">
      <c r="A36" s="12" t="s">
        <v>12</v>
      </c>
      <c r="C36" s="98"/>
      <c r="E36" s="98"/>
      <c r="G36" s="98"/>
      <c r="I36" s="98"/>
      <c r="K36" s="98"/>
    </row>
    <row r="37" spans="1:12" x14ac:dyDescent="0.2">
      <c r="A37" s="3" t="s">
        <v>3342</v>
      </c>
      <c r="B37" s="27">
        <v>0</v>
      </c>
      <c r="C37" s="105"/>
      <c r="D37" s="19">
        <v>0</v>
      </c>
      <c r="E37" s="105"/>
      <c r="F37" s="19">
        <v>0</v>
      </c>
      <c r="G37" s="105"/>
      <c r="H37" s="19">
        <v>0</v>
      </c>
      <c r="I37" s="105"/>
      <c r="J37" s="27">
        <f>+D37+F37+H37</f>
        <v>0</v>
      </c>
      <c r="K37" s="105"/>
      <c r="L37" s="27">
        <f>J37+B37</f>
        <v>0</v>
      </c>
    </row>
    <row r="38" spans="1:12" x14ac:dyDescent="0.2">
      <c r="B38" s="26">
        <f>SUM(B37)</f>
        <v>0</v>
      </c>
      <c r="C38" s="105"/>
      <c r="D38" s="32">
        <f>SUM(D37)</f>
        <v>0</v>
      </c>
      <c r="E38" s="105"/>
      <c r="F38" s="32">
        <f>SUM(F37)</f>
        <v>0</v>
      </c>
      <c r="G38" s="105"/>
      <c r="H38" s="32">
        <f>SUM(H37)</f>
        <v>0</v>
      </c>
      <c r="I38" s="105"/>
      <c r="J38" s="26">
        <f>SUM(J37)</f>
        <v>0</v>
      </c>
      <c r="K38" s="105"/>
      <c r="L38" s="26">
        <f>SUM(L37)</f>
        <v>0</v>
      </c>
    </row>
    <row r="41" spans="1:12" ht="13.5" thickBot="1" x14ac:dyDescent="0.25">
      <c r="A41" s="12" t="s">
        <v>3251</v>
      </c>
      <c r="B41" s="33">
        <f>+B38</f>
        <v>0</v>
      </c>
      <c r="C41" s="98"/>
      <c r="D41" s="33">
        <f>+D38</f>
        <v>0</v>
      </c>
      <c r="E41" s="98"/>
      <c r="F41" s="33">
        <f>+F38</f>
        <v>0</v>
      </c>
      <c r="G41" s="98"/>
      <c r="H41" s="33">
        <f>+H38</f>
        <v>0</v>
      </c>
      <c r="I41" s="98"/>
      <c r="J41" s="33">
        <f>+J38</f>
        <v>0</v>
      </c>
      <c r="K41" s="98"/>
      <c r="L41" s="33">
        <f>+L38</f>
        <v>0</v>
      </c>
    </row>
    <row r="42" spans="1:12" ht="13.5" thickTop="1" x14ac:dyDescent="0.2"/>
    <row r="44" spans="1:12" ht="13.5" thickBot="1" x14ac:dyDescent="0.25">
      <c r="A44" s="12" t="s">
        <v>3406</v>
      </c>
      <c r="B44" s="33">
        <f>+B32+B41</f>
        <v>381104.52</v>
      </c>
      <c r="C44" s="104"/>
      <c r="D44" s="33">
        <f>+D32+D41</f>
        <v>0</v>
      </c>
      <c r="E44" s="104"/>
      <c r="F44" s="33">
        <f>+F32+F41</f>
        <v>0</v>
      </c>
      <c r="G44" s="104"/>
      <c r="H44" s="33">
        <f>+H32+H41</f>
        <v>0</v>
      </c>
      <c r="I44" s="104"/>
      <c r="J44" s="33">
        <f>+J32+J41</f>
        <v>0</v>
      </c>
      <c r="K44" s="104"/>
      <c r="L44" s="33">
        <f>+L32+L41</f>
        <v>381104.52</v>
      </c>
    </row>
    <row r="45" spans="1:12" ht="13.5" thickTop="1" x14ac:dyDescent="0.2"/>
  </sheetData>
  <mergeCells count="3">
    <mergeCell ref="A1:L1"/>
    <mergeCell ref="A2:L2"/>
    <mergeCell ref="A3:L3"/>
  </mergeCells>
  <printOptions horizontalCentered="1"/>
  <pageMargins left="0.75" right="0.75" top="1" bottom="1" header="0.5" footer="0.5"/>
  <pageSetup scale="67" orientation="landscape" r:id="rId1"/>
  <headerFooter alignWithMargins="0">
    <oddFooter>&amp;R&amp;"Times New Roman,Bold"&amp;12Case No. 2018-00295
Attachment 6 to Response to US DOD-2 Question No. 7   
Page &amp;P of &amp;N
Garrett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7"/>
  <sheetViews>
    <sheetView zoomScaleNormal="100" workbookViewId="0">
      <selection sqref="A1:R1"/>
    </sheetView>
  </sheetViews>
  <sheetFormatPr defaultRowHeight="12.75" x14ac:dyDescent="0.2"/>
  <cols>
    <col min="1" max="1" width="40.5703125" style="3" bestFit="1" customWidth="1"/>
    <col min="2" max="2" width="16.7109375" style="3" bestFit="1" customWidth="1"/>
    <col min="3" max="3" width="1.7109375" style="3" customWidth="1"/>
    <col min="4" max="4" width="14" style="3" bestFit="1" customWidth="1"/>
    <col min="5" max="5" width="2.140625" style="3" customWidth="1"/>
    <col min="6" max="6" width="13.140625" style="3" bestFit="1" customWidth="1"/>
    <col min="7" max="7" width="2" style="3" customWidth="1"/>
    <col min="8" max="8" width="16.140625" style="3" customWidth="1"/>
    <col min="9" max="9" width="2" style="3" customWidth="1"/>
    <col min="10" max="10" width="15.5703125" style="3" bestFit="1" customWidth="1"/>
    <col min="11" max="11" width="1.85546875" style="3" customWidth="1"/>
    <col min="12" max="12" width="16" style="3" bestFit="1" customWidth="1"/>
    <col min="13" max="16384" width="9.140625" style="3"/>
  </cols>
  <sheetData>
    <row r="1" spans="1:14" s="86" customFormat="1" ht="15.75" x14ac:dyDescent="0.25">
      <c r="A1" s="154" t="s">
        <v>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</row>
    <row r="2" spans="1:14" s="86" customFormat="1" ht="15.75" x14ac:dyDescent="0.25">
      <c r="A2" s="154" t="s">
        <v>3409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</row>
    <row r="3" spans="1:14" x14ac:dyDescent="0.2">
      <c r="A3" s="144" t="str">
        <f>'KU_Summary - Cost - P1 (REG)'!A3:N3</f>
        <v>DECEMBER 2016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</row>
    <row r="4" spans="1:14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6" spans="1:14" x14ac:dyDescent="0.2">
      <c r="B6" s="25" t="s">
        <v>2</v>
      </c>
      <c r="D6" s="19"/>
      <c r="F6" s="19"/>
      <c r="H6" s="25" t="s">
        <v>3</v>
      </c>
      <c r="J6" s="19"/>
      <c r="L6" s="25" t="s">
        <v>4</v>
      </c>
    </row>
    <row r="7" spans="1:14" x14ac:dyDescent="0.2">
      <c r="B7" s="10" t="s">
        <v>5</v>
      </c>
      <c r="D7" s="10" t="s">
        <v>6</v>
      </c>
      <c r="F7" s="10" t="s">
        <v>7</v>
      </c>
      <c r="H7" s="10" t="s">
        <v>8</v>
      </c>
      <c r="J7" s="10" t="s">
        <v>9</v>
      </c>
      <c r="L7" s="10" t="s">
        <v>5</v>
      </c>
    </row>
    <row r="8" spans="1:14" x14ac:dyDescent="0.2">
      <c r="B8" s="11"/>
      <c r="D8" s="11"/>
      <c r="F8" s="11"/>
      <c r="H8" s="11"/>
      <c r="J8" s="11"/>
      <c r="L8" s="11"/>
    </row>
    <row r="9" spans="1:14" x14ac:dyDescent="0.2">
      <c r="A9" s="12" t="s">
        <v>3410</v>
      </c>
    </row>
    <row r="10" spans="1:14" x14ac:dyDescent="0.2">
      <c r="A10" s="12" t="s">
        <v>12</v>
      </c>
    </row>
    <row r="11" spans="1:14" x14ac:dyDescent="0.2">
      <c r="A11" s="3" t="s">
        <v>154</v>
      </c>
      <c r="B11" s="17">
        <v>0</v>
      </c>
      <c r="D11" s="17">
        <v>0</v>
      </c>
      <c r="F11" s="17">
        <v>0</v>
      </c>
      <c r="H11" s="17">
        <v>113882.25</v>
      </c>
      <c r="J11" s="26">
        <f>D11+F11+H11</f>
        <v>113882.25</v>
      </c>
      <c r="L11" s="26">
        <f>J11+B11</f>
        <v>113882.25</v>
      </c>
    </row>
    <row r="12" spans="1:14" x14ac:dyDescent="0.2">
      <c r="A12" s="3" t="s">
        <v>3411</v>
      </c>
      <c r="B12" s="17">
        <v>324087.84000000003</v>
      </c>
      <c r="D12" s="17">
        <v>0</v>
      </c>
      <c r="F12" s="17">
        <v>0</v>
      </c>
      <c r="H12" s="17">
        <v>0</v>
      </c>
      <c r="J12" s="26">
        <f>D12+F12+H12</f>
        <v>0</v>
      </c>
      <c r="L12" s="27">
        <f>J12+B12</f>
        <v>324087.84000000003</v>
      </c>
    </row>
    <row r="13" spans="1:14" x14ac:dyDescent="0.2">
      <c r="B13" s="18">
        <f>B12</f>
        <v>324087.84000000003</v>
      </c>
      <c r="C13" s="17"/>
      <c r="D13" s="18">
        <f>SUM(D6:D12)</f>
        <v>0</v>
      </c>
      <c r="E13" s="17"/>
      <c r="F13" s="18">
        <f>SUM(F7:F10)</f>
        <v>0</v>
      </c>
      <c r="G13" s="17"/>
      <c r="H13" s="18">
        <f>SUM(H6:H12)</f>
        <v>113882.25</v>
      </c>
      <c r="I13" s="17"/>
      <c r="J13" s="18">
        <f>SUM(J6:J12)</f>
        <v>113882.25</v>
      </c>
      <c r="K13" s="17"/>
      <c r="L13" s="17">
        <f>SUM(L6:L12)</f>
        <v>437970.09</v>
      </c>
      <c r="M13" s="92"/>
      <c r="N13" s="13"/>
    </row>
    <row r="14" spans="1:14" x14ac:dyDescent="0.2"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92"/>
      <c r="N14" s="13"/>
    </row>
    <row r="15" spans="1:14" x14ac:dyDescent="0.2">
      <c r="A15" s="12" t="s">
        <v>3412</v>
      </c>
      <c r="M15" s="92"/>
      <c r="N15" s="13"/>
    </row>
    <row r="16" spans="1:14" x14ac:dyDescent="0.2">
      <c r="A16" s="43" t="s">
        <v>203</v>
      </c>
      <c r="B16" s="19">
        <v>309540.84999999998</v>
      </c>
      <c r="C16" s="19"/>
      <c r="D16" s="19">
        <v>0</v>
      </c>
      <c r="E16" s="19"/>
      <c r="F16" s="19">
        <v>0</v>
      </c>
      <c r="G16" s="19"/>
      <c r="H16" s="19">
        <f>309540.85-309540.85</f>
        <v>0</v>
      </c>
      <c r="I16" s="19"/>
      <c r="J16" s="27">
        <f>D16+F16+H16</f>
        <v>0</v>
      </c>
      <c r="K16" s="19"/>
      <c r="L16" s="27">
        <f>J16+B16</f>
        <v>309540.84999999998</v>
      </c>
      <c r="M16" s="92"/>
      <c r="N16" s="13"/>
    </row>
    <row r="17" spans="1:14" x14ac:dyDescent="0.2">
      <c r="A17" s="12"/>
      <c r="B17" s="32">
        <f>SUM(B16)</f>
        <v>309540.84999999998</v>
      </c>
      <c r="D17" s="32">
        <f>SUM(D16)</f>
        <v>0</v>
      </c>
      <c r="F17" s="32">
        <f>SUM(F16)</f>
        <v>0</v>
      </c>
      <c r="H17" s="32">
        <f>SUM(H16)</f>
        <v>0</v>
      </c>
      <c r="J17" s="32">
        <f>SUM(J16)</f>
        <v>0</v>
      </c>
      <c r="L17" s="32">
        <f>SUM(L16)</f>
        <v>309540.84999999998</v>
      </c>
      <c r="M17" s="92"/>
      <c r="N17" s="13"/>
    </row>
    <row r="18" spans="1:14" x14ac:dyDescent="0.2">
      <c r="A18" s="12"/>
    </row>
    <row r="19" spans="1:14" x14ac:dyDescent="0.2">
      <c r="A19" s="12"/>
    </row>
    <row r="20" spans="1:14" x14ac:dyDescent="0.2">
      <c r="A20" s="12" t="s">
        <v>3413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92"/>
      <c r="N20" s="13"/>
    </row>
    <row r="21" spans="1:14" x14ac:dyDescent="0.2">
      <c r="A21" s="3" t="s">
        <v>214</v>
      </c>
      <c r="B21" s="17">
        <v>0</v>
      </c>
      <c r="C21" s="17"/>
      <c r="D21" s="17">
        <v>0</v>
      </c>
      <c r="E21" s="17"/>
      <c r="F21" s="17">
        <v>0</v>
      </c>
      <c r="G21" s="17"/>
      <c r="H21" s="17">
        <v>0</v>
      </c>
      <c r="I21" s="17"/>
      <c r="J21" s="26">
        <f t="shared" ref="J21:J26" si="0">D21+F21+H21</f>
        <v>0</v>
      </c>
      <c r="K21" s="17"/>
      <c r="L21" s="26">
        <f t="shared" ref="L21:L26" si="1">J21+B21</f>
        <v>0</v>
      </c>
      <c r="M21" s="92"/>
      <c r="N21" s="13"/>
    </row>
    <row r="22" spans="1:14" x14ac:dyDescent="0.2">
      <c r="A22" s="3" t="s">
        <v>215</v>
      </c>
      <c r="B22" s="17">
        <v>0</v>
      </c>
      <c r="C22" s="17"/>
      <c r="D22" s="17">
        <v>0</v>
      </c>
      <c r="E22" s="17"/>
      <c r="F22" s="17">
        <v>0</v>
      </c>
      <c r="G22" s="17"/>
      <c r="H22" s="17">
        <v>0</v>
      </c>
      <c r="I22" s="17"/>
      <c r="J22" s="26">
        <f t="shared" si="0"/>
        <v>0</v>
      </c>
      <c r="K22" s="17"/>
      <c r="L22" s="26">
        <f t="shared" si="1"/>
        <v>0</v>
      </c>
      <c r="M22" s="92"/>
      <c r="N22" s="13"/>
    </row>
    <row r="23" spans="1:14" x14ac:dyDescent="0.2">
      <c r="A23" s="3" t="s">
        <v>217</v>
      </c>
      <c r="B23" s="17">
        <v>0</v>
      </c>
      <c r="C23" s="17"/>
      <c r="D23" s="17">
        <v>0</v>
      </c>
      <c r="E23" s="17"/>
      <c r="F23" s="17">
        <v>0</v>
      </c>
      <c r="G23" s="17"/>
      <c r="H23" s="17">
        <v>0</v>
      </c>
      <c r="I23" s="17"/>
      <c r="J23" s="26">
        <f t="shared" si="0"/>
        <v>0</v>
      </c>
      <c r="K23" s="17"/>
      <c r="L23" s="26">
        <f t="shared" si="1"/>
        <v>0</v>
      </c>
      <c r="M23" s="92"/>
      <c r="N23" s="13"/>
    </row>
    <row r="24" spans="1:14" x14ac:dyDescent="0.2">
      <c r="A24" s="3" t="s">
        <v>219</v>
      </c>
      <c r="B24" s="17">
        <v>0</v>
      </c>
      <c r="C24" s="17"/>
      <c r="D24" s="17">
        <v>0</v>
      </c>
      <c r="E24" s="17"/>
      <c r="F24" s="17">
        <v>0</v>
      </c>
      <c r="G24" s="17"/>
      <c r="H24" s="17">
        <v>0</v>
      </c>
      <c r="I24" s="17"/>
      <c r="J24" s="26">
        <f t="shared" si="0"/>
        <v>0</v>
      </c>
      <c r="K24" s="17"/>
      <c r="L24" s="26">
        <f t="shared" si="1"/>
        <v>0</v>
      </c>
      <c r="M24" s="92"/>
      <c r="N24" s="13"/>
    </row>
    <row r="25" spans="1:14" x14ac:dyDescent="0.2">
      <c r="A25" s="3" t="s">
        <v>3414</v>
      </c>
      <c r="B25" s="17">
        <v>0</v>
      </c>
      <c r="C25" s="17"/>
      <c r="D25" s="17">
        <v>0</v>
      </c>
      <c r="E25" s="17"/>
      <c r="F25" s="17">
        <v>0</v>
      </c>
      <c r="G25" s="17"/>
      <c r="H25" s="17">
        <v>0</v>
      </c>
      <c r="I25" s="17"/>
      <c r="J25" s="26">
        <f t="shared" si="0"/>
        <v>0</v>
      </c>
      <c r="K25" s="17"/>
      <c r="L25" s="26">
        <f t="shared" si="1"/>
        <v>0</v>
      </c>
      <c r="M25" s="92"/>
      <c r="N25" s="13"/>
    </row>
    <row r="26" spans="1:14" x14ac:dyDescent="0.2">
      <c r="A26" s="3" t="s">
        <v>223</v>
      </c>
      <c r="B26" s="16">
        <v>0</v>
      </c>
      <c r="C26" s="17"/>
      <c r="D26" s="16">
        <v>0</v>
      </c>
      <c r="E26" s="17"/>
      <c r="F26" s="16">
        <v>0</v>
      </c>
      <c r="G26" s="17"/>
      <c r="H26" s="16">
        <v>0</v>
      </c>
      <c r="I26" s="17"/>
      <c r="J26" s="27">
        <f t="shared" si="0"/>
        <v>0</v>
      </c>
      <c r="K26" s="17"/>
      <c r="L26" s="27">
        <f t="shared" si="1"/>
        <v>0</v>
      </c>
    </row>
    <row r="27" spans="1:14" x14ac:dyDescent="0.2">
      <c r="B27" s="17">
        <f>SUM(B21:B26)</f>
        <v>0</v>
      </c>
      <c r="C27" s="17"/>
      <c r="D27" s="17">
        <f>SUM(D21:D26)</f>
        <v>0</v>
      </c>
      <c r="E27" s="17"/>
      <c r="F27" s="17">
        <f>SUM(F21:F26)</f>
        <v>0</v>
      </c>
      <c r="G27" s="17"/>
      <c r="H27" s="17">
        <f>SUM(H21:H26)</f>
        <v>0</v>
      </c>
      <c r="I27" s="17"/>
      <c r="J27" s="17">
        <f>SUM(J21:J26)</f>
        <v>0</v>
      </c>
      <c r="K27" s="17"/>
      <c r="L27" s="17">
        <f>SUM(L21:L26)</f>
        <v>0</v>
      </c>
      <c r="M27" s="92"/>
      <c r="N27" s="13"/>
    </row>
    <row r="28" spans="1:14" x14ac:dyDescent="0.2">
      <c r="B28" s="17"/>
      <c r="C28" s="14"/>
      <c r="D28" s="17"/>
      <c r="E28" s="14"/>
      <c r="F28" s="17"/>
      <c r="G28" s="14"/>
      <c r="H28" s="17"/>
      <c r="I28" s="14"/>
      <c r="J28" s="17"/>
      <c r="K28" s="14"/>
      <c r="L28" s="17"/>
      <c r="M28" s="13"/>
      <c r="N28" s="13"/>
    </row>
    <row r="29" spans="1:14" x14ac:dyDescent="0.2"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3"/>
      <c r="N29" s="13"/>
    </row>
    <row r="30" spans="1:14" ht="13.5" thickBot="1" x14ac:dyDescent="0.25">
      <c r="A30" s="12" t="s">
        <v>3415</v>
      </c>
      <c r="B30" s="78">
        <f>B27+B13+B17</f>
        <v>633628.68999999994</v>
      </c>
      <c r="C30" s="14"/>
      <c r="D30" s="78">
        <f>D27+D13+D17</f>
        <v>0</v>
      </c>
      <c r="E30" s="14"/>
      <c r="F30" s="78">
        <f>F27+F13+F17</f>
        <v>0</v>
      </c>
      <c r="G30" s="14"/>
      <c r="H30" s="78">
        <f>H27+H13+H17</f>
        <v>113882.25</v>
      </c>
      <c r="I30" s="14"/>
      <c r="J30" s="78">
        <f>J27+J13+J17</f>
        <v>113882.25</v>
      </c>
      <c r="K30" s="14"/>
      <c r="L30" s="78">
        <f>L27+L13+L17</f>
        <v>747510.94</v>
      </c>
      <c r="M30" s="13"/>
      <c r="N30" s="13"/>
    </row>
    <row r="31" spans="1:14" ht="13.5" thickTop="1" x14ac:dyDescent="0.2"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3"/>
      <c r="N31" s="13"/>
    </row>
    <row r="32" spans="1:14" x14ac:dyDescent="0.2"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</row>
    <row r="33" spans="2:14" x14ac:dyDescent="0.2"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</row>
    <row r="34" spans="2:14" x14ac:dyDescent="0.2"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</row>
    <row r="35" spans="2:14" x14ac:dyDescent="0.2"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</row>
    <row r="36" spans="2:14" x14ac:dyDescent="0.2"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</row>
    <row r="37" spans="2:14" x14ac:dyDescent="0.2"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</row>
    <row r="38" spans="2:14" x14ac:dyDescent="0.2"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</row>
    <row r="39" spans="2:14" x14ac:dyDescent="0.2"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</row>
    <row r="40" spans="2:14" x14ac:dyDescent="0.2"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</row>
    <row r="41" spans="2:14" x14ac:dyDescent="0.2"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</row>
    <row r="42" spans="2:14" x14ac:dyDescent="0.2"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</row>
    <row r="43" spans="2:14" x14ac:dyDescent="0.2"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</row>
    <row r="44" spans="2:14" x14ac:dyDescent="0.2"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</row>
    <row r="45" spans="2:14" x14ac:dyDescent="0.2"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</row>
    <row r="46" spans="2:14" x14ac:dyDescent="0.2"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</row>
    <row r="47" spans="2:14" x14ac:dyDescent="0.2"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</row>
    <row r="48" spans="2:14" x14ac:dyDescent="0.2"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</row>
    <row r="49" spans="2:14" x14ac:dyDescent="0.2"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</row>
    <row r="50" spans="2:14" x14ac:dyDescent="0.2"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</row>
    <row r="51" spans="2:14" x14ac:dyDescent="0.2"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</row>
    <row r="52" spans="2:14" x14ac:dyDescent="0.2"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</row>
    <row r="53" spans="2:14" x14ac:dyDescent="0.2"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</row>
    <row r="54" spans="2:14" x14ac:dyDescent="0.2"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</row>
    <row r="55" spans="2:14" x14ac:dyDescent="0.2"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</row>
    <row r="56" spans="2:14" x14ac:dyDescent="0.2"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</row>
    <row r="57" spans="2:14" x14ac:dyDescent="0.2"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</row>
    <row r="58" spans="2:14" x14ac:dyDescent="0.2"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</row>
    <row r="59" spans="2:14" x14ac:dyDescent="0.2"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</row>
    <row r="60" spans="2:14" x14ac:dyDescent="0.2"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</row>
    <row r="61" spans="2:14" x14ac:dyDescent="0.2"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</row>
    <row r="62" spans="2:14" x14ac:dyDescent="0.2"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</row>
    <row r="63" spans="2:14" x14ac:dyDescent="0.2"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</row>
    <row r="64" spans="2:14" x14ac:dyDescent="0.2"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</row>
    <row r="65" spans="2:14" x14ac:dyDescent="0.2"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</row>
    <row r="66" spans="2:14" x14ac:dyDescent="0.2"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</row>
    <row r="67" spans="2:14" x14ac:dyDescent="0.2"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</row>
    <row r="68" spans="2:14" x14ac:dyDescent="0.2"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</row>
    <row r="69" spans="2:14" x14ac:dyDescent="0.2"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</row>
    <row r="70" spans="2:14" x14ac:dyDescent="0.2"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</row>
    <row r="71" spans="2:14" x14ac:dyDescent="0.2"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</row>
    <row r="72" spans="2:14" x14ac:dyDescent="0.2"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</row>
    <row r="73" spans="2:14" x14ac:dyDescent="0.2"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</row>
    <row r="74" spans="2:14" x14ac:dyDescent="0.2"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</row>
    <row r="75" spans="2:14" x14ac:dyDescent="0.2"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</row>
    <row r="76" spans="2:14" x14ac:dyDescent="0.2"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</row>
    <row r="77" spans="2:14" x14ac:dyDescent="0.2"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</row>
    <row r="78" spans="2:14" x14ac:dyDescent="0.2"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</row>
    <row r="79" spans="2:14" x14ac:dyDescent="0.2"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</row>
    <row r="80" spans="2:14" x14ac:dyDescent="0.2"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</row>
    <row r="81" spans="2:14" x14ac:dyDescent="0.2"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</row>
    <row r="82" spans="2:14" x14ac:dyDescent="0.2"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</row>
    <row r="83" spans="2:14" x14ac:dyDescent="0.2"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</row>
    <row r="84" spans="2:14" x14ac:dyDescent="0.2"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</row>
    <row r="85" spans="2:14" x14ac:dyDescent="0.2"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</row>
    <row r="86" spans="2:14" x14ac:dyDescent="0.2"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</row>
    <row r="87" spans="2:14" x14ac:dyDescent="0.2"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</row>
    <row r="88" spans="2:14" x14ac:dyDescent="0.2"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</row>
    <row r="89" spans="2:14" x14ac:dyDescent="0.2"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</row>
    <row r="90" spans="2:14" x14ac:dyDescent="0.2"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</row>
    <row r="91" spans="2:14" x14ac:dyDescent="0.2"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</row>
    <row r="92" spans="2:14" x14ac:dyDescent="0.2"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</row>
    <row r="93" spans="2:14" x14ac:dyDescent="0.2"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</row>
    <row r="94" spans="2:14" x14ac:dyDescent="0.2"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</row>
    <row r="95" spans="2:14" x14ac:dyDescent="0.2"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</row>
    <row r="96" spans="2:14" x14ac:dyDescent="0.2"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</row>
    <row r="97" spans="2:14" x14ac:dyDescent="0.2"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</row>
    <row r="98" spans="2:14" x14ac:dyDescent="0.2"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</row>
    <row r="99" spans="2:14" x14ac:dyDescent="0.2"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</row>
    <row r="100" spans="2:14" x14ac:dyDescent="0.2"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</row>
    <row r="101" spans="2:14" x14ac:dyDescent="0.2"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</row>
    <row r="102" spans="2:14" x14ac:dyDescent="0.2"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</row>
    <row r="103" spans="2:14" x14ac:dyDescent="0.2"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</row>
    <row r="104" spans="2:14" x14ac:dyDescent="0.2"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</row>
    <row r="105" spans="2:14" x14ac:dyDescent="0.2"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</row>
    <row r="106" spans="2:14" x14ac:dyDescent="0.2"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</row>
    <row r="107" spans="2:14" x14ac:dyDescent="0.2"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</row>
    <row r="108" spans="2:14" x14ac:dyDescent="0.2"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</row>
    <row r="109" spans="2:14" x14ac:dyDescent="0.2"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</row>
    <row r="110" spans="2:14" x14ac:dyDescent="0.2"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</row>
    <row r="111" spans="2:14" x14ac:dyDescent="0.2"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</row>
    <row r="112" spans="2:14" x14ac:dyDescent="0.2"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</row>
    <row r="113" spans="2:14" x14ac:dyDescent="0.2"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</row>
    <row r="114" spans="2:14" x14ac:dyDescent="0.2"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</row>
    <row r="115" spans="2:14" x14ac:dyDescent="0.2"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</row>
    <row r="116" spans="2:14" x14ac:dyDescent="0.2"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</row>
    <row r="117" spans="2:14" x14ac:dyDescent="0.2"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</row>
    <row r="118" spans="2:14" x14ac:dyDescent="0.2"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</row>
    <row r="119" spans="2:14" x14ac:dyDescent="0.2"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</row>
    <row r="120" spans="2:14" x14ac:dyDescent="0.2"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</row>
    <row r="121" spans="2:14" x14ac:dyDescent="0.2"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</row>
    <row r="122" spans="2:14" x14ac:dyDescent="0.2"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</row>
    <row r="123" spans="2:14" x14ac:dyDescent="0.2"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</row>
    <row r="124" spans="2:14" x14ac:dyDescent="0.2"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</row>
    <row r="125" spans="2:14" x14ac:dyDescent="0.2"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</row>
    <row r="126" spans="2:14" x14ac:dyDescent="0.2"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</row>
    <row r="127" spans="2:14" x14ac:dyDescent="0.2"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</row>
    <row r="128" spans="2:14" x14ac:dyDescent="0.2"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</row>
    <row r="129" spans="2:14" x14ac:dyDescent="0.2"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</row>
    <row r="130" spans="2:14" x14ac:dyDescent="0.2"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</row>
    <row r="131" spans="2:14" x14ac:dyDescent="0.2"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</row>
    <row r="132" spans="2:14" x14ac:dyDescent="0.2"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</row>
    <row r="133" spans="2:14" x14ac:dyDescent="0.2"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</row>
    <row r="134" spans="2:14" x14ac:dyDescent="0.2"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</row>
    <row r="135" spans="2:14" x14ac:dyDescent="0.2"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</row>
    <row r="136" spans="2:14" x14ac:dyDescent="0.2"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</row>
    <row r="137" spans="2:14" x14ac:dyDescent="0.2"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</row>
  </sheetData>
  <mergeCells count="3">
    <mergeCell ref="A1:L1"/>
    <mergeCell ref="A2:L2"/>
    <mergeCell ref="A3:L3"/>
  </mergeCells>
  <printOptions horizontalCentered="1"/>
  <pageMargins left="0.75" right="0.75" top="1" bottom="1" header="0.5" footer="0.5"/>
  <pageSetup scale="67" orientation="landscape" r:id="rId1"/>
  <headerFooter alignWithMargins="0">
    <oddFooter>&amp;R&amp;"Times New Roman,Bold"&amp;12Case No. 2018-00295
Attachment 6 to Response to US DOD-2 Question No. 7   
Page &amp;P of &amp;N
Garrett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10"/>
  <sheetViews>
    <sheetView zoomScale="80" zoomScaleNormal="80" workbookViewId="0">
      <pane xSplit="2" ySplit="7" topLeftCell="C8" activePane="bottomRight" state="frozen"/>
      <selection sqref="A1:R1"/>
      <selection pane="topRight" sqref="A1:R1"/>
      <selection pane="bottomLeft" sqref="A1:R1"/>
      <selection pane="bottomRight" sqref="A1:R1"/>
    </sheetView>
  </sheetViews>
  <sheetFormatPr defaultRowHeight="12.75" x14ac:dyDescent="0.2"/>
  <cols>
    <col min="1" max="1" width="9.140625" style="3"/>
    <col min="2" max="2" width="36" style="3" bestFit="1" customWidth="1"/>
    <col min="3" max="3" width="18.7109375" style="3" bestFit="1" customWidth="1"/>
    <col min="4" max="4" width="1.5703125" style="3" customWidth="1"/>
    <col min="5" max="5" width="17.7109375" style="3" customWidth="1"/>
    <col min="6" max="6" width="1.5703125" style="3" customWidth="1"/>
    <col min="7" max="7" width="17.7109375" style="3" customWidth="1"/>
    <col min="8" max="8" width="1.5703125" style="3" customWidth="1"/>
    <col min="9" max="9" width="17.7109375" style="3" customWidth="1"/>
    <col min="10" max="10" width="1.5703125" style="3" customWidth="1"/>
    <col min="11" max="11" width="17.7109375" style="3" customWidth="1"/>
    <col min="12" max="12" width="1.5703125" style="3" customWidth="1"/>
    <col min="13" max="13" width="17.7109375" style="3" customWidth="1"/>
    <col min="14" max="14" width="1.5703125" style="3" customWidth="1"/>
    <col min="15" max="15" width="17.7109375" style="3" customWidth="1"/>
    <col min="16" max="16" width="1.5703125" style="3" customWidth="1"/>
    <col min="17" max="17" width="17.7109375" style="3" customWidth="1"/>
    <col min="18" max="18" width="1.5703125" style="3" customWidth="1"/>
    <col min="19" max="19" width="17.7109375" style="3" customWidth="1"/>
    <col min="20" max="20" width="1.5703125" style="3" customWidth="1"/>
    <col min="21" max="21" width="18.7109375" style="3" bestFit="1" customWidth="1"/>
    <col min="22" max="22" width="2.7109375" style="3" customWidth="1"/>
    <col min="23" max="23" width="11.5703125" style="2" customWidth="1"/>
    <col min="24" max="24" width="16.5703125" style="3" bestFit="1" customWidth="1"/>
    <col min="25" max="16384" width="9.140625" style="3"/>
  </cols>
  <sheetData>
    <row r="1" spans="1:23" x14ac:dyDescent="0.2">
      <c r="A1" s="142" t="s">
        <v>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"/>
      <c r="W1" s="3"/>
    </row>
    <row r="2" spans="1:23" x14ac:dyDescent="0.2">
      <c r="A2" s="142" t="s">
        <v>1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"/>
      <c r="W2" s="3"/>
    </row>
    <row r="3" spans="1:23" x14ac:dyDescent="0.2">
      <c r="A3" s="144" t="str">
        <f>'KU_Summary - Cost - P1 (REG)'!A3:N3</f>
        <v>DECEMBER 2016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4"/>
      <c r="W3" s="3"/>
    </row>
    <row r="4" spans="1:23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25"/>
      <c r="P4" s="4"/>
      <c r="Q4" s="4"/>
      <c r="R4" s="4"/>
      <c r="S4" s="4"/>
      <c r="T4" s="4"/>
      <c r="U4" s="4"/>
      <c r="V4" s="4"/>
      <c r="W4" s="3"/>
    </row>
    <row r="5" spans="1:23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3"/>
    </row>
    <row r="6" spans="1:23" x14ac:dyDescent="0.2">
      <c r="C6" s="25" t="s">
        <v>2</v>
      </c>
      <c r="E6" s="19"/>
      <c r="G6" s="19"/>
      <c r="I6" s="25" t="s">
        <v>3</v>
      </c>
      <c r="J6" s="25"/>
      <c r="K6" s="25" t="s">
        <v>37</v>
      </c>
      <c r="M6" s="25" t="s">
        <v>38</v>
      </c>
      <c r="O6" s="25"/>
      <c r="Q6" s="25"/>
      <c r="S6" s="25"/>
      <c r="U6" s="25" t="s">
        <v>4</v>
      </c>
      <c r="V6" s="25"/>
      <c r="W6" s="3"/>
    </row>
    <row r="7" spans="1:23" x14ac:dyDescent="0.2">
      <c r="C7" s="10" t="s">
        <v>5</v>
      </c>
      <c r="E7" s="10" t="s">
        <v>39</v>
      </c>
      <c r="G7" s="10" t="s">
        <v>7</v>
      </c>
      <c r="I7" s="10" t="s">
        <v>8</v>
      </c>
      <c r="J7" s="11"/>
      <c r="K7" s="10" t="s">
        <v>40</v>
      </c>
      <c r="M7" s="10" t="s">
        <v>41</v>
      </c>
      <c r="O7" s="10" t="s">
        <v>42</v>
      </c>
      <c r="Q7" s="10" t="s">
        <v>43</v>
      </c>
      <c r="S7" s="10" t="s">
        <v>44</v>
      </c>
      <c r="U7" s="10" t="s">
        <v>5</v>
      </c>
      <c r="V7" s="11"/>
      <c r="W7" s="3"/>
    </row>
    <row r="8" spans="1:23" x14ac:dyDescent="0.2">
      <c r="C8" s="11"/>
      <c r="E8" s="11"/>
      <c r="G8" s="11"/>
      <c r="I8" s="11"/>
      <c r="J8" s="11"/>
      <c r="K8" s="11"/>
      <c r="M8" s="11"/>
      <c r="O8" s="11"/>
      <c r="Q8" s="11"/>
      <c r="S8" s="11"/>
      <c r="U8" s="11"/>
      <c r="V8" s="11"/>
      <c r="W8" s="3"/>
    </row>
    <row r="9" spans="1:23" x14ac:dyDescent="0.2">
      <c r="A9" s="12" t="s">
        <v>45</v>
      </c>
      <c r="C9" s="11"/>
      <c r="E9" s="11"/>
      <c r="G9" s="11"/>
      <c r="I9" s="11"/>
      <c r="J9" s="11"/>
      <c r="K9" s="11"/>
      <c r="M9" s="11"/>
      <c r="O9" s="11"/>
      <c r="Q9" s="11"/>
      <c r="S9" s="11"/>
      <c r="U9" s="11"/>
      <c r="V9" s="11"/>
      <c r="W9" s="3"/>
    </row>
    <row r="10" spans="1:23" x14ac:dyDescent="0.2">
      <c r="B10" s="3" t="s">
        <v>12</v>
      </c>
      <c r="C10" s="14">
        <v>-476527287.24000001</v>
      </c>
      <c r="D10" s="14"/>
      <c r="E10" s="14">
        <v>-34555294.909999996</v>
      </c>
      <c r="F10" s="14"/>
      <c r="G10" s="14">
        <v>20418467.84</v>
      </c>
      <c r="H10" s="14"/>
      <c r="I10" s="14">
        <v>-8393.59</v>
      </c>
      <c r="J10" s="14"/>
      <c r="K10" s="14">
        <v>0</v>
      </c>
      <c r="L10" s="14"/>
      <c r="M10" s="14">
        <v>0</v>
      </c>
      <c r="N10" s="14"/>
      <c r="O10" s="14">
        <v>0</v>
      </c>
      <c r="P10" s="14"/>
      <c r="Q10" s="14">
        <v>0</v>
      </c>
      <c r="R10" s="19"/>
      <c r="S10" s="14">
        <v>0</v>
      </c>
      <c r="T10" s="19"/>
      <c r="U10" s="19">
        <f>S10+Q10+O10+M10+I10+G10+E10+C10</f>
        <v>-490672507.89999998</v>
      </c>
      <c r="V10" s="19"/>
      <c r="W10" s="3"/>
    </row>
    <row r="11" spans="1:23" x14ac:dyDescent="0.2">
      <c r="B11" s="3" t="s">
        <v>46</v>
      </c>
      <c r="C11" s="14">
        <v>-103531.49999999996</v>
      </c>
      <c r="D11" s="14"/>
      <c r="E11" s="14">
        <v>-23764.83</v>
      </c>
      <c r="F11" s="14"/>
      <c r="G11" s="14">
        <v>2798.53</v>
      </c>
      <c r="H11" s="14"/>
      <c r="I11" s="14">
        <v>0</v>
      </c>
      <c r="J11" s="14"/>
      <c r="K11" s="14">
        <v>0</v>
      </c>
      <c r="L11" s="14"/>
      <c r="M11" s="14">
        <v>0</v>
      </c>
      <c r="N11" s="14"/>
      <c r="O11" s="14">
        <v>0</v>
      </c>
      <c r="P11" s="14"/>
      <c r="Q11" s="14">
        <v>0</v>
      </c>
      <c r="R11" s="19"/>
      <c r="S11" s="14">
        <v>0</v>
      </c>
      <c r="T11" s="19"/>
      <c r="U11" s="19">
        <f t="shared" ref="U11:U21" si="0">S11+Q11+O11+M11+I11+G11+E11+C11</f>
        <v>-124497.79999999996</v>
      </c>
      <c r="V11" s="19"/>
      <c r="W11" s="3"/>
    </row>
    <row r="12" spans="1:23" x14ac:dyDescent="0.2">
      <c r="B12" s="3" t="s">
        <v>13</v>
      </c>
      <c r="C12" s="14">
        <v>-60276698.080000006</v>
      </c>
      <c r="D12" s="14"/>
      <c r="E12" s="14">
        <v>-11703589.289999999</v>
      </c>
      <c r="F12" s="14"/>
      <c r="G12" s="14">
        <v>11527163.23</v>
      </c>
      <c r="H12" s="14"/>
      <c r="I12" s="14">
        <v>-419164.25</v>
      </c>
      <c r="J12" s="14"/>
      <c r="K12" s="14">
        <v>0</v>
      </c>
      <c r="L12" s="14"/>
      <c r="M12" s="14">
        <v>0</v>
      </c>
      <c r="N12" s="14"/>
      <c r="O12" s="14">
        <v>0</v>
      </c>
      <c r="P12" s="14"/>
      <c r="Q12" s="14">
        <v>0</v>
      </c>
      <c r="R12" s="19"/>
      <c r="S12" s="14">
        <v>0</v>
      </c>
      <c r="T12" s="19"/>
      <c r="U12" s="19">
        <f t="shared" si="0"/>
        <v>-60872288.390000001</v>
      </c>
      <c r="V12" s="19"/>
      <c r="W12" s="3"/>
    </row>
    <row r="13" spans="1:23" x14ac:dyDescent="0.2">
      <c r="B13" s="3" t="s">
        <v>14</v>
      </c>
      <c r="C13" s="14">
        <v>-11039152.630000001</v>
      </c>
      <c r="D13" s="14"/>
      <c r="E13" s="14">
        <v>-1138303.06</v>
      </c>
      <c r="F13" s="14"/>
      <c r="G13" s="14">
        <v>15195.8</v>
      </c>
      <c r="H13" s="14"/>
      <c r="I13" s="14">
        <v>0</v>
      </c>
      <c r="J13" s="14"/>
      <c r="K13" s="14">
        <v>0</v>
      </c>
      <c r="L13" s="14"/>
      <c r="M13" s="14">
        <v>0</v>
      </c>
      <c r="N13" s="14"/>
      <c r="O13" s="14">
        <v>0</v>
      </c>
      <c r="P13" s="14"/>
      <c r="Q13" s="14">
        <v>0</v>
      </c>
      <c r="R13" s="19"/>
      <c r="S13" s="14">
        <v>0</v>
      </c>
      <c r="T13" s="19"/>
      <c r="U13" s="19">
        <f t="shared" si="0"/>
        <v>-12162259.890000001</v>
      </c>
      <c r="V13" s="19"/>
      <c r="W13" s="3"/>
    </row>
    <row r="14" spans="1:23" x14ac:dyDescent="0.2">
      <c r="B14" s="3" t="s">
        <v>47</v>
      </c>
      <c r="C14" s="14">
        <v>-27454.46</v>
      </c>
      <c r="D14" s="14"/>
      <c r="E14" s="14">
        <v>-78729.67</v>
      </c>
      <c r="F14" s="14"/>
      <c r="G14" s="14">
        <v>86482.34</v>
      </c>
      <c r="H14" s="14"/>
      <c r="I14" s="14">
        <v>0</v>
      </c>
      <c r="J14" s="14"/>
      <c r="K14" s="14">
        <v>0</v>
      </c>
      <c r="L14" s="14"/>
      <c r="M14" s="14">
        <v>0</v>
      </c>
      <c r="N14" s="14"/>
      <c r="O14" s="14">
        <v>0</v>
      </c>
      <c r="P14" s="14"/>
      <c r="Q14" s="14">
        <v>0</v>
      </c>
      <c r="R14" s="19"/>
      <c r="S14" s="14">
        <v>0</v>
      </c>
      <c r="T14" s="19"/>
      <c r="U14" s="19">
        <f t="shared" si="0"/>
        <v>-19701.79</v>
      </c>
      <c r="V14" s="19"/>
      <c r="W14" s="3"/>
    </row>
    <row r="15" spans="1:23" x14ac:dyDescent="0.2">
      <c r="B15" s="3" t="s">
        <v>16</v>
      </c>
      <c r="C15" s="14">
        <v>-244434203.74000001</v>
      </c>
      <c r="D15" s="14"/>
      <c r="E15" s="14">
        <v>-33257521.23</v>
      </c>
      <c r="F15" s="14"/>
      <c r="G15" s="14">
        <v>844434.41</v>
      </c>
      <c r="H15" s="14"/>
      <c r="I15" s="14">
        <v>0</v>
      </c>
      <c r="J15" s="14"/>
      <c r="K15" s="14">
        <v>0</v>
      </c>
      <c r="L15" s="14"/>
      <c r="M15" s="14">
        <v>0</v>
      </c>
      <c r="N15" s="14"/>
      <c r="O15" s="14">
        <v>0</v>
      </c>
      <c r="P15" s="14"/>
      <c r="Q15" s="14">
        <v>0</v>
      </c>
      <c r="R15" s="19"/>
      <c r="S15" s="14">
        <v>0</v>
      </c>
      <c r="T15" s="19"/>
      <c r="U15" s="19">
        <f t="shared" si="0"/>
        <v>-276847290.56</v>
      </c>
      <c r="V15" s="19"/>
      <c r="W15" s="3"/>
    </row>
    <row r="16" spans="1:23" x14ac:dyDescent="0.2">
      <c r="B16" s="3" t="s">
        <v>48</v>
      </c>
      <c r="C16" s="14">
        <v>-12147.939999999995</v>
      </c>
      <c r="D16" s="14"/>
      <c r="E16" s="14">
        <v>-20825.04</v>
      </c>
      <c r="F16" s="14"/>
      <c r="G16" s="14">
        <v>0</v>
      </c>
      <c r="H16" s="14"/>
      <c r="I16" s="14">
        <v>0</v>
      </c>
      <c r="J16" s="14"/>
      <c r="K16" s="14">
        <v>0</v>
      </c>
      <c r="L16" s="14"/>
      <c r="M16" s="14">
        <v>0</v>
      </c>
      <c r="N16" s="14"/>
      <c r="O16" s="14">
        <v>0</v>
      </c>
      <c r="P16" s="14"/>
      <c r="Q16" s="14">
        <v>0</v>
      </c>
      <c r="R16" s="19"/>
      <c r="S16" s="14">
        <v>0</v>
      </c>
      <c r="T16" s="19"/>
      <c r="U16" s="19">
        <f t="shared" si="0"/>
        <v>-32972.979999999996</v>
      </c>
      <c r="V16" s="19"/>
      <c r="W16" s="3"/>
    </row>
    <row r="17" spans="1:23" x14ac:dyDescent="0.2">
      <c r="B17" s="3" t="s">
        <v>17</v>
      </c>
      <c r="C17" s="14">
        <v>-1335273243.9200001</v>
      </c>
      <c r="D17" s="14"/>
      <c r="E17" s="14">
        <v>-110628877.41</v>
      </c>
      <c r="F17" s="14"/>
      <c r="G17" s="14">
        <v>12726290.15</v>
      </c>
      <c r="H17" s="14"/>
      <c r="I17" s="14">
        <v>0</v>
      </c>
      <c r="J17" s="14"/>
      <c r="K17" s="14">
        <v>0</v>
      </c>
      <c r="L17" s="14"/>
      <c r="M17" s="14">
        <v>0</v>
      </c>
      <c r="N17" s="14"/>
      <c r="O17" s="14">
        <v>0</v>
      </c>
      <c r="P17" s="14"/>
      <c r="Q17" s="14">
        <v>0</v>
      </c>
      <c r="R17" s="19"/>
      <c r="S17" s="14">
        <v>0</v>
      </c>
      <c r="T17" s="19"/>
      <c r="U17" s="19">
        <f t="shared" si="0"/>
        <v>-1433175831.1800001</v>
      </c>
      <c r="V17" s="19"/>
      <c r="W17" s="3"/>
    </row>
    <row r="18" spans="1:23" x14ac:dyDescent="0.2">
      <c r="B18" s="3" t="s">
        <v>49</v>
      </c>
      <c r="C18" s="14">
        <v>-54584155.829999998</v>
      </c>
      <c r="D18" s="14"/>
      <c r="E18" s="14">
        <v>-40945454.460000001</v>
      </c>
      <c r="F18" s="14"/>
      <c r="G18" s="14">
        <v>2172751.56</v>
      </c>
      <c r="H18" s="14"/>
      <c r="I18" s="14">
        <v>0</v>
      </c>
      <c r="J18" s="14"/>
      <c r="K18" s="14">
        <v>0</v>
      </c>
      <c r="L18" s="14"/>
      <c r="M18" s="14">
        <v>0</v>
      </c>
      <c r="N18" s="14"/>
      <c r="O18" s="14">
        <v>0</v>
      </c>
      <c r="P18" s="14"/>
      <c r="Q18" s="14">
        <v>0</v>
      </c>
      <c r="R18" s="19"/>
      <c r="S18" s="14">
        <v>0</v>
      </c>
      <c r="T18" s="19"/>
      <c r="U18" s="19">
        <f t="shared" si="0"/>
        <v>-93356858.729999989</v>
      </c>
      <c r="V18" s="19"/>
      <c r="W18" s="3"/>
    </row>
    <row r="19" spans="1:23" x14ac:dyDescent="0.2">
      <c r="B19" s="3" t="s">
        <v>18</v>
      </c>
      <c r="C19" s="14">
        <v>-235295543.80999997</v>
      </c>
      <c r="D19" s="14"/>
      <c r="E19" s="14">
        <v>-11542458.49</v>
      </c>
      <c r="F19" s="14"/>
      <c r="G19" s="14">
        <v>7302428.29</v>
      </c>
      <c r="H19" s="14"/>
      <c r="I19" s="14">
        <v>8393.59</v>
      </c>
      <c r="J19" s="14"/>
      <c r="K19" s="14">
        <v>0</v>
      </c>
      <c r="L19" s="14"/>
      <c r="M19" s="14">
        <v>0</v>
      </c>
      <c r="N19" s="14"/>
      <c r="O19" s="14">
        <v>0</v>
      </c>
      <c r="P19" s="14"/>
      <c r="Q19" s="14">
        <v>0</v>
      </c>
      <c r="R19" s="19"/>
      <c r="S19" s="14">
        <v>0</v>
      </c>
      <c r="T19" s="19"/>
      <c r="U19" s="19">
        <f t="shared" si="0"/>
        <v>-239527180.41999999</v>
      </c>
      <c r="V19" s="19"/>
      <c r="W19" s="3"/>
    </row>
    <row r="20" spans="1:23" x14ac:dyDescent="0.2">
      <c r="B20" s="3" t="s">
        <v>50</v>
      </c>
      <c r="C20" s="14">
        <v>-43701.109999999993</v>
      </c>
      <c r="D20" s="14"/>
      <c r="E20" s="14">
        <v>-10003</v>
      </c>
      <c r="F20" s="14"/>
      <c r="G20" s="14">
        <v>0</v>
      </c>
      <c r="H20" s="14"/>
      <c r="I20" s="14">
        <v>0</v>
      </c>
      <c r="J20" s="14"/>
      <c r="K20" s="14">
        <v>0</v>
      </c>
      <c r="L20" s="14"/>
      <c r="M20" s="14">
        <v>0</v>
      </c>
      <c r="N20" s="14"/>
      <c r="O20" s="14">
        <v>0</v>
      </c>
      <c r="P20" s="14"/>
      <c r="Q20" s="14">
        <v>0</v>
      </c>
      <c r="R20" s="19"/>
      <c r="S20" s="14">
        <v>0</v>
      </c>
      <c r="T20" s="19"/>
      <c r="U20" s="19">
        <f t="shared" si="0"/>
        <v>-53704.109999999993</v>
      </c>
      <c r="V20" s="19"/>
      <c r="W20" s="3"/>
    </row>
    <row r="21" spans="1:23" x14ac:dyDescent="0.2">
      <c r="B21" s="3" t="s">
        <v>29</v>
      </c>
      <c r="C21" s="16">
        <v>0</v>
      </c>
      <c r="D21" s="17"/>
      <c r="E21" s="14">
        <v>0</v>
      </c>
      <c r="F21" s="14"/>
      <c r="G21" s="14">
        <v>0</v>
      </c>
      <c r="H21" s="14"/>
      <c r="I21" s="14">
        <v>0</v>
      </c>
      <c r="J21" s="14"/>
      <c r="K21" s="14">
        <v>0</v>
      </c>
      <c r="L21" s="14"/>
      <c r="M21" s="14">
        <v>0</v>
      </c>
      <c r="N21" s="14"/>
      <c r="O21" s="14">
        <v>0</v>
      </c>
      <c r="P21" s="14"/>
      <c r="Q21" s="14">
        <v>0</v>
      </c>
      <c r="R21" s="19"/>
      <c r="S21" s="14">
        <v>0</v>
      </c>
      <c r="T21" s="26"/>
      <c r="U21" s="27">
        <f t="shared" si="0"/>
        <v>0</v>
      </c>
      <c r="V21" s="26"/>
      <c r="W21" s="3"/>
    </row>
    <row r="22" spans="1:23" x14ac:dyDescent="0.2">
      <c r="B22" s="20"/>
      <c r="C22" s="17">
        <f>SUM(C10:C21)</f>
        <v>-2417617120.2600002</v>
      </c>
      <c r="D22" s="17"/>
      <c r="E22" s="18">
        <f>SUM(E10:E21)</f>
        <v>-243904821.39000002</v>
      </c>
      <c r="F22" s="17"/>
      <c r="G22" s="18">
        <f>SUM(G10:G21)</f>
        <v>55096012.150000006</v>
      </c>
      <c r="H22" s="17"/>
      <c r="I22" s="18">
        <f>SUM(I10:I21)</f>
        <v>-419164.25</v>
      </c>
      <c r="J22" s="17"/>
      <c r="K22" s="18">
        <f>SUM(K10:K21)</f>
        <v>0</v>
      </c>
      <c r="L22" s="17"/>
      <c r="M22" s="18">
        <f>SUM(M10:M21)</f>
        <v>0</v>
      </c>
      <c r="N22" s="17"/>
      <c r="O22" s="18">
        <f>SUM(O10:O21)</f>
        <v>0</v>
      </c>
      <c r="P22" s="17"/>
      <c r="Q22" s="18">
        <f>SUM(Q10:Q21)</f>
        <v>0</v>
      </c>
      <c r="R22" s="26"/>
      <c r="S22" s="18">
        <f>SUM(S10:S21)</f>
        <v>0</v>
      </c>
      <c r="T22" s="26"/>
      <c r="U22" s="17">
        <f>SUM(U10:U21)</f>
        <v>-2606845093.75</v>
      </c>
      <c r="V22" s="17"/>
      <c r="W22" s="15">
        <f>2417509016.95+C22</f>
        <v>-108103.31000041962</v>
      </c>
    </row>
    <row r="23" spans="1:23" x14ac:dyDescent="0.2"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26"/>
      <c r="R23" s="26"/>
      <c r="S23" s="26"/>
      <c r="T23" s="26"/>
      <c r="U23" s="26"/>
      <c r="V23" s="26"/>
      <c r="W23" s="3"/>
    </row>
    <row r="24" spans="1:23" x14ac:dyDescent="0.2">
      <c r="A24" s="12" t="s">
        <v>51</v>
      </c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3"/>
    </row>
    <row r="25" spans="1:23" x14ac:dyDescent="0.2">
      <c r="B25" s="3" t="s">
        <v>12</v>
      </c>
      <c r="C25" s="17">
        <v>-217980316.47999999</v>
      </c>
      <c r="D25" s="17"/>
      <c r="E25" s="14">
        <v>-10862136.82</v>
      </c>
      <c r="F25" s="14"/>
      <c r="G25" s="14">
        <v>0</v>
      </c>
      <c r="H25" s="14"/>
      <c r="I25" s="14">
        <v>6209.42</v>
      </c>
      <c r="J25" s="14"/>
      <c r="K25" s="14">
        <v>0</v>
      </c>
      <c r="L25" s="14"/>
      <c r="M25" s="14">
        <v>0</v>
      </c>
      <c r="N25" s="14"/>
      <c r="O25" s="14">
        <v>5916172.9699999997</v>
      </c>
      <c r="P25" s="14"/>
      <c r="Q25" s="14">
        <v>0</v>
      </c>
      <c r="R25" s="19"/>
      <c r="S25" s="14">
        <v>-441217.4</v>
      </c>
      <c r="T25" s="26"/>
      <c r="U25" s="26">
        <f t="shared" ref="U25:U31" si="1">S25+Q25+O25+M25+I25+G25+E25+C25</f>
        <v>-223361288.31</v>
      </c>
      <c r="V25" s="26"/>
      <c r="W25" s="3"/>
    </row>
    <row r="26" spans="1:23" x14ac:dyDescent="0.2">
      <c r="B26" s="3" t="s">
        <v>13</v>
      </c>
      <c r="C26" s="17">
        <v>101014.32999999996</v>
      </c>
      <c r="D26" s="17"/>
      <c r="E26" s="14">
        <v>-104165.43</v>
      </c>
      <c r="F26" s="14"/>
      <c r="G26" s="14">
        <v>0</v>
      </c>
      <c r="H26" s="14"/>
      <c r="I26" s="14">
        <v>0</v>
      </c>
      <c r="J26" s="14"/>
      <c r="K26" s="14">
        <v>0</v>
      </c>
      <c r="L26" s="14"/>
      <c r="M26" s="14">
        <v>0</v>
      </c>
      <c r="N26" s="14"/>
      <c r="O26" s="14">
        <v>232604.72</v>
      </c>
      <c r="P26" s="14"/>
      <c r="Q26" s="14">
        <v>0</v>
      </c>
      <c r="R26" s="19"/>
      <c r="S26" s="14">
        <v>0</v>
      </c>
      <c r="T26" s="26"/>
      <c r="U26" s="19">
        <f t="shared" si="1"/>
        <v>229453.61999999997</v>
      </c>
      <c r="V26" s="19"/>
      <c r="W26" s="3"/>
    </row>
    <row r="27" spans="1:23" x14ac:dyDescent="0.2">
      <c r="B27" s="3" t="s">
        <v>14</v>
      </c>
      <c r="C27" s="17">
        <v>276763.09999999998</v>
      </c>
      <c r="D27" s="17"/>
      <c r="E27" s="14">
        <v>-38359.32</v>
      </c>
      <c r="F27" s="14"/>
      <c r="G27" s="14">
        <v>0</v>
      </c>
      <c r="H27" s="14"/>
      <c r="I27" s="14">
        <v>0</v>
      </c>
      <c r="J27" s="14"/>
      <c r="K27" s="14">
        <v>0</v>
      </c>
      <c r="L27" s="14"/>
      <c r="M27" s="14">
        <v>0</v>
      </c>
      <c r="N27" s="14"/>
      <c r="O27" s="14">
        <v>25862.74</v>
      </c>
      <c r="P27" s="14"/>
      <c r="Q27" s="14">
        <v>0</v>
      </c>
      <c r="R27" s="19"/>
      <c r="S27" s="14">
        <v>0</v>
      </c>
      <c r="T27" s="26"/>
      <c r="U27" s="26">
        <f t="shared" si="1"/>
        <v>264266.51999999996</v>
      </c>
      <c r="V27" s="26"/>
      <c r="W27" s="3"/>
    </row>
    <row r="28" spans="1:23" x14ac:dyDescent="0.2">
      <c r="B28" s="3" t="s">
        <v>16</v>
      </c>
      <c r="C28" s="17">
        <v>-5427980.8599999994</v>
      </c>
      <c r="D28" s="17"/>
      <c r="E28" s="14">
        <v>-1434802.26</v>
      </c>
      <c r="F28" s="14"/>
      <c r="G28" s="14">
        <v>0</v>
      </c>
      <c r="H28" s="14"/>
      <c r="I28" s="14">
        <v>0</v>
      </c>
      <c r="J28" s="14"/>
      <c r="K28" s="14">
        <v>0</v>
      </c>
      <c r="L28" s="14"/>
      <c r="M28" s="14">
        <v>0</v>
      </c>
      <c r="N28" s="14"/>
      <c r="O28" s="14">
        <v>245309.94</v>
      </c>
      <c r="P28" s="14"/>
      <c r="Q28" s="14">
        <v>0</v>
      </c>
      <c r="R28" s="19"/>
      <c r="S28" s="14">
        <v>0</v>
      </c>
      <c r="T28" s="26"/>
      <c r="U28" s="26">
        <f t="shared" si="1"/>
        <v>-6617473.1799999997</v>
      </c>
      <c r="V28" s="26"/>
      <c r="W28" s="3"/>
    </row>
    <row r="29" spans="1:23" x14ac:dyDescent="0.2">
      <c r="B29" s="3" t="s">
        <v>17</v>
      </c>
      <c r="C29" s="29">
        <v>-170460250.25</v>
      </c>
      <c r="D29" s="17"/>
      <c r="E29" s="14">
        <v>-8217769.4699999997</v>
      </c>
      <c r="F29" s="14"/>
      <c r="G29" s="14">
        <v>0</v>
      </c>
      <c r="H29" s="14"/>
      <c r="I29" s="14">
        <v>0</v>
      </c>
      <c r="J29" s="14"/>
      <c r="K29" s="14">
        <v>0</v>
      </c>
      <c r="L29" s="14"/>
      <c r="M29" s="14">
        <v>0</v>
      </c>
      <c r="N29" s="14"/>
      <c r="O29" s="14">
        <v>4793895.3099999996</v>
      </c>
      <c r="P29" s="14"/>
      <c r="Q29" s="14">
        <v>0</v>
      </c>
      <c r="R29" s="19"/>
      <c r="S29" s="14">
        <v>-16019.469999999998</v>
      </c>
      <c r="T29" s="26"/>
      <c r="U29" s="26">
        <f t="shared" si="1"/>
        <v>-173900143.88</v>
      </c>
      <c r="V29" s="26"/>
      <c r="W29" s="3"/>
    </row>
    <row r="30" spans="1:23" x14ac:dyDescent="0.2">
      <c r="B30" s="3" t="s">
        <v>18</v>
      </c>
      <c r="C30" s="17">
        <v>-129073842.04000001</v>
      </c>
      <c r="D30" s="17"/>
      <c r="E30" s="14">
        <v>-4333812.09</v>
      </c>
      <c r="F30" s="14"/>
      <c r="G30" s="14">
        <v>0</v>
      </c>
      <c r="H30" s="14"/>
      <c r="I30" s="14">
        <v>-6209.42</v>
      </c>
      <c r="J30" s="14"/>
      <c r="K30" s="14">
        <v>0</v>
      </c>
      <c r="L30" s="14"/>
      <c r="M30" s="14">
        <v>0</v>
      </c>
      <c r="N30" s="14"/>
      <c r="O30" s="14">
        <v>6679323.6600000001</v>
      </c>
      <c r="P30" s="14"/>
      <c r="Q30" s="14">
        <v>0</v>
      </c>
      <c r="R30" s="19"/>
      <c r="S30" s="14">
        <v>-239764.79</v>
      </c>
      <c r="T30" s="26"/>
      <c r="U30" s="26">
        <f t="shared" si="1"/>
        <v>-126974304.68000001</v>
      </c>
      <c r="V30" s="26"/>
      <c r="W30" s="3"/>
    </row>
    <row r="31" spans="1:23" x14ac:dyDescent="0.2">
      <c r="B31" s="3" t="s">
        <v>29</v>
      </c>
      <c r="C31" s="16">
        <v>0</v>
      </c>
      <c r="D31" s="17"/>
      <c r="E31" s="14">
        <v>0</v>
      </c>
      <c r="F31" s="14"/>
      <c r="G31" s="14">
        <v>0</v>
      </c>
      <c r="H31" s="14"/>
      <c r="I31" s="14">
        <v>0</v>
      </c>
      <c r="J31" s="14"/>
      <c r="K31" s="14">
        <v>0</v>
      </c>
      <c r="L31" s="14"/>
      <c r="M31" s="14">
        <v>0</v>
      </c>
      <c r="N31" s="14"/>
      <c r="O31" s="14">
        <v>0</v>
      </c>
      <c r="P31" s="14"/>
      <c r="Q31" s="14">
        <v>0</v>
      </c>
      <c r="R31" s="19"/>
      <c r="S31" s="14">
        <v>0</v>
      </c>
      <c r="T31" s="26"/>
      <c r="U31" s="27">
        <f t="shared" si="1"/>
        <v>0</v>
      </c>
      <c r="V31" s="26"/>
      <c r="W31" s="3"/>
    </row>
    <row r="32" spans="1:23" x14ac:dyDescent="0.2">
      <c r="B32" s="20"/>
      <c r="C32" s="17">
        <f>SUM(C25:C31)</f>
        <v>-522564612.19999999</v>
      </c>
      <c r="D32" s="17"/>
      <c r="E32" s="18">
        <f>SUM(E25:E31)</f>
        <v>-24991045.390000001</v>
      </c>
      <c r="F32" s="17"/>
      <c r="G32" s="18">
        <f>SUM(G25:G31)</f>
        <v>0</v>
      </c>
      <c r="H32" s="17"/>
      <c r="I32" s="18">
        <f>SUM(I25:I31)</f>
        <v>0</v>
      </c>
      <c r="J32" s="17"/>
      <c r="K32" s="18">
        <f>SUM(K25:K31)</f>
        <v>0</v>
      </c>
      <c r="L32" s="17"/>
      <c r="M32" s="18">
        <f>SUM(M25:M31)</f>
        <v>0</v>
      </c>
      <c r="N32" s="17"/>
      <c r="O32" s="18">
        <f>SUM(O25:O31)</f>
        <v>17893169.34</v>
      </c>
      <c r="P32" s="17"/>
      <c r="Q32" s="18">
        <f>SUM(Q25:Q31)</f>
        <v>0</v>
      </c>
      <c r="R32" s="26"/>
      <c r="S32" s="18">
        <f>SUM(S25:S31)</f>
        <v>-697001.66</v>
      </c>
      <c r="T32" s="26"/>
      <c r="U32" s="17">
        <f>SUM(U25:U31)</f>
        <v>-530359489.91000003</v>
      </c>
      <c r="V32" s="17"/>
      <c r="W32" s="3"/>
    </row>
    <row r="33" spans="1:23" x14ac:dyDescent="0.2"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3"/>
    </row>
    <row r="34" spans="1:23" x14ac:dyDescent="0.2">
      <c r="A34" s="12" t="s">
        <v>52</v>
      </c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3"/>
    </row>
    <row r="35" spans="1:23" x14ac:dyDescent="0.2">
      <c r="B35" s="3" t="s">
        <v>12</v>
      </c>
      <c r="C35" s="17">
        <v>51073277.120000012</v>
      </c>
      <c r="D35" s="17"/>
      <c r="E35" s="14">
        <v>1064753.06</v>
      </c>
      <c r="F35" s="14"/>
      <c r="G35" s="14">
        <v>0</v>
      </c>
      <c r="H35" s="14"/>
      <c r="I35" s="14">
        <v>0</v>
      </c>
      <c r="J35" s="14"/>
      <c r="K35" s="14">
        <v>0</v>
      </c>
      <c r="L35" s="14"/>
      <c r="M35" s="14">
        <v>0</v>
      </c>
      <c r="N35" s="14"/>
      <c r="O35" s="14">
        <v>0</v>
      </c>
      <c r="P35" s="14"/>
      <c r="Q35" s="14">
        <v>-258107.78</v>
      </c>
      <c r="R35" s="19"/>
      <c r="S35" s="14">
        <v>0</v>
      </c>
      <c r="T35" s="26"/>
      <c r="U35" s="26">
        <f t="shared" ref="U35:U41" si="2">S35+Q35+O35+M35+I35+G35+E35+C35</f>
        <v>51879922.400000013</v>
      </c>
      <c r="V35" s="26"/>
      <c r="W35" s="3"/>
    </row>
    <row r="36" spans="1:23" x14ac:dyDescent="0.2">
      <c r="B36" s="3" t="s">
        <v>13</v>
      </c>
      <c r="C36" s="17">
        <v>50823.630000000019</v>
      </c>
      <c r="D36" s="17"/>
      <c r="E36" s="14">
        <v>0</v>
      </c>
      <c r="F36" s="14"/>
      <c r="G36" s="14">
        <v>0</v>
      </c>
      <c r="H36" s="14"/>
      <c r="I36" s="14">
        <v>5187.5200000000004</v>
      </c>
      <c r="J36" s="14"/>
      <c r="K36" s="14">
        <v>0</v>
      </c>
      <c r="L36" s="14"/>
      <c r="M36" s="14">
        <v>0</v>
      </c>
      <c r="N36" s="14"/>
      <c r="O36" s="14">
        <v>0</v>
      </c>
      <c r="P36" s="14"/>
      <c r="Q36" s="14">
        <v>-154.38999999999942</v>
      </c>
      <c r="R36" s="19"/>
      <c r="S36" s="14">
        <v>0</v>
      </c>
      <c r="T36" s="26"/>
      <c r="U36" s="26">
        <f>S36+Q36+O36+M36+I36+G36+E36+C36</f>
        <v>55856.760000000024</v>
      </c>
      <c r="V36" s="26"/>
      <c r="W36" s="3"/>
    </row>
    <row r="37" spans="1:23" x14ac:dyDescent="0.2">
      <c r="B37" s="3" t="s">
        <v>14</v>
      </c>
      <c r="C37" s="17">
        <v>62509.850000000006</v>
      </c>
      <c r="D37" s="17"/>
      <c r="E37" s="14">
        <v>5619.28</v>
      </c>
      <c r="F37" s="14"/>
      <c r="G37" s="14">
        <v>0</v>
      </c>
      <c r="H37" s="14"/>
      <c r="I37" s="14">
        <v>0</v>
      </c>
      <c r="J37" s="14"/>
      <c r="K37" s="14">
        <v>0</v>
      </c>
      <c r="L37" s="14"/>
      <c r="M37" s="14">
        <v>0</v>
      </c>
      <c r="N37" s="14"/>
      <c r="O37" s="14">
        <v>0</v>
      </c>
      <c r="P37" s="14"/>
      <c r="Q37" s="14">
        <v>0</v>
      </c>
      <c r="R37" s="19"/>
      <c r="S37" s="14">
        <v>0</v>
      </c>
      <c r="T37" s="26"/>
      <c r="U37" s="26">
        <f t="shared" si="2"/>
        <v>68129.13</v>
      </c>
      <c r="V37" s="26"/>
      <c r="W37" s="3"/>
    </row>
    <row r="38" spans="1:23" x14ac:dyDescent="0.2">
      <c r="B38" s="3" t="s">
        <v>16</v>
      </c>
      <c r="C38" s="17">
        <v>1176591.51</v>
      </c>
      <c r="D38" s="17"/>
      <c r="E38" s="14">
        <v>280526.87</v>
      </c>
      <c r="F38" s="14"/>
      <c r="G38" s="14">
        <v>0</v>
      </c>
      <c r="H38" s="14"/>
      <c r="I38" s="14">
        <v>0</v>
      </c>
      <c r="J38" s="14"/>
      <c r="K38" s="14">
        <v>0</v>
      </c>
      <c r="L38" s="14"/>
      <c r="M38" s="14">
        <v>0</v>
      </c>
      <c r="N38" s="14"/>
      <c r="O38" s="14">
        <v>0</v>
      </c>
      <c r="P38" s="14"/>
      <c r="Q38" s="14">
        <v>0</v>
      </c>
      <c r="R38" s="19"/>
      <c r="S38" s="14">
        <v>0</v>
      </c>
      <c r="T38" s="26"/>
      <c r="U38" s="26">
        <f t="shared" si="2"/>
        <v>1457118.38</v>
      </c>
      <c r="V38" s="26"/>
      <c r="W38" s="3"/>
    </row>
    <row r="39" spans="1:23" x14ac:dyDescent="0.2">
      <c r="B39" s="3" t="s">
        <v>17</v>
      </c>
      <c r="C39" s="17">
        <v>30648678.270000007</v>
      </c>
      <c r="D39" s="17"/>
      <c r="E39" s="14">
        <v>2057611.76</v>
      </c>
      <c r="F39" s="14"/>
      <c r="G39" s="14">
        <v>0</v>
      </c>
      <c r="H39" s="14"/>
      <c r="I39" s="14">
        <v>0</v>
      </c>
      <c r="J39" s="14"/>
      <c r="K39" s="14">
        <v>0</v>
      </c>
      <c r="L39" s="14"/>
      <c r="M39" s="14">
        <v>0</v>
      </c>
      <c r="N39" s="14"/>
      <c r="O39" s="14">
        <v>0</v>
      </c>
      <c r="P39" s="14"/>
      <c r="Q39" s="14">
        <v>-184614.87</v>
      </c>
      <c r="R39" s="19"/>
      <c r="S39" s="14">
        <v>0</v>
      </c>
      <c r="T39" s="26"/>
      <c r="U39" s="26">
        <f t="shared" si="2"/>
        <v>32521675.160000008</v>
      </c>
      <c r="V39" s="26"/>
      <c r="W39" s="3"/>
    </row>
    <row r="40" spans="1:23" x14ac:dyDescent="0.2">
      <c r="B40" s="3" t="s">
        <v>18</v>
      </c>
      <c r="C40" s="17">
        <v>25109802.220000003</v>
      </c>
      <c r="D40" s="17"/>
      <c r="E40" s="14">
        <v>484963.43</v>
      </c>
      <c r="F40" s="14"/>
      <c r="G40" s="14">
        <v>0</v>
      </c>
      <c r="H40" s="14"/>
      <c r="I40" s="14">
        <v>0</v>
      </c>
      <c r="J40" s="14"/>
      <c r="K40" s="14">
        <v>0</v>
      </c>
      <c r="L40" s="14"/>
      <c r="M40" s="14">
        <v>0</v>
      </c>
      <c r="N40" s="14"/>
      <c r="O40" s="14">
        <v>0</v>
      </c>
      <c r="P40" s="14"/>
      <c r="Q40" s="14">
        <v>-1149916.93</v>
      </c>
      <c r="R40" s="19"/>
      <c r="S40" s="14">
        <v>0</v>
      </c>
      <c r="T40" s="26"/>
      <c r="U40" s="26">
        <f t="shared" si="2"/>
        <v>24444848.720000003</v>
      </c>
      <c r="V40" s="26"/>
      <c r="W40" s="3"/>
    </row>
    <row r="41" spans="1:23" x14ac:dyDescent="0.2">
      <c r="B41" s="3" t="s">
        <v>29</v>
      </c>
      <c r="C41" s="16">
        <v>0</v>
      </c>
      <c r="D41" s="17"/>
      <c r="E41" s="14">
        <v>0</v>
      </c>
      <c r="F41" s="14"/>
      <c r="G41" s="14">
        <v>0</v>
      </c>
      <c r="H41" s="14"/>
      <c r="I41" s="14">
        <v>0</v>
      </c>
      <c r="J41" s="14"/>
      <c r="K41" s="14">
        <v>0</v>
      </c>
      <c r="L41" s="14"/>
      <c r="M41" s="14">
        <v>0</v>
      </c>
      <c r="N41" s="14"/>
      <c r="O41" s="14">
        <v>0</v>
      </c>
      <c r="P41" s="14"/>
      <c r="Q41" s="14">
        <v>0</v>
      </c>
      <c r="R41" s="19"/>
      <c r="S41" s="14">
        <v>0</v>
      </c>
      <c r="T41" s="26"/>
      <c r="U41" s="27">
        <f t="shared" si="2"/>
        <v>0</v>
      </c>
      <c r="V41" s="26"/>
      <c r="W41" s="3"/>
    </row>
    <row r="42" spans="1:23" x14ac:dyDescent="0.2">
      <c r="B42" s="20"/>
      <c r="C42" s="17">
        <f>SUM(C35:C41)</f>
        <v>108121682.60000002</v>
      </c>
      <c r="D42" s="17"/>
      <c r="E42" s="18">
        <f>SUM(E35:E41)</f>
        <v>3893474.4</v>
      </c>
      <c r="F42" s="17"/>
      <c r="G42" s="18">
        <f>SUM(G35:G41)</f>
        <v>0</v>
      </c>
      <c r="H42" s="17"/>
      <c r="I42" s="18">
        <f>SUM(I35:I41)</f>
        <v>5187.5200000000004</v>
      </c>
      <c r="J42" s="17"/>
      <c r="K42" s="18">
        <f>SUM(K35:K41)</f>
        <v>0</v>
      </c>
      <c r="L42" s="17"/>
      <c r="M42" s="18">
        <f>SUM(M35:M41)</f>
        <v>0</v>
      </c>
      <c r="N42" s="17"/>
      <c r="O42" s="18">
        <f>SUM(O35:O41)</f>
        <v>0</v>
      </c>
      <c r="P42" s="17"/>
      <c r="Q42" s="18">
        <f>SUM(Q35:Q41)</f>
        <v>-1592793.97</v>
      </c>
      <c r="R42" s="26"/>
      <c r="S42" s="18">
        <f>SUM(S35:S41)</f>
        <v>0</v>
      </c>
      <c r="T42" s="26"/>
      <c r="U42" s="17">
        <f>SUM(U35:U41)</f>
        <v>110427550.55000003</v>
      </c>
      <c r="V42" s="17"/>
      <c r="W42" s="3"/>
    </row>
    <row r="43" spans="1:23" x14ac:dyDescent="0.2"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3"/>
    </row>
    <row r="44" spans="1:23" x14ac:dyDescent="0.2">
      <c r="A44" s="12" t="s">
        <v>53</v>
      </c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3"/>
    </row>
    <row r="45" spans="1:23" x14ac:dyDescent="0.2">
      <c r="A45" s="12"/>
      <c r="B45" s="3" t="s">
        <v>12</v>
      </c>
      <c r="C45" s="19">
        <f>C10+C25+C35</f>
        <v>-643434326.60000002</v>
      </c>
      <c r="D45" s="19"/>
      <c r="E45" s="19">
        <f>E10+E25+E35</f>
        <v>-44352678.669999994</v>
      </c>
      <c r="F45" s="19"/>
      <c r="G45" s="19">
        <f>G10+G25+G35</f>
        <v>20418467.84</v>
      </c>
      <c r="H45" s="19"/>
      <c r="I45" s="19">
        <f>I10+I25+I35</f>
        <v>-2184.17</v>
      </c>
      <c r="J45" s="19"/>
      <c r="K45" s="19">
        <f>K10+K25+K35</f>
        <v>0</v>
      </c>
      <c r="L45" s="19"/>
      <c r="M45" s="19">
        <f>M10+M25+M35</f>
        <v>0</v>
      </c>
      <c r="N45" s="19"/>
      <c r="O45" s="19">
        <f>O10+O25+O35</f>
        <v>5916172.9699999997</v>
      </c>
      <c r="P45" s="19"/>
      <c r="Q45" s="19">
        <f>Q10+Q25+Q35</f>
        <v>-258107.78</v>
      </c>
      <c r="R45" s="19"/>
      <c r="S45" s="19">
        <f>S10+S25+S35</f>
        <v>-441217.4</v>
      </c>
      <c r="T45" s="19"/>
      <c r="U45" s="19">
        <f>U10+U25+U35</f>
        <v>-662153873.81000006</v>
      </c>
      <c r="V45" s="19"/>
      <c r="W45" s="3"/>
    </row>
    <row r="46" spans="1:23" x14ac:dyDescent="0.2">
      <c r="A46" s="12"/>
      <c r="B46" s="3" t="s">
        <v>46</v>
      </c>
      <c r="C46" s="19">
        <f>C11</f>
        <v>-103531.49999999996</v>
      </c>
      <c r="D46" s="19"/>
      <c r="E46" s="19">
        <f>E11</f>
        <v>-23764.83</v>
      </c>
      <c r="F46" s="19"/>
      <c r="G46" s="19">
        <f>G11</f>
        <v>2798.53</v>
      </c>
      <c r="H46" s="19"/>
      <c r="I46" s="19">
        <f>I11</f>
        <v>0</v>
      </c>
      <c r="J46" s="19"/>
      <c r="K46" s="19">
        <f>K11</f>
        <v>0</v>
      </c>
      <c r="L46" s="19"/>
      <c r="M46" s="19">
        <f>M11</f>
        <v>0</v>
      </c>
      <c r="N46" s="19"/>
      <c r="O46" s="19">
        <f>O11</f>
        <v>0</v>
      </c>
      <c r="P46" s="19"/>
      <c r="Q46" s="19">
        <f>Q11</f>
        <v>0</v>
      </c>
      <c r="R46" s="19"/>
      <c r="S46" s="19">
        <f>S11</f>
        <v>0</v>
      </c>
      <c r="T46" s="19"/>
      <c r="U46" s="19">
        <f>U11</f>
        <v>-124497.79999999996</v>
      </c>
      <c r="V46" s="19"/>
      <c r="W46" s="3"/>
    </row>
    <row r="47" spans="1:23" x14ac:dyDescent="0.2">
      <c r="A47" s="12"/>
      <c r="B47" s="3" t="s">
        <v>13</v>
      </c>
      <c r="C47" s="19">
        <f>C12+C26+C36</f>
        <v>-60124860.120000005</v>
      </c>
      <c r="D47" s="19"/>
      <c r="E47" s="19">
        <f>E12+E26+E36</f>
        <v>-11807754.719999999</v>
      </c>
      <c r="F47" s="19"/>
      <c r="G47" s="19">
        <f>G12+G26+G36</f>
        <v>11527163.23</v>
      </c>
      <c r="H47" s="19"/>
      <c r="I47" s="19">
        <f>I12+I26+I36</f>
        <v>-413976.73</v>
      </c>
      <c r="J47" s="19"/>
      <c r="K47" s="19">
        <f>K12+K26+K36</f>
        <v>0</v>
      </c>
      <c r="L47" s="19"/>
      <c r="M47" s="19">
        <f>M12+M26+M36</f>
        <v>0</v>
      </c>
      <c r="N47" s="19"/>
      <c r="O47" s="19">
        <f>O12+O26+O36</f>
        <v>232604.72</v>
      </c>
      <c r="P47" s="19"/>
      <c r="Q47" s="19">
        <f>Q12+Q26+Q36</f>
        <v>-154.38999999999942</v>
      </c>
      <c r="R47" s="19"/>
      <c r="S47" s="19">
        <f>S12+S26+S36</f>
        <v>0</v>
      </c>
      <c r="T47" s="19"/>
      <c r="U47" s="19">
        <f>U12+U26+U36</f>
        <v>-60586978.010000005</v>
      </c>
      <c r="V47" s="19"/>
      <c r="W47" s="3"/>
    </row>
    <row r="48" spans="1:23" x14ac:dyDescent="0.2">
      <c r="A48" s="12"/>
      <c r="B48" s="3" t="s">
        <v>14</v>
      </c>
      <c r="C48" s="19">
        <f>C13+C27+C37</f>
        <v>-10699879.680000002</v>
      </c>
      <c r="D48" s="19"/>
      <c r="E48" s="19">
        <f>E13+E27+E37</f>
        <v>-1171043.1000000001</v>
      </c>
      <c r="F48" s="19"/>
      <c r="G48" s="19">
        <f>G13+G27+G37</f>
        <v>15195.8</v>
      </c>
      <c r="H48" s="19"/>
      <c r="I48" s="19">
        <f>I13+I27+I37</f>
        <v>0</v>
      </c>
      <c r="J48" s="19"/>
      <c r="K48" s="19">
        <f>K13+K27+K37</f>
        <v>0</v>
      </c>
      <c r="L48" s="19"/>
      <c r="M48" s="19">
        <f>M13+M27+M37</f>
        <v>0</v>
      </c>
      <c r="N48" s="19"/>
      <c r="O48" s="19">
        <f>O13+O27+O37</f>
        <v>25862.74</v>
      </c>
      <c r="P48" s="19"/>
      <c r="Q48" s="19">
        <f>Q13+Q27+Q37</f>
        <v>0</v>
      </c>
      <c r="R48" s="19"/>
      <c r="S48" s="19">
        <f>S13+S27+S37</f>
        <v>0</v>
      </c>
      <c r="T48" s="19"/>
      <c r="U48" s="19">
        <f>U13+U27+U37</f>
        <v>-11829864.24</v>
      </c>
      <c r="V48" s="19"/>
      <c r="W48" s="3"/>
    </row>
    <row r="49" spans="1:23" x14ac:dyDescent="0.2">
      <c r="A49" s="12"/>
      <c r="B49" s="3" t="s">
        <v>47</v>
      </c>
      <c r="C49" s="19">
        <f>C14</f>
        <v>-27454.46</v>
      </c>
      <c r="D49" s="19"/>
      <c r="E49" s="19">
        <f>E14</f>
        <v>-78729.67</v>
      </c>
      <c r="F49" s="19"/>
      <c r="G49" s="19">
        <f>G14</f>
        <v>86482.34</v>
      </c>
      <c r="H49" s="19"/>
      <c r="I49" s="19">
        <f>I14</f>
        <v>0</v>
      </c>
      <c r="J49" s="19"/>
      <c r="K49" s="19">
        <f>K14</f>
        <v>0</v>
      </c>
      <c r="L49" s="19"/>
      <c r="M49" s="19">
        <f>M14</f>
        <v>0</v>
      </c>
      <c r="N49" s="19"/>
      <c r="O49" s="19">
        <f>O14</f>
        <v>0</v>
      </c>
      <c r="P49" s="19"/>
      <c r="Q49" s="19">
        <f>Q14</f>
        <v>0</v>
      </c>
      <c r="R49" s="19"/>
      <c r="S49" s="19">
        <f>S14</f>
        <v>0</v>
      </c>
      <c r="T49" s="19"/>
      <c r="U49" s="19">
        <f>U14</f>
        <v>-19701.79</v>
      </c>
      <c r="V49" s="19"/>
      <c r="W49" s="3"/>
    </row>
    <row r="50" spans="1:23" x14ac:dyDescent="0.2">
      <c r="A50" s="12"/>
      <c r="B50" s="3" t="s">
        <v>16</v>
      </c>
      <c r="C50" s="19">
        <f>C15+C28+C38</f>
        <v>-248685593.09000003</v>
      </c>
      <c r="D50" s="19"/>
      <c r="E50" s="19">
        <f>E15+E28+E38</f>
        <v>-34411796.620000005</v>
      </c>
      <c r="F50" s="19"/>
      <c r="G50" s="19">
        <f>G15+G28+G38</f>
        <v>844434.41</v>
      </c>
      <c r="H50" s="19"/>
      <c r="I50" s="19">
        <f>I15+I28+I38</f>
        <v>0</v>
      </c>
      <c r="J50" s="19"/>
      <c r="K50" s="19">
        <f>K15+K28+K38</f>
        <v>0</v>
      </c>
      <c r="L50" s="19"/>
      <c r="M50" s="19">
        <f>M15+M28+M38</f>
        <v>0</v>
      </c>
      <c r="N50" s="19"/>
      <c r="O50" s="19">
        <f>O15+O28+O38</f>
        <v>245309.94</v>
      </c>
      <c r="P50" s="19"/>
      <c r="Q50" s="19">
        <f>Q15+Q28+Q38</f>
        <v>0</v>
      </c>
      <c r="R50" s="19"/>
      <c r="S50" s="19">
        <f>S15+S28+S38</f>
        <v>0</v>
      </c>
      <c r="T50" s="19"/>
      <c r="U50" s="19">
        <f>U15+U28+U38</f>
        <v>-282007645.36000001</v>
      </c>
      <c r="V50" s="19"/>
      <c r="W50" s="3"/>
    </row>
    <row r="51" spans="1:23" x14ac:dyDescent="0.2">
      <c r="A51" s="12"/>
      <c r="B51" s="3" t="s">
        <v>48</v>
      </c>
      <c r="C51" s="19">
        <f>C16</f>
        <v>-12147.939999999995</v>
      </c>
      <c r="D51" s="19"/>
      <c r="E51" s="19">
        <f>E16</f>
        <v>-20825.04</v>
      </c>
      <c r="F51" s="19"/>
      <c r="G51" s="19">
        <f>G16</f>
        <v>0</v>
      </c>
      <c r="H51" s="19"/>
      <c r="I51" s="19">
        <f>I16</f>
        <v>0</v>
      </c>
      <c r="J51" s="19"/>
      <c r="K51" s="19">
        <f>K16</f>
        <v>0</v>
      </c>
      <c r="L51" s="19"/>
      <c r="M51" s="19">
        <f>M16</f>
        <v>0</v>
      </c>
      <c r="N51" s="19"/>
      <c r="O51" s="19">
        <f>O16</f>
        <v>0</v>
      </c>
      <c r="P51" s="19"/>
      <c r="Q51" s="19">
        <f>Q16</f>
        <v>0</v>
      </c>
      <c r="R51" s="19"/>
      <c r="S51" s="19">
        <f>S16</f>
        <v>0</v>
      </c>
      <c r="T51" s="19"/>
      <c r="U51" s="19">
        <f>U16</f>
        <v>-32972.979999999996</v>
      </c>
      <c r="V51" s="19"/>
      <c r="W51" s="3"/>
    </row>
    <row r="52" spans="1:23" x14ac:dyDescent="0.2">
      <c r="A52" s="12"/>
      <c r="B52" s="3" t="s">
        <v>17</v>
      </c>
      <c r="C52" s="19">
        <f>C17+C29+C39</f>
        <v>-1475084815.9000001</v>
      </c>
      <c r="D52" s="19"/>
      <c r="E52" s="19">
        <f>E17+E29+E39</f>
        <v>-116789035.11999999</v>
      </c>
      <c r="F52" s="19"/>
      <c r="G52" s="19">
        <f>G17+G29+G39</f>
        <v>12726290.15</v>
      </c>
      <c r="H52" s="19"/>
      <c r="I52" s="19">
        <f>I17+I29+I39</f>
        <v>0</v>
      </c>
      <c r="J52" s="19"/>
      <c r="K52" s="19">
        <f>K17+K29+K39</f>
        <v>0</v>
      </c>
      <c r="L52" s="19"/>
      <c r="M52" s="19">
        <f>M17+M29+M39</f>
        <v>0</v>
      </c>
      <c r="N52" s="19"/>
      <c r="O52" s="19">
        <f>O17+O29+O39</f>
        <v>4793895.3099999996</v>
      </c>
      <c r="P52" s="19"/>
      <c r="Q52" s="19">
        <f>Q17+Q29+Q39</f>
        <v>-184614.87</v>
      </c>
      <c r="R52" s="19"/>
      <c r="S52" s="19">
        <f>S17+S29+S39</f>
        <v>-16019.469999999998</v>
      </c>
      <c r="T52" s="19"/>
      <c r="U52" s="19">
        <f>U17+U29+U39</f>
        <v>-1574554299.8999999</v>
      </c>
      <c r="V52" s="19"/>
      <c r="W52" s="3"/>
    </row>
    <row r="53" spans="1:23" x14ac:dyDescent="0.2">
      <c r="A53" s="12"/>
      <c r="B53" s="3" t="s">
        <v>49</v>
      </c>
      <c r="C53" s="19">
        <f>C18</f>
        <v>-54584155.829999998</v>
      </c>
      <c r="D53" s="19"/>
      <c r="E53" s="19">
        <f>E18</f>
        <v>-40945454.460000001</v>
      </c>
      <c r="F53" s="19"/>
      <c r="G53" s="19">
        <f>G18</f>
        <v>2172751.56</v>
      </c>
      <c r="H53" s="19"/>
      <c r="I53" s="19">
        <f>I18</f>
        <v>0</v>
      </c>
      <c r="J53" s="19"/>
      <c r="K53" s="19">
        <f>K18</f>
        <v>0</v>
      </c>
      <c r="L53" s="19"/>
      <c r="M53" s="19">
        <f>M18</f>
        <v>0</v>
      </c>
      <c r="N53" s="19"/>
      <c r="O53" s="19">
        <f>O18</f>
        <v>0</v>
      </c>
      <c r="P53" s="19"/>
      <c r="Q53" s="19">
        <f>Q18</f>
        <v>0</v>
      </c>
      <c r="R53" s="19"/>
      <c r="S53" s="19">
        <f>S18</f>
        <v>0</v>
      </c>
      <c r="T53" s="19"/>
      <c r="U53" s="19">
        <f>U18</f>
        <v>-93356858.729999989</v>
      </c>
      <c r="V53" s="19"/>
      <c r="W53" s="3"/>
    </row>
    <row r="54" spans="1:23" x14ac:dyDescent="0.2">
      <c r="A54" s="12"/>
      <c r="B54" s="3" t="s">
        <v>18</v>
      </c>
      <c r="C54" s="19">
        <f>C19+C30+C40</f>
        <v>-339259583.62999994</v>
      </c>
      <c r="D54" s="19"/>
      <c r="E54" s="19">
        <f>E19+E30+E40</f>
        <v>-15391307.15</v>
      </c>
      <c r="F54" s="19"/>
      <c r="G54" s="19">
        <f>G19+G30+G40</f>
        <v>7302428.29</v>
      </c>
      <c r="H54" s="19"/>
      <c r="I54" s="19">
        <f>I19+I30+I40</f>
        <v>2184.17</v>
      </c>
      <c r="J54" s="19"/>
      <c r="K54" s="19">
        <f>K19+K30+K40</f>
        <v>0</v>
      </c>
      <c r="L54" s="19"/>
      <c r="M54" s="19">
        <f>M19+M30+M40</f>
        <v>0</v>
      </c>
      <c r="N54" s="19"/>
      <c r="O54" s="19">
        <f>O19+O30+O40</f>
        <v>6679323.6600000001</v>
      </c>
      <c r="P54" s="19"/>
      <c r="Q54" s="19">
        <f>Q19+Q30+Q40</f>
        <v>-1149916.93</v>
      </c>
      <c r="R54" s="19"/>
      <c r="S54" s="19">
        <f>S19+S30+S40</f>
        <v>-239764.79</v>
      </c>
      <c r="T54" s="19"/>
      <c r="U54" s="19">
        <f>U19+U30+U40</f>
        <v>-342056636.38</v>
      </c>
      <c r="V54" s="19"/>
      <c r="W54" s="3"/>
    </row>
    <row r="55" spans="1:23" x14ac:dyDescent="0.2">
      <c r="A55" s="12"/>
      <c r="B55" s="3" t="s">
        <v>50</v>
      </c>
      <c r="C55" s="19">
        <f>C20</f>
        <v>-43701.109999999993</v>
      </c>
      <c r="D55" s="19"/>
      <c r="E55" s="19">
        <f>E20</f>
        <v>-10003</v>
      </c>
      <c r="F55" s="19"/>
      <c r="G55" s="19">
        <f>G20</f>
        <v>0</v>
      </c>
      <c r="H55" s="19"/>
      <c r="I55" s="19">
        <f>I20</f>
        <v>0</v>
      </c>
      <c r="J55" s="19"/>
      <c r="K55" s="19">
        <f>K20</f>
        <v>0</v>
      </c>
      <c r="L55" s="19"/>
      <c r="M55" s="19">
        <f>M20</f>
        <v>0</v>
      </c>
      <c r="N55" s="19"/>
      <c r="O55" s="19">
        <f>O20</f>
        <v>0</v>
      </c>
      <c r="P55" s="19"/>
      <c r="Q55" s="19">
        <f>Q20</f>
        <v>0</v>
      </c>
      <c r="R55" s="19"/>
      <c r="S55" s="19">
        <f>S20</f>
        <v>0</v>
      </c>
      <c r="T55" s="19"/>
      <c r="U55" s="19">
        <f>U20</f>
        <v>-53704.109999999993</v>
      </c>
      <c r="V55" s="19"/>
      <c r="W55" s="3"/>
    </row>
    <row r="56" spans="1:23" x14ac:dyDescent="0.2">
      <c r="A56" s="12"/>
      <c r="B56" s="3" t="s">
        <v>29</v>
      </c>
      <c r="C56" s="27">
        <v>0</v>
      </c>
      <c r="D56" s="19"/>
      <c r="E56" s="27">
        <v>0</v>
      </c>
      <c r="F56" s="19"/>
      <c r="G56" s="27">
        <v>0</v>
      </c>
      <c r="H56" s="19"/>
      <c r="I56" s="27">
        <v>0</v>
      </c>
      <c r="J56" s="26"/>
      <c r="K56" s="27">
        <v>0</v>
      </c>
      <c r="L56" s="19"/>
      <c r="M56" s="27">
        <v>0</v>
      </c>
      <c r="N56" s="19"/>
      <c r="O56" s="27">
        <v>0</v>
      </c>
      <c r="P56" s="19"/>
      <c r="Q56" s="27">
        <v>0</v>
      </c>
      <c r="R56" s="19"/>
      <c r="S56" s="27">
        <v>0</v>
      </c>
      <c r="T56" s="19"/>
      <c r="U56" s="27">
        <v>0</v>
      </c>
      <c r="V56" s="26"/>
      <c r="W56" s="3"/>
    </row>
    <row r="57" spans="1:23" x14ac:dyDescent="0.2">
      <c r="B57" s="20"/>
      <c r="C57" s="26">
        <f>SUM(C45:C56)</f>
        <v>-2832060049.8600001</v>
      </c>
      <c r="D57" s="26"/>
      <c r="E57" s="26">
        <f>SUM(E45:E56)</f>
        <v>-265002392.38</v>
      </c>
      <c r="F57" s="26"/>
      <c r="G57" s="26">
        <f>SUM(G45:G56)</f>
        <v>55096012.150000006</v>
      </c>
      <c r="H57" s="26"/>
      <c r="I57" s="26">
        <f>SUM(I45:I56)</f>
        <v>-413976.73</v>
      </c>
      <c r="J57" s="26"/>
      <c r="K57" s="26">
        <f>SUM(K45:K56)</f>
        <v>0</v>
      </c>
      <c r="L57" s="26"/>
      <c r="M57" s="26">
        <f>SUM(M45:M56)</f>
        <v>0</v>
      </c>
      <c r="N57" s="26"/>
      <c r="O57" s="26">
        <f>SUM(O45:O56)</f>
        <v>17893169.34</v>
      </c>
      <c r="P57" s="26"/>
      <c r="Q57" s="26">
        <f>SUM(Q45:Q56)</f>
        <v>-1592793.97</v>
      </c>
      <c r="R57" s="26"/>
      <c r="S57" s="26">
        <f>SUM(S45:S56)</f>
        <v>-697001.66</v>
      </c>
      <c r="T57" s="26"/>
      <c r="U57" s="26">
        <f>SUM(U45:U56)</f>
        <v>-3026777033.1100001</v>
      </c>
      <c r="V57" s="26"/>
      <c r="W57" s="15">
        <f>+O57+Q57+S57+M60+K60</f>
        <v>-4.3655745685100555E-10</v>
      </c>
    </row>
    <row r="58" spans="1:23" x14ac:dyDescent="0.2"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3"/>
    </row>
    <row r="59" spans="1:23" ht="13.5" customHeight="1" x14ac:dyDescent="0.2">
      <c r="A59" s="12" t="s">
        <v>54</v>
      </c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3"/>
    </row>
    <row r="60" spans="1:23" x14ac:dyDescent="0.2">
      <c r="B60" s="3" t="s">
        <v>11</v>
      </c>
      <c r="C60" s="19">
        <v>26635584.070000019</v>
      </c>
      <c r="D60" s="19"/>
      <c r="E60" s="19">
        <v>0</v>
      </c>
      <c r="F60" s="19"/>
      <c r="G60" s="19">
        <v>0</v>
      </c>
      <c r="H60" s="19"/>
      <c r="I60" s="19">
        <f>16751.28</f>
        <v>16751.28</v>
      </c>
      <c r="J60" s="19"/>
      <c r="K60" s="19">
        <f>-20000-172519.02</f>
        <v>-192519.02</v>
      </c>
      <c r="L60" s="19"/>
      <c r="M60" s="19">
        <f>-360583.99-162.21-825425.22+143168.98-1434651.21+63716.87-505028.69+18149.98-740338.19+29177.94-1681040.35+3547.76+103618.65-2647624.58+80990.93+20000-2933593.28+68451.16-1813166.66+41253.35-2054966.5+10120.74+172519.02-986554.19+15571.26-1334963.45+1136957.19</f>
        <v>-15410854.689999999</v>
      </c>
      <c r="N60" s="19"/>
      <c r="O60" s="19">
        <f>1305444.43+92252.28+2394519.46+193763.8+1148032.61+432690.34+587177.34+2121791.97+756407.6+1468863.01+1905231.09+603574.46+25427.41+927002.35+469670.33+1825486.12-4389228.46+1054803.13-198917.08+1513022.83+140644.11+817935.1+194129.83+1758432.18+43307.96</f>
        <v>17191464.199999999</v>
      </c>
      <c r="P60" s="19"/>
      <c r="Q60" s="19">
        <f>-6128.5-19721.8-11438.7-10719.72-87366.3+26387.52-17954.52-25441.99-10931.31-59872.13-19436.39-1340254.64</f>
        <v>-1582878.48</v>
      </c>
      <c r="R60" s="19"/>
      <c r="S60" s="19">
        <f>-31909.72-112667.38-113874.95-40837.15-100282.18-66995.93-44899.88-159182.18+81825.03-14742.05-16919.36+139183.16</f>
        <v>-481302.58999999997</v>
      </c>
      <c r="T60" s="19"/>
      <c r="U60" s="19">
        <f>S60+Q60+O60+M60+I60+G60+E60+C60+K60</f>
        <v>26176244.770000018</v>
      </c>
      <c r="V60" s="19"/>
      <c r="W60" s="30">
        <v>26176244.770000003</v>
      </c>
    </row>
    <row r="61" spans="1:23" x14ac:dyDescent="0.2">
      <c r="B61" s="20"/>
      <c r="C61" s="31">
        <f>SUM(C60:C60)</f>
        <v>26635584.070000019</v>
      </c>
      <c r="D61" s="19"/>
      <c r="E61" s="31">
        <f>SUM(E60:E60)</f>
        <v>0</v>
      </c>
      <c r="F61" s="19"/>
      <c r="G61" s="31">
        <f>SUM(G60:G60)</f>
        <v>0</v>
      </c>
      <c r="H61" s="19"/>
      <c r="I61" s="31">
        <f>SUM(I60:I60)</f>
        <v>16751.28</v>
      </c>
      <c r="J61" s="26"/>
      <c r="K61" s="31">
        <f>SUM(K60:K60)</f>
        <v>-192519.02</v>
      </c>
      <c r="L61" s="19"/>
      <c r="M61" s="31">
        <f>SUM(M60:M60)</f>
        <v>-15410854.689999999</v>
      </c>
      <c r="N61" s="19"/>
      <c r="O61" s="31">
        <f>SUM(O60:O60)</f>
        <v>17191464.199999999</v>
      </c>
      <c r="P61" s="19"/>
      <c r="Q61" s="31">
        <f>SUM(Q60:Q60)</f>
        <v>-1582878.48</v>
      </c>
      <c r="R61" s="19"/>
      <c r="S61" s="31">
        <f>SUM(S60:S60)</f>
        <v>-481302.58999999997</v>
      </c>
      <c r="T61" s="19"/>
      <c r="U61" s="31">
        <f>SUM(U60:U60)</f>
        <v>26176244.770000018</v>
      </c>
      <c r="V61" s="26"/>
      <c r="W61" s="15">
        <f>+U60-W60</f>
        <v>0</v>
      </c>
    </row>
    <row r="62" spans="1:23" x14ac:dyDescent="0.2"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3"/>
    </row>
    <row r="63" spans="1:23" x14ac:dyDescent="0.2">
      <c r="B63" s="20" t="s">
        <v>55</v>
      </c>
      <c r="C63" s="27">
        <f>C57+C61</f>
        <v>-2805424465.79</v>
      </c>
      <c r="D63" s="19"/>
      <c r="E63" s="27">
        <f>E57+E61</f>
        <v>-265002392.38</v>
      </c>
      <c r="F63" s="19"/>
      <c r="G63" s="27">
        <f>G57+G61</f>
        <v>55096012.150000006</v>
      </c>
      <c r="H63" s="19"/>
      <c r="I63" s="27">
        <f>I57+I61</f>
        <v>-397225.44999999995</v>
      </c>
      <c r="J63" s="26"/>
      <c r="K63" s="27">
        <f>K57+K61</f>
        <v>-192519.02</v>
      </c>
      <c r="L63" s="19"/>
      <c r="M63" s="27">
        <f>M57+M61</f>
        <v>-15410854.689999999</v>
      </c>
      <c r="N63" s="19"/>
      <c r="O63" s="27">
        <f>O57+O61</f>
        <v>35084633.539999999</v>
      </c>
      <c r="P63" s="19"/>
      <c r="Q63" s="27">
        <f>Q57+Q61</f>
        <v>-3175672.45</v>
      </c>
      <c r="R63" s="19"/>
      <c r="S63" s="27">
        <f>S57+S61</f>
        <v>-1178304.25</v>
      </c>
      <c r="T63" s="19"/>
      <c r="U63" s="27">
        <f>U57+U61</f>
        <v>-3000600788.3400002</v>
      </c>
      <c r="V63" s="26"/>
      <c r="W63" s="3"/>
    </row>
    <row r="64" spans="1:23" x14ac:dyDescent="0.2"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3"/>
    </row>
    <row r="65" spans="1:23" x14ac:dyDescent="0.2">
      <c r="A65" s="12" t="s">
        <v>56</v>
      </c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3"/>
    </row>
    <row r="66" spans="1:23" x14ac:dyDescent="0.2">
      <c r="B66" s="3" t="s">
        <v>11</v>
      </c>
      <c r="C66" s="27">
        <v>-44427523.319999993</v>
      </c>
      <c r="D66" s="26"/>
      <c r="E66" s="14">
        <v>-11964819.42</v>
      </c>
      <c r="F66" s="26"/>
      <c r="G66" s="14">
        <v>5795318.9000000004</v>
      </c>
      <c r="H66" s="26"/>
      <c r="I66" s="14">
        <v>0</v>
      </c>
      <c r="J66" s="26"/>
      <c r="K66" s="14">
        <v>0</v>
      </c>
      <c r="L66" s="26"/>
      <c r="M66" s="14">
        <v>0</v>
      </c>
      <c r="N66" s="26"/>
      <c r="O66" s="14">
        <v>0</v>
      </c>
      <c r="P66" s="26"/>
      <c r="Q66" s="14">
        <v>0</v>
      </c>
      <c r="R66" s="26"/>
      <c r="S66" s="14">
        <v>0</v>
      </c>
      <c r="T66" s="26"/>
      <c r="U66" s="27">
        <f>S66+Q66+O66+M66+I66+G66+E66+C66</f>
        <v>-50597023.839999989</v>
      </c>
      <c r="V66" s="26"/>
      <c r="W66" s="3"/>
    </row>
    <row r="67" spans="1:23" x14ac:dyDescent="0.2">
      <c r="B67" s="20"/>
      <c r="C67" s="26">
        <f>SUM(C66:C66)</f>
        <v>-44427523.319999993</v>
      </c>
      <c r="D67" s="26"/>
      <c r="E67" s="32">
        <f>SUM(E66:E66)</f>
        <v>-11964819.42</v>
      </c>
      <c r="F67" s="26"/>
      <c r="G67" s="32">
        <f>SUM(G66:G66)</f>
        <v>5795318.9000000004</v>
      </c>
      <c r="H67" s="26"/>
      <c r="I67" s="32">
        <f>SUM(I66:I66)</f>
        <v>0</v>
      </c>
      <c r="J67" s="26"/>
      <c r="K67" s="32">
        <f>SUM(K66:K66)</f>
        <v>0</v>
      </c>
      <c r="L67" s="26"/>
      <c r="M67" s="32">
        <f>SUM(M66:M66)</f>
        <v>0</v>
      </c>
      <c r="N67" s="26"/>
      <c r="O67" s="32">
        <f>SUM(O66:O66)</f>
        <v>0</v>
      </c>
      <c r="P67" s="26"/>
      <c r="Q67" s="32">
        <f>SUM(Q66:Q66)</f>
        <v>0</v>
      </c>
      <c r="R67" s="26"/>
      <c r="S67" s="32">
        <f>SUM(S66:S66)</f>
        <v>0</v>
      </c>
      <c r="T67" s="26"/>
      <c r="U67" s="26">
        <f>SUM(U66:U66)</f>
        <v>-50597023.839999989</v>
      </c>
      <c r="V67" s="26"/>
      <c r="W67" s="3"/>
    </row>
    <row r="68" spans="1:23" x14ac:dyDescent="0.2">
      <c r="B68" s="20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3"/>
    </row>
    <row r="69" spans="1:23" x14ac:dyDescent="0.2"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3"/>
    </row>
    <row r="70" spans="1:23" ht="13.5" thickBot="1" x14ac:dyDescent="0.25">
      <c r="B70" s="20" t="s">
        <v>57</v>
      </c>
      <c r="C70" s="33">
        <f>C63+C67</f>
        <v>-2849851989.1100001</v>
      </c>
      <c r="D70" s="19"/>
      <c r="E70" s="33">
        <f>E63+E67</f>
        <v>-276967211.80000001</v>
      </c>
      <c r="F70" s="19"/>
      <c r="G70" s="33">
        <f>G63+G67</f>
        <v>60891331.050000004</v>
      </c>
      <c r="H70" s="19"/>
      <c r="I70" s="33">
        <f>I63+I67</f>
        <v>-397225.44999999995</v>
      </c>
      <c r="J70" s="26"/>
      <c r="K70" s="33">
        <f>K63+K67</f>
        <v>-192519.02</v>
      </c>
      <c r="L70" s="19"/>
      <c r="M70" s="33">
        <f>M63+M67</f>
        <v>-15410854.689999999</v>
      </c>
      <c r="N70" s="19"/>
      <c r="O70" s="33">
        <f>O63+O67</f>
        <v>35084633.539999999</v>
      </c>
      <c r="P70" s="19"/>
      <c r="Q70" s="33">
        <f>Q63+Q67</f>
        <v>-3175672.45</v>
      </c>
      <c r="R70" s="19"/>
      <c r="S70" s="33">
        <f>S63+S67</f>
        <v>-1178304.25</v>
      </c>
      <c r="T70" s="19"/>
      <c r="U70" s="33">
        <f>U63+U67</f>
        <v>-3051197812.1800003</v>
      </c>
      <c r="V70" s="26"/>
      <c r="W70" s="3"/>
    </row>
    <row r="71" spans="1:23" ht="13.5" thickTop="1" x14ac:dyDescent="0.2">
      <c r="B71" s="20"/>
      <c r="C71" s="26"/>
      <c r="D71" s="19"/>
      <c r="E71" s="26"/>
      <c r="F71" s="19"/>
      <c r="G71" s="26"/>
      <c r="H71" s="19"/>
      <c r="I71" s="26"/>
      <c r="J71" s="26"/>
      <c r="K71" s="26"/>
      <c r="L71" s="19"/>
      <c r="M71" s="26"/>
      <c r="N71" s="19"/>
      <c r="O71" s="26"/>
      <c r="P71" s="19"/>
      <c r="Q71" s="26"/>
      <c r="R71" s="19"/>
      <c r="S71" s="26"/>
      <c r="T71" s="19"/>
      <c r="U71" s="26"/>
      <c r="V71" s="26"/>
      <c r="W71" s="3"/>
    </row>
    <row r="72" spans="1:23" x14ac:dyDescent="0.2"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3"/>
    </row>
    <row r="73" spans="1:23" x14ac:dyDescent="0.2">
      <c r="A73" s="12" t="s">
        <v>58</v>
      </c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3"/>
    </row>
    <row r="74" spans="1:23" ht="13.5" thickBot="1" x14ac:dyDescent="0.25">
      <c r="A74" s="12" t="s">
        <v>59</v>
      </c>
      <c r="C74" s="33">
        <f>'KU_Summary - Cost - P1 (REG)'!D73+'KU_Summary - Reserve - P2 (REG)'!C70</f>
        <v>6232156912.1229973</v>
      </c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33">
        <f>'KU_Summary - Cost - P1 (REG)'!N73+'KU_Summary - Reserve - P2 (REG)'!U70</f>
        <v>6215350113.7530003</v>
      </c>
      <c r="V74" s="26"/>
      <c r="W74" s="3"/>
    </row>
    <row r="75" spans="1:23" ht="13.5" thickTop="1" x14ac:dyDescent="0.2"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3"/>
    </row>
    <row r="76" spans="1:23" x14ac:dyDescent="0.2"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3"/>
    </row>
    <row r="77" spans="1:23" x14ac:dyDescent="0.2"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0"/>
    </row>
    <row r="78" spans="1:23" x14ac:dyDescent="0.2"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"/>
    </row>
    <row r="79" spans="1:23" x14ac:dyDescent="0.2"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"/>
    </row>
    <row r="80" spans="1:23" x14ac:dyDescent="0.2"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"/>
    </row>
    <row r="81" spans="3:23" x14ac:dyDescent="0.2"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"/>
    </row>
    <row r="82" spans="3:23" x14ac:dyDescent="0.2"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"/>
    </row>
    <row r="83" spans="3:23" x14ac:dyDescent="0.2"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"/>
    </row>
    <row r="84" spans="3:23" x14ac:dyDescent="0.2"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"/>
    </row>
    <row r="85" spans="3:23" x14ac:dyDescent="0.2"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"/>
    </row>
    <row r="86" spans="3:23" x14ac:dyDescent="0.2"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"/>
    </row>
    <row r="87" spans="3:23" x14ac:dyDescent="0.2"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"/>
    </row>
    <row r="88" spans="3:23" x14ac:dyDescent="0.2"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"/>
    </row>
    <row r="89" spans="3:23" x14ac:dyDescent="0.2"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"/>
    </row>
    <row r="90" spans="3:23" x14ac:dyDescent="0.2"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"/>
    </row>
    <row r="91" spans="3:23" x14ac:dyDescent="0.2"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"/>
    </row>
    <row r="92" spans="3:23" x14ac:dyDescent="0.2"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"/>
    </row>
    <row r="93" spans="3:23" x14ac:dyDescent="0.2"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"/>
    </row>
    <row r="94" spans="3:23" x14ac:dyDescent="0.2"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"/>
    </row>
    <row r="95" spans="3:23" x14ac:dyDescent="0.2"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"/>
    </row>
    <row r="96" spans="3:23" x14ac:dyDescent="0.2"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"/>
    </row>
    <row r="97" spans="3:23" x14ac:dyDescent="0.2"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"/>
    </row>
    <row r="98" spans="3:23" x14ac:dyDescent="0.2"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"/>
    </row>
    <row r="99" spans="3:23" x14ac:dyDescent="0.2"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"/>
    </row>
    <row r="100" spans="3:23" x14ac:dyDescent="0.2"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"/>
    </row>
    <row r="101" spans="3:23" x14ac:dyDescent="0.2"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"/>
    </row>
    <row r="102" spans="3:23" x14ac:dyDescent="0.2"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"/>
    </row>
    <row r="103" spans="3:23" x14ac:dyDescent="0.2"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"/>
    </row>
    <row r="104" spans="3:23" x14ac:dyDescent="0.2"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"/>
    </row>
    <row r="105" spans="3:23" x14ac:dyDescent="0.2"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"/>
    </row>
    <row r="106" spans="3:23" x14ac:dyDescent="0.2"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"/>
    </row>
    <row r="107" spans="3:23" x14ac:dyDescent="0.2"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"/>
    </row>
    <row r="108" spans="3:23" x14ac:dyDescent="0.2"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"/>
    </row>
    <row r="109" spans="3:23" x14ac:dyDescent="0.2"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"/>
    </row>
    <row r="110" spans="3:23" x14ac:dyDescent="0.2"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"/>
    </row>
    <row r="111" spans="3:23" x14ac:dyDescent="0.2"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"/>
    </row>
    <row r="112" spans="3:23" x14ac:dyDescent="0.2"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"/>
    </row>
    <row r="113" spans="3:23" x14ac:dyDescent="0.2"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"/>
    </row>
    <row r="114" spans="3:23" x14ac:dyDescent="0.2"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"/>
    </row>
    <row r="115" spans="3:23" x14ac:dyDescent="0.2"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"/>
    </row>
    <row r="116" spans="3:23" x14ac:dyDescent="0.2"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"/>
    </row>
    <row r="117" spans="3:23" x14ac:dyDescent="0.2"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"/>
    </row>
    <row r="118" spans="3:23" x14ac:dyDescent="0.2"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"/>
    </row>
    <row r="119" spans="3:23" x14ac:dyDescent="0.2"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"/>
    </row>
    <row r="120" spans="3:23" x14ac:dyDescent="0.2"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"/>
    </row>
    <row r="121" spans="3:23" x14ac:dyDescent="0.2"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"/>
    </row>
    <row r="122" spans="3:23" x14ac:dyDescent="0.2"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"/>
    </row>
    <row r="123" spans="3:23" x14ac:dyDescent="0.2"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"/>
    </row>
    <row r="124" spans="3:23" x14ac:dyDescent="0.2"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"/>
    </row>
    <row r="125" spans="3:23" x14ac:dyDescent="0.2"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"/>
    </row>
    <row r="126" spans="3:23" x14ac:dyDescent="0.2"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"/>
    </row>
    <row r="127" spans="3:23" x14ac:dyDescent="0.2"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"/>
    </row>
    <row r="128" spans="3:23" x14ac:dyDescent="0.2"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"/>
    </row>
    <row r="129" spans="3:23" x14ac:dyDescent="0.2"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"/>
    </row>
    <row r="130" spans="3:23" x14ac:dyDescent="0.2"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"/>
    </row>
    <row r="131" spans="3:23" x14ac:dyDescent="0.2"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"/>
    </row>
    <row r="132" spans="3:23" x14ac:dyDescent="0.2"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"/>
    </row>
    <row r="133" spans="3:23" x14ac:dyDescent="0.2"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"/>
    </row>
    <row r="134" spans="3:23" x14ac:dyDescent="0.2"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"/>
    </row>
    <row r="135" spans="3:23" x14ac:dyDescent="0.2"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"/>
    </row>
    <row r="136" spans="3:23" x14ac:dyDescent="0.2"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"/>
    </row>
    <row r="137" spans="3:23" x14ac:dyDescent="0.2"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"/>
    </row>
    <row r="138" spans="3:23" x14ac:dyDescent="0.2"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"/>
    </row>
    <row r="139" spans="3:23" x14ac:dyDescent="0.2"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"/>
    </row>
    <row r="140" spans="3:23" x14ac:dyDescent="0.2"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"/>
    </row>
    <row r="141" spans="3:23" x14ac:dyDescent="0.2"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"/>
    </row>
    <row r="142" spans="3:23" x14ac:dyDescent="0.2"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"/>
    </row>
    <row r="143" spans="3:23" x14ac:dyDescent="0.2"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"/>
    </row>
    <row r="144" spans="3:23" x14ac:dyDescent="0.2"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"/>
    </row>
    <row r="145" spans="3:23" x14ac:dyDescent="0.2"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"/>
    </row>
    <row r="146" spans="3:23" x14ac:dyDescent="0.2"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"/>
    </row>
    <row r="147" spans="3:23" x14ac:dyDescent="0.2"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"/>
    </row>
    <row r="148" spans="3:23" x14ac:dyDescent="0.2"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"/>
    </row>
    <row r="149" spans="3:23" x14ac:dyDescent="0.2"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"/>
    </row>
    <row r="150" spans="3:23" x14ac:dyDescent="0.2"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"/>
    </row>
    <row r="151" spans="3:23" x14ac:dyDescent="0.2"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"/>
    </row>
    <row r="152" spans="3:23" x14ac:dyDescent="0.2"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"/>
    </row>
    <row r="153" spans="3:23" x14ac:dyDescent="0.2"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"/>
    </row>
    <row r="154" spans="3:23" x14ac:dyDescent="0.2"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"/>
    </row>
    <row r="155" spans="3:23" x14ac:dyDescent="0.2"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"/>
    </row>
    <row r="156" spans="3:23" x14ac:dyDescent="0.2"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"/>
    </row>
    <row r="157" spans="3:23" x14ac:dyDescent="0.2"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"/>
    </row>
    <row r="158" spans="3:23" x14ac:dyDescent="0.2"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"/>
    </row>
    <row r="159" spans="3:23" x14ac:dyDescent="0.2"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"/>
    </row>
    <row r="160" spans="3:23" x14ac:dyDescent="0.2"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"/>
    </row>
    <row r="161" spans="3:23" x14ac:dyDescent="0.2"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"/>
    </row>
    <row r="162" spans="3:23" x14ac:dyDescent="0.2"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"/>
    </row>
    <row r="163" spans="3:23" x14ac:dyDescent="0.2"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"/>
    </row>
    <row r="164" spans="3:23" x14ac:dyDescent="0.2"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"/>
    </row>
    <row r="165" spans="3:23" x14ac:dyDescent="0.2"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"/>
    </row>
    <row r="166" spans="3:23" x14ac:dyDescent="0.2"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"/>
    </row>
    <row r="167" spans="3:23" x14ac:dyDescent="0.2"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"/>
    </row>
    <row r="168" spans="3:23" x14ac:dyDescent="0.2"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"/>
    </row>
    <row r="169" spans="3:23" x14ac:dyDescent="0.2"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"/>
    </row>
    <row r="170" spans="3:23" x14ac:dyDescent="0.2"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"/>
    </row>
    <row r="171" spans="3:23" x14ac:dyDescent="0.2"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"/>
    </row>
    <row r="172" spans="3:23" x14ac:dyDescent="0.2"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34"/>
      <c r="W172" s="3"/>
    </row>
    <row r="173" spans="3:23" x14ac:dyDescent="0.2"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4"/>
      <c r="W173" s="3"/>
    </row>
    <row r="174" spans="3:23" x14ac:dyDescent="0.2"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U174" s="34"/>
      <c r="V174" s="34"/>
      <c r="W174" s="3"/>
    </row>
    <row r="175" spans="3:23" x14ac:dyDescent="0.2"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"/>
    </row>
    <row r="176" spans="3:23" x14ac:dyDescent="0.2"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"/>
    </row>
    <row r="177" spans="3:23" x14ac:dyDescent="0.2"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4"/>
      <c r="S177" s="34"/>
      <c r="T177" s="34"/>
      <c r="U177" s="34"/>
      <c r="V177" s="34"/>
      <c r="W177" s="3"/>
    </row>
    <row r="178" spans="3:23" x14ac:dyDescent="0.2"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  <c r="R178" s="34"/>
      <c r="S178" s="34"/>
      <c r="T178" s="34"/>
      <c r="U178" s="34"/>
      <c r="V178" s="34"/>
      <c r="W178" s="3"/>
    </row>
    <row r="179" spans="3:23" x14ac:dyDescent="0.2"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  <c r="W179" s="3"/>
    </row>
    <row r="180" spans="3:23" x14ac:dyDescent="0.2"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  <c r="R180" s="34"/>
      <c r="S180" s="34"/>
      <c r="T180" s="34"/>
      <c r="U180" s="34"/>
      <c r="V180" s="34"/>
      <c r="W180" s="3"/>
    </row>
    <row r="181" spans="3:23" x14ac:dyDescent="0.2"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  <c r="R181" s="34"/>
      <c r="S181" s="34"/>
      <c r="T181" s="34"/>
      <c r="U181" s="34"/>
      <c r="V181" s="34"/>
      <c r="W181" s="3"/>
    </row>
    <row r="182" spans="3:23" x14ac:dyDescent="0.2"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  <c r="R182" s="34"/>
      <c r="S182" s="34"/>
      <c r="T182" s="34"/>
      <c r="U182" s="34"/>
      <c r="V182" s="34"/>
      <c r="W182" s="3"/>
    </row>
    <row r="183" spans="3:23" x14ac:dyDescent="0.2"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  <c r="R183" s="34"/>
      <c r="S183" s="34"/>
      <c r="T183" s="34"/>
      <c r="U183" s="34"/>
      <c r="V183" s="34"/>
      <c r="W183" s="3"/>
    </row>
    <row r="184" spans="3:23" x14ac:dyDescent="0.2"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  <c r="R184" s="34"/>
      <c r="S184" s="34"/>
      <c r="T184" s="34"/>
      <c r="U184" s="34"/>
      <c r="V184" s="34"/>
      <c r="W184" s="3"/>
    </row>
    <row r="185" spans="3:23" x14ac:dyDescent="0.2"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  <c r="R185" s="34"/>
      <c r="S185" s="34"/>
      <c r="T185" s="34"/>
      <c r="U185" s="34"/>
      <c r="V185" s="34"/>
      <c r="W185" s="3"/>
    </row>
    <row r="186" spans="3:23" x14ac:dyDescent="0.2"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34"/>
      <c r="S186" s="34"/>
      <c r="T186" s="34"/>
      <c r="U186" s="34"/>
      <c r="V186" s="34"/>
      <c r="W186" s="3"/>
    </row>
    <row r="187" spans="3:23" x14ac:dyDescent="0.2"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  <c r="R187" s="34"/>
      <c r="S187" s="34"/>
      <c r="T187" s="34"/>
      <c r="U187" s="34"/>
      <c r="V187" s="34"/>
      <c r="W187" s="3"/>
    </row>
    <row r="188" spans="3:23" x14ac:dyDescent="0.2"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  <c r="R188" s="34"/>
      <c r="S188" s="34"/>
      <c r="T188" s="34"/>
      <c r="U188" s="34"/>
      <c r="V188" s="34"/>
      <c r="W188" s="3"/>
    </row>
    <row r="189" spans="3:23" x14ac:dyDescent="0.2"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  <c r="R189" s="34"/>
      <c r="S189" s="34"/>
      <c r="T189" s="34"/>
      <c r="U189" s="34"/>
      <c r="V189" s="34"/>
      <c r="W189" s="3"/>
    </row>
    <row r="190" spans="3:23" x14ac:dyDescent="0.2"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  <c r="R190" s="34"/>
      <c r="S190" s="34"/>
      <c r="T190" s="34"/>
      <c r="U190" s="34"/>
      <c r="V190" s="34"/>
      <c r="W190" s="3"/>
    </row>
    <row r="191" spans="3:23" x14ac:dyDescent="0.2"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  <c r="R191" s="34"/>
      <c r="S191" s="34"/>
      <c r="T191" s="34"/>
      <c r="U191" s="34"/>
      <c r="V191" s="34"/>
      <c r="W191" s="3"/>
    </row>
    <row r="192" spans="3:23" x14ac:dyDescent="0.2"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  <c r="R192" s="34"/>
      <c r="S192" s="34"/>
      <c r="T192" s="34"/>
      <c r="U192" s="34"/>
      <c r="V192" s="34"/>
      <c r="W192" s="3"/>
    </row>
    <row r="193" spans="3:23" x14ac:dyDescent="0.2"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  <c r="R193" s="34"/>
      <c r="S193" s="34"/>
      <c r="T193" s="34"/>
      <c r="U193" s="34"/>
      <c r="V193" s="34"/>
      <c r="W193" s="3"/>
    </row>
    <row r="194" spans="3:23" x14ac:dyDescent="0.2"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  <c r="R194" s="34"/>
      <c r="S194" s="34"/>
      <c r="T194" s="34"/>
      <c r="U194" s="34"/>
      <c r="V194" s="34"/>
      <c r="W194" s="3"/>
    </row>
    <row r="195" spans="3:23" x14ac:dyDescent="0.2"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  <c r="R195" s="34"/>
      <c r="S195" s="34"/>
      <c r="T195" s="34"/>
      <c r="U195" s="34"/>
      <c r="V195" s="34"/>
      <c r="W195" s="3"/>
    </row>
    <row r="196" spans="3:23" x14ac:dyDescent="0.2"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  <c r="R196" s="34"/>
      <c r="S196" s="34"/>
      <c r="T196" s="34"/>
      <c r="U196" s="34"/>
      <c r="V196" s="34"/>
      <c r="W196" s="3"/>
    </row>
    <row r="197" spans="3:23" x14ac:dyDescent="0.2"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  <c r="R197" s="34"/>
      <c r="S197" s="34"/>
      <c r="T197" s="34"/>
      <c r="U197" s="34"/>
      <c r="V197" s="34"/>
      <c r="W197" s="3"/>
    </row>
    <row r="198" spans="3:23" x14ac:dyDescent="0.2"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  <c r="R198" s="34"/>
      <c r="S198" s="34"/>
      <c r="T198" s="34"/>
      <c r="U198" s="34"/>
      <c r="V198" s="34"/>
      <c r="W198" s="3"/>
    </row>
    <row r="199" spans="3:23" x14ac:dyDescent="0.2"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  <c r="R199" s="34"/>
      <c r="S199" s="34"/>
      <c r="T199" s="34"/>
      <c r="U199" s="34"/>
      <c r="V199" s="34"/>
      <c r="W199" s="3"/>
    </row>
    <row r="200" spans="3:23" x14ac:dyDescent="0.2"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4"/>
      <c r="R200" s="34"/>
      <c r="S200" s="34"/>
      <c r="T200" s="34"/>
      <c r="U200" s="34"/>
      <c r="V200" s="34"/>
      <c r="W200" s="3"/>
    </row>
    <row r="201" spans="3:23" x14ac:dyDescent="0.2"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  <c r="R201" s="34"/>
      <c r="S201" s="34"/>
      <c r="T201" s="34"/>
      <c r="U201" s="34"/>
      <c r="V201" s="34"/>
      <c r="W201" s="3"/>
    </row>
    <row r="202" spans="3:23" x14ac:dyDescent="0.2"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  <c r="R202" s="34"/>
      <c r="S202" s="34"/>
      <c r="T202" s="34"/>
      <c r="U202" s="34"/>
      <c r="V202" s="34"/>
      <c r="W202" s="3"/>
    </row>
    <row r="203" spans="3:23" x14ac:dyDescent="0.2"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  <c r="R203" s="34"/>
      <c r="S203" s="34"/>
      <c r="T203" s="34"/>
      <c r="U203" s="34"/>
      <c r="V203" s="34"/>
      <c r="W203" s="3"/>
    </row>
    <row r="204" spans="3:23" x14ac:dyDescent="0.2"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  <c r="R204" s="34"/>
      <c r="S204" s="34"/>
      <c r="T204" s="34"/>
      <c r="U204" s="34"/>
      <c r="V204" s="34"/>
      <c r="W204" s="3"/>
    </row>
    <row r="205" spans="3:23" x14ac:dyDescent="0.2"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  <c r="R205" s="34"/>
      <c r="S205" s="34"/>
      <c r="T205" s="34"/>
      <c r="U205" s="34"/>
      <c r="V205" s="34"/>
      <c r="W205" s="3"/>
    </row>
    <row r="206" spans="3:23" x14ac:dyDescent="0.2"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  <c r="R206" s="34"/>
      <c r="S206" s="34"/>
      <c r="T206" s="34"/>
      <c r="U206" s="34"/>
      <c r="V206" s="34"/>
      <c r="W206" s="3"/>
    </row>
    <row r="207" spans="3:23" x14ac:dyDescent="0.2"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  <c r="R207" s="34"/>
      <c r="S207" s="34"/>
      <c r="T207" s="34"/>
      <c r="U207" s="34"/>
      <c r="V207" s="34"/>
      <c r="W207" s="3"/>
    </row>
    <row r="208" spans="3:23" x14ac:dyDescent="0.2"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  <c r="R208" s="34"/>
      <c r="S208" s="34"/>
      <c r="T208" s="34"/>
      <c r="U208" s="34"/>
      <c r="V208" s="34"/>
      <c r="W208" s="3"/>
    </row>
    <row r="209" spans="3:23" x14ac:dyDescent="0.2"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  <c r="R209" s="34"/>
      <c r="S209" s="34"/>
      <c r="T209" s="34"/>
      <c r="U209" s="34"/>
      <c r="V209" s="34"/>
      <c r="W209" s="3"/>
    </row>
    <row r="210" spans="3:23" x14ac:dyDescent="0.2"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  <c r="R210" s="34"/>
      <c r="S210" s="34"/>
      <c r="T210" s="34"/>
      <c r="U210" s="34"/>
      <c r="V210" s="34"/>
      <c r="W210" s="3"/>
    </row>
    <row r="211" spans="3:23" x14ac:dyDescent="0.2"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  <c r="R211" s="34"/>
      <c r="S211" s="34"/>
      <c r="T211" s="34"/>
      <c r="U211" s="34"/>
      <c r="V211" s="34"/>
      <c r="W211" s="3"/>
    </row>
    <row r="212" spans="3:23" x14ac:dyDescent="0.2"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  <c r="R212" s="34"/>
      <c r="S212" s="34"/>
      <c r="T212" s="34"/>
      <c r="U212" s="34"/>
      <c r="V212" s="34"/>
      <c r="W212" s="3"/>
    </row>
    <row r="213" spans="3:23" x14ac:dyDescent="0.2"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  <c r="R213" s="34"/>
      <c r="S213" s="34"/>
      <c r="T213" s="34"/>
      <c r="U213" s="34"/>
      <c r="V213" s="34"/>
      <c r="W213" s="3"/>
    </row>
    <row r="214" spans="3:23" x14ac:dyDescent="0.2"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  <c r="R214" s="34"/>
      <c r="S214" s="34"/>
      <c r="T214" s="34"/>
      <c r="U214" s="34"/>
      <c r="V214" s="34"/>
      <c r="W214" s="3"/>
    </row>
    <row r="215" spans="3:23" x14ac:dyDescent="0.2"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  <c r="R215" s="34"/>
      <c r="S215" s="34"/>
      <c r="T215" s="34"/>
      <c r="U215" s="34"/>
      <c r="V215" s="34"/>
      <c r="W215" s="3"/>
    </row>
    <row r="216" spans="3:23" x14ac:dyDescent="0.2"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  <c r="R216" s="34"/>
      <c r="S216" s="34"/>
      <c r="T216" s="34"/>
      <c r="U216" s="34"/>
      <c r="V216" s="34"/>
      <c r="W216" s="3"/>
    </row>
    <row r="217" spans="3:23" x14ac:dyDescent="0.2"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  <c r="R217" s="34"/>
      <c r="S217" s="34"/>
      <c r="T217" s="34"/>
      <c r="U217" s="34"/>
      <c r="V217" s="34"/>
      <c r="W217" s="3"/>
    </row>
    <row r="218" spans="3:23" x14ac:dyDescent="0.2"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  <c r="R218" s="34"/>
      <c r="S218" s="34"/>
      <c r="T218" s="34"/>
      <c r="U218" s="34"/>
      <c r="V218" s="34"/>
      <c r="W218" s="3"/>
    </row>
    <row r="219" spans="3:23" x14ac:dyDescent="0.2"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  <c r="R219" s="34"/>
      <c r="S219" s="34"/>
      <c r="T219" s="34"/>
      <c r="U219" s="34"/>
      <c r="V219" s="34"/>
      <c r="W219" s="3"/>
    </row>
    <row r="220" spans="3:23" x14ac:dyDescent="0.2"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  <c r="R220" s="34"/>
      <c r="S220" s="34"/>
      <c r="T220" s="34"/>
      <c r="U220" s="34"/>
      <c r="V220" s="34"/>
      <c r="W220" s="3"/>
    </row>
    <row r="221" spans="3:23" x14ac:dyDescent="0.2"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  <c r="R221" s="34"/>
      <c r="S221" s="34"/>
      <c r="T221" s="34"/>
      <c r="U221" s="34"/>
      <c r="V221" s="34"/>
      <c r="W221" s="3"/>
    </row>
    <row r="222" spans="3:23" x14ac:dyDescent="0.2"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  <c r="R222" s="34"/>
      <c r="S222" s="34"/>
      <c r="T222" s="34"/>
      <c r="U222" s="34"/>
      <c r="V222" s="34"/>
      <c r="W222" s="3"/>
    </row>
    <row r="223" spans="3:23" x14ac:dyDescent="0.2"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  <c r="R223" s="34"/>
      <c r="S223" s="34"/>
      <c r="T223" s="34"/>
      <c r="U223" s="34"/>
      <c r="V223" s="34"/>
      <c r="W223" s="3"/>
    </row>
    <row r="224" spans="3:23" x14ac:dyDescent="0.2"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  <c r="R224" s="34"/>
      <c r="S224" s="34"/>
      <c r="T224" s="34"/>
      <c r="U224" s="34"/>
      <c r="V224" s="34"/>
      <c r="W224" s="3"/>
    </row>
    <row r="225" spans="3:23" x14ac:dyDescent="0.2"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  <c r="R225" s="34"/>
      <c r="S225" s="34"/>
      <c r="T225" s="34"/>
      <c r="U225" s="34"/>
      <c r="V225" s="34"/>
      <c r="W225" s="3"/>
    </row>
    <row r="226" spans="3:23" x14ac:dyDescent="0.2"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  <c r="R226" s="34"/>
      <c r="S226" s="34"/>
      <c r="T226" s="34"/>
      <c r="U226" s="34"/>
      <c r="V226" s="34"/>
      <c r="W226" s="3"/>
    </row>
    <row r="227" spans="3:23" x14ac:dyDescent="0.2"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  <c r="R227" s="34"/>
      <c r="S227" s="34"/>
      <c r="T227" s="34"/>
      <c r="U227" s="34"/>
      <c r="V227" s="34"/>
      <c r="W227" s="3"/>
    </row>
    <row r="228" spans="3:23" x14ac:dyDescent="0.2"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  <c r="R228" s="34"/>
      <c r="S228" s="34"/>
      <c r="T228" s="34"/>
      <c r="U228" s="34"/>
      <c r="V228" s="34"/>
      <c r="W228" s="3"/>
    </row>
    <row r="229" spans="3:23" x14ac:dyDescent="0.2"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  <c r="R229" s="34"/>
      <c r="S229" s="34"/>
      <c r="T229" s="34"/>
      <c r="U229" s="34"/>
      <c r="V229" s="34"/>
      <c r="W229" s="3"/>
    </row>
    <row r="230" spans="3:23" x14ac:dyDescent="0.2"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  <c r="R230" s="34"/>
      <c r="S230" s="34"/>
      <c r="T230" s="34"/>
      <c r="U230" s="34"/>
      <c r="V230" s="34"/>
      <c r="W230" s="3"/>
    </row>
    <row r="231" spans="3:23" x14ac:dyDescent="0.2"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  <c r="R231" s="34"/>
      <c r="S231" s="34"/>
      <c r="T231" s="34"/>
      <c r="U231" s="34"/>
      <c r="V231" s="34"/>
      <c r="W231" s="3"/>
    </row>
    <row r="232" spans="3:23" x14ac:dyDescent="0.2"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  <c r="R232" s="34"/>
      <c r="S232" s="34"/>
      <c r="T232" s="34"/>
      <c r="U232" s="34"/>
      <c r="V232" s="34"/>
      <c r="W232" s="3"/>
    </row>
    <row r="233" spans="3:23" x14ac:dyDescent="0.2"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  <c r="R233" s="34"/>
      <c r="S233" s="34"/>
      <c r="T233" s="34"/>
      <c r="U233" s="34"/>
      <c r="V233" s="34"/>
      <c r="W233" s="3"/>
    </row>
    <row r="234" spans="3:23" x14ac:dyDescent="0.2"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  <c r="R234" s="34"/>
      <c r="S234" s="34"/>
      <c r="T234" s="34"/>
      <c r="U234" s="34"/>
      <c r="V234" s="34"/>
      <c r="W234" s="3"/>
    </row>
    <row r="235" spans="3:23" x14ac:dyDescent="0.2"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  <c r="R235" s="34"/>
      <c r="S235" s="34"/>
      <c r="T235" s="34"/>
      <c r="U235" s="34"/>
      <c r="V235" s="34"/>
      <c r="W235" s="3"/>
    </row>
    <row r="236" spans="3:23" x14ac:dyDescent="0.2"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  <c r="R236" s="34"/>
      <c r="S236" s="34"/>
      <c r="T236" s="34"/>
      <c r="U236" s="34"/>
      <c r="V236" s="34"/>
      <c r="W236" s="3"/>
    </row>
    <row r="237" spans="3:23" x14ac:dyDescent="0.2"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  <c r="R237" s="34"/>
      <c r="S237" s="34"/>
      <c r="T237" s="34"/>
      <c r="U237" s="34"/>
      <c r="V237" s="34"/>
      <c r="W237" s="3"/>
    </row>
    <row r="238" spans="3:23" x14ac:dyDescent="0.2"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  <c r="R238" s="34"/>
      <c r="S238" s="34"/>
      <c r="T238" s="34"/>
      <c r="U238" s="34"/>
      <c r="V238" s="34"/>
      <c r="W238" s="3"/>
    </row>
    <row r="239" spans="3:23" x14ac:dyDescent="0.2"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  <c r="R239" s="34"/>
      <c r="S239" s="34"/>
      <c r="T239" s="34"/>
      <c r="U239" s="34"/>
      <c r="V239" s="34"/>
      <c r="W239" s="3"/>
    </row>
    <row r="240" spans="3:23" x14ac:dyDescent="0.2">
      <c r="C240" s="34"/>
      <c r="D240" s="34"/>
      <c r="E240" s="34"/>
      <c r="F240" s="34"/>
      <c r="G240" s="34"/>
      <c r="H240" s="34"/>
      <c r="I240" s="34"/>
      <c r="J240" s="34"/>
      <c r="K240" s="34"/>
      <c r="L240" s="34"/>
      <c r="M240" s="34"/>
      <c r="N240" s="34"/>
      <c r="O240" s="34"/>
      <c r="P240" s="34"/>
      <c r="Q240" s="34"/>
      <c r="R240" s="34"/>
      <c r="S240" s="34"/>
      <c r="T240" s="34"/>
      <c r="U240" s="34"/>
      <c r="V240" s="34"/>
      <c r="W240" s="3"/>
    </row>
    <row r="241" spans="3:23" x14ac:dyDescent="0.2">
      <c r="C241" s="34"/>
      <c r="D241" s="34"/>
      <c r="E241" s="34"/>
      <c r="F241" s="34"/>
      <c r="G241" s="34"/>
      <c r="H241" s="34"/>
      <c r="I241" s="34"/>
      <c r="J241" s="34"/>
      <c r="K241" s="34"/>
      <c r="L241" s="34"/>
      <c r="M241" s="34"/>
      <c r="N241" s="34"/>
      <c r="O241" s="34"/>
      <c r="P241" s="34"/>
      <c r="Q241" s="34"/>
      <c r="R241" s="34"/>
      <c r="S241" s="34"/>
      <c r="T241" s="34"/>
      <c r="U241" s="34"/>
      <c r="V241" s="34"/>
      <c r="W241" s="3"/>
    </row>
    <row r="242" spans="3:23" x14ac:dyDescent="0.2">
      <c r="C242" s="34"/>
      <c r="D242" s="34"/>
      <c r="E242" s="34"/>
      <c r="F242" s="34"/>
      <c r="G242" s="34"/>
      <c r="H242" s="34"/>
      <c r="I242" s="34"/>
      <c r="J242" s="34"/>
      <c r="K242" s="34"/>
      <c r="L242" s="34"/>
      <c r="M242" s="34"/>
      <c r="N242" s="34"/>
      <c r="O242" s="34"/>
      <c r="P242" s="34"/>
      <c r="Q242" s="34"/>
      <c r="R242" s="34"/>
      <c r="S242" s="34"/>
      <c r="T242" s="34"/>
      <c r="U242" s="34"/>
      <c r="V242" s="34"/>
      <c r="W242" s="3"/>
    </row>
    <row r="243" spans="3:23" x14ac:dyDescent="0.2">
      <c r="C243" s="34"/>
      <c r="D243" s="34"/>
      <c r="E243" s="34"/>
      <c r="F243" s="34"/>
      <c r="G243" s="34"/>
      <c r="H243" s="34"/>
      <c r="I243" s="34"/>
      <c r="J243" s="34"/>
      <c r="K243" s="34"/>
      <c r="L243" s="34"/>
      <c r="M243" s="34"/>
      <c r="N243" s="34"/>
      <c r="O243" s="34"/>
      <c r="P243" s="34"/>
      <c r="Q243" s="34"/>
      <c r="R243" s="34"/>
      <c r="S243" s="34"/>
      <c r="T243" s="34"/>
      <c r="U243" s="34"/>
      <c r="V243" s="34"/>
      <c r="W243" s="3"/>
    </row>
    <row r="244" spans="3:23" x14ac:dyDescent="0.2">
      <c r="C244" s="34"/>
      <c r="D244" s="34"/>
      <c r="E244" s="34"/>
      <c r="F244" s="34"/>
      <c r="G244" s="34"/>
      <c r="H244" s="34"/>
      <c r="I244" s="34"/>
      <c r="J244" s="34"/>
      <c r="K244" s="34"/>
      <c r="L244" s="34"/>
      <c r="M244" s="34"/>
      <c r="N244" s="34"/>
      <c r="O244" s="34"/>
      <c r="P244" s="34"/>
      <c r="Q244" s="34"/>
      <c r="R244" s="34"/>
      <c r="S244" s="34"/>
      <c r="T244" s="34"/>
      <c r="U244" s="34"/>
      <c r="V244" s="34"/>
      <c r="W244" s="3"/>
    </row>
    <row r="245" spans="3:23" x14ac:dyDescent="0.2">
      <c r="C245" s="34"/>
      <c r="D245" s="34"/>
      <c r="E245" s="34"/>
      <c r="F245" s="34"/>
      <c r="G245" s="34"/>
      <c r="H245" s="34"/>
      <c r="I245" s="34"/>
      <c r="J245" s="34"/>
      <c r="K245" s="34"/>
      <c r="L245" s="34"/>
      <c r="M245" s="34"/>
      <c r="N245" s="34"/>
      <c r="O245" s="34"/>
      <c r="P245" s="34"/>
      <c r="Q245" s="34"/>
      <c r="R245" s="34"/>
      <c r="S245" s="34"/>
      <c r="T245" s="34"/>
      <c r="U245" s="34"/>
      <c r="V245" s="34"/>
      <c r="W245" s="3"/>
    </row>
    <row r="246" spans="3:23" x14ac:dyDescent="0.2">
      <c r="C246" s="34"/>
      <c r="D246" s="34"/>
      <c r="E246" s="34"/>
      <c r="F246" s="34"/>
      <c r="G246" s="34"/>
      <c r="H246" s="34"/>
      <c r="I246" s="34"/>
      <c r="J246" s="34"/>
      <c r="K246" s="34"/>
      <c r="L246" s="34"/>
      <c r="M246" s="34"/>
      <c r="N246" s="34"/>
      <c r="O246" s="34"/>
      <c r="P246" s="34"/>
      <c r="Q246" s="34"/>
      <c r="R246" s="34"/>
      <c r="S246" s="34"/>
      <c r="T246" s="34"/>
      <c r="U246" s="34"/>
      <c r="V246" s="34"/>
      <c r="W246" s="3"/>
    </row>
    <row r="247" spans="3:23" x14ac:dyDescent="0.2">
      <c r="C247" s="34"/>
      <c r="D247" s="34"/>
      <c r="E247" s="34"/>
      <c r="F247" s="34"/>
      <c r="G247" s="34"/>
      <c r="H247" s="34"/>
      <c r="I247" s="34"/>
      <c r="J247" s="34"/>
      <c r="K247" s="34"/>
      <c r="L247" s="34"/>
      <c r="M247" s="34"/>
      <c r="N247" s="34"/>
      <c r="O247" s="34"/>
      <c r="P247" s="34"/>
      <c r="Q247" s="34"/>
      <c r="R247" s="34"/>
      <c r="S247" s="34"/>
      <c r="T247" s="34"/>
      <c r="U247" s="34"/>
      <c r="V247" s="34"/>
      <c r="W247" s="3"/>
    </row>
    <row r="248" spans="3:23" x14ac:dyDescent="0.2">
      <c r="C248" s="34"/>
      <c r="D248" s="34"/>
      <c r="E248" s="34"/>
      <c r="F248" s="34"/>
      <c r="G248" s="34"/>
      <c r="H248" s="34"/>
      <c r="I248" s="34"/>
      <c r="J248" s="34"/>
      <c r="K248" s="34"/>
      <c r="L248" s="34"/>
      <c r="M248" s="34"/>
      <c r="N248" s="34"/>
      <c r="O248" s="34"/>
      <c r="P248" s="34"/>
      <c r="Q248" s="34"/>
      <c r="R248" s="34"/>
      <c r="S248" s="34"/>
      <c r="T248" s="34"/>
      <c r="U248" s="34"/>
      <c r="V248" s="34"/>
      <c r="W248" s="3"/>
    </row>
    <row r="249" spans="3:23" x14ac:dyDescent="0.2">
      <c r="C249" s="34"/>
      <c r="D249" s="34"/>
      <c r="E249" s="34"/>
      <c r="F249" s="34"/>
      <c r="G249" s="34"/>
      <c r="H249" s="34"/>
      <c r="I249" s="34"/>
      <c r="J249" s="34"/>
      <c r="K249" s="34"/>
      <c r="L249" s="34"/>
      <c r="M249" s="34"/>
      <c r="N249" s="34"/>
      <c r="O249" s="34"/>
      <c r="P249" s="34"/>
      <c r="Q249" s="34"/>
      <c r="R249" s="34"/>
      <c r="S249" s="34"/>
      <c r="T249" s="34"/>
      <c r="U249" s="34"/>
      <c r="V249" s="34"/>
      <c r="W249" s="3"/>
    </row>
    <row r="250" spans="3:23" x14ac:dyDescent="0.2"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4"/>
      <c r="R250" s="34"/>
      <c r="S250" s="34"/>
      <c r="T250" s="34"/>
      <c r="U250" s="34"/>
      <c r="V250" s="34"/>
      <c r="W250" s="3"/>
    </row>
    <row r="251" spans="3:23" x14ac:dyDescent="0.2">
      <c r="C251" s="34"/>
      <c r="D251" s="34"/>
      <c r="E251" s="34"/>
      <c r="F251" s="34"/>
      <c r="G251" s="34"/>
      <c r="H251" s="34"/>
      <c r="I251" s="34"/>
      <c r="J251" s="34"/>
      <c r="K251" s="34"/>
      <c r="L251" s="34"/>
      <c r="M251" s="34"/>
      <c r="N251" s="34"/>
      <c r="O251" s="34"/>
      <c r="P251" s="34"/>
      <c r="Q251" s="34"/>
      <c r="R251" s="34"/>
      <c r="S251" s="34"/>
      <c r="T251" s="34"/>
      <c r="U251" s="34"/>
      <c r="V251" s="34"/>
      <c r="W251" s="3"/>
    </row>
    <row r="252" spans="3:23" x14ac:dyDescent="0.2">
      <c r="C252" s="34"/>
      <c r="D252" s="34"/>
      <c r="E252" s="34"/>
      <c r="F252" s="34"/>
      <c r="G252" s="34"/>
      <c r="H252" s="34"/>
      <c r="I252" s="34"/>
      <c r="J252" s="34"/>
      <c r="K252" s="34"/>
      <c r="L252" s="34"/>
      <c r="M252" s="34"/>
      <c r="N252" s="34"/>
      <c r="O252" s="34"/>
      <c r="P252" s="34"/>
      <c r="Q252" s="34"/>
      <c r="R252" s="34"/>
      <c r="S252" s="34"/>
      <c r="T252" s="34"/>
      <c r="U252" s="34"/>
      <c r="V252" s="34"/>
      <c r="W252" s="3"/>
    </row>
    <row r="253" spans="3:23" x14ac:dyDescent="0.2"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4"/>
      <c r="R253" s="34"/>
      <c r="S253" s="34"/>
      <c r="T253" s="34"/>
      <c r="U253" s="34"/>
      <c r="V253" s="34"/>
      <c r="W253" s="3"/>
    </row>
    <row r="254" spans="3:23" x14ac:dyDescent="0.2">
      <c r="C254" s="34"/>
      <c r="D254" s="34"/>
      <c r="E254" s="34"/>
      <c r="F254" s="34"/>
      <c r="G254" s="34"/>
      <c r="H254" s="34"/>
      <c r="I254" s="34"/>
      <c r="J254" s="34"/>
      <c r="K254" s="34"/>
      <c r="L254" s="34"/>
      <c r="M254" s="34"/>
      <c r="N254" s="34"/>
      <c r="O254" s="34"/>
      <c r="P254" s="34"/>
      <c r="Q254" s="34"/>
      <c r="R254" s="34"/>
      <c r="S254" s="34"/>
      <c r="T254" s="34"/>
      <c r="U254" s="34"/>
      <c r="V254" s="34"/>
      <c r="W254" s="3"/>
    </row>
    <row r="255" spans="3:23" x14ac:dyDescent="0.2">
      <c r="C255" s="34"/>
      <c r="D255" s="34"/>
      <c r="E255" s="34"/>
      <c r="F255" s="34"/>
      <c r="G255" s="34"/>
      <c r="H255" s="34"/>
      <c r="I255" s="34"/>
      <c r="J255" s="34"/>
      <c r="K255" s="34"/>
      <c r="L255" s="34"/>
      <c r="M255" s="34"/>
      <c r="N255" s="34"/>
      <c r="O255" s="34"/>
      <c r="P255" s="34"/>
      <c r="Q255" s="34"/>
      <c r="R255" s="34"/>
      <c r="S255" s="34"/>
      <c r="T255" s="34"/>
      <c r="U255" s="34"/>
      <c r="V255" s="34"/>
      <c r="W255" s="3"/>
    </row>
    <row r="256" spans="3:23" x14ac:dyDescent="0.2">
      <c r="C256" s="34"/>
      <c r="D256" s="34"/>
      <c r="E256" s="34"/>
      <c r="F256" s="34"/>
      <c r="G256" s="34"/>
      <c r="H256" s="34"/>
      <c r="I256" s="34"/>
      <c r="J256" s="34"/>
      <c r="K256" s="34"/>
      <c r="L256" s="34"/>
      <c r="M256" s="34"/>
      <c r="N256" s="34"/>
      <c r="O256" s="34"/>
      <c r="P256" s="34"/>
      <c r="Q256" s="34"/>
      <c r="R256" s="34"/>
      <c r="S256" s="34"/>
      <c r="T256" s="34"/>
      <c r="U256" s="34"/>
      <c r="V256" s="34"/>
      <c r="W256" s="3"/>
    </row>
    <row r="257" spans="3:23" x14ac:dyDescent="0.2">
      <c r="C257" s="34"/>
      <c r="D257" s="34"/>
      <c r="E257" s="34"/>
      <c r="F257" s="34"/>
      <c r="G257" s="34"/>
      <c r="H257" s="34"/>
      <c r="I257" s="34"/>
      <c r="J257" s="34"/>
      <c r="K257" s="34"/>
      <c r="L257" s="34"/>
      <c r="M257" s="34"/>
      <c r="N257" s="34"/>
      <c r="O257" s="34"/>
      <c r="P257" s="34"/>
      <c r="Q257" s="34"/>
      <c r="R257" s="34"/>
      <c r="S257" s="34"/>
      <c r="T257" s="34"/>
      <c r="U257" s="34"/>
      <c r="V257" s="34"/>
      <c r="W257" s="3"/>
    </row>
    <row r="258" spans="3:23" x14ac:dyDescent="0.2">
      <c r="C258" s="34"/>
      <c r="D258" s="34"/>
      <c r="E258" s="34"/>
      <c r="F258" s="34"/>
      <c r="G258" s="34"/>
      <c r="H258" s="34"/>
      <c r="I258" s="34"/>
      <c r="J258" s="34"/>
      <c r="K258" s="34"/>
      <c r="L258" s="34"/>
      <c r="M258" s="34"/>
      <c r="N258" s="34"/>
      <c r="O258" s="34"/>
      <c r="P258" s="34"/>
      <c r="Q258" s="34"/>
      <c r="R258" s="34"/>
      <c r="S258" s="34"/>
      <c r="T258" s="34"/>
      <c r="U258" s="34"/>
      <c r="V258" s="34"/>
      <c r="W258" s="3"/>
    </row>
    <row r="259" spans="3:23" x14ac:dyDescent="0.2">
      <c r="C259" s="34"/>
      <c r="D259" s="34"/>
      <c r="E259" s="34"/>
      <c r="F259" s="34"/>
      <c r="G259" s="34"/>
      <c r="H259" s="34"/>
      <c r="I259" s="34"/>
      <c r="J259" s="34"/>
      <c r="K259" s="34"/>
      <c r="L259" s="34"/>
      <c r="M259" s="34"/>
      <c r="N259" s="34"/>
      <c r="O259" s="34"/>
      <c r="P259" s="34"/>
      <c r="Q259" s="34"/>
      <c r="R259" s="34"/>
      <c r="S259" s="34"/>
      <c r="T259" s="34"/>
      <c r="U259" s="34"/>
      <c r="V259" s="34"/>
      <c r="W259" s="3"/>
    </row>
    <row r="260" spans="3:23" x14ac:dyDescent="0.2">
      <c r="C260" s="34"/>
      <c r="D260" s="34"/>
      <c r="E260" s="34"/>
      <c r="F260" s="34"/>
      <c r="G260" s="34"/>
      <c r="H260" s="34"/>
      <c r="I260" s="34"/>
      <c r="J260" s="34"/>
      <c r="K260" s="34"/>
      <c r="L260" s="34"/>
      <c r="M260" s="34"/>
      <c r="N260" s="34"/>
      <c r="O260" s="34"/>
      <c r="P260" s="34"/>
      <c r="Q260" s="34"/>
      <c r="R260" s="34"/>
      <c r="S260" s="34"/>
      <c r="T260" s="34"/>
      <c r="U260" s="34"/>
      <c r="V260" s="34"/>
      <c r="W260" s="3"/>
    </row>
    <row r="261" spans="3:23" x14ac:dyDescent="0.2">
      <c r="C261" s="34"/>
      <c r="D261" s="34"/>
      <c r="E261" s="34"/>
      <c r="F261" s="34"/>
      <c r="G261" s="34"/>
      <c r="H261" s="34"/>
      <c r="I261" s="34"/>
      <c r="J261" s="34"/>
      <c r="K261" s="34"/>
      <c r="L261" s="34"/>
      <c r="M261" s="34"/>
      <c r="N261" s="34"/>
      <c r="O261" s="34"/>
      <c r="P261" s="34"/>
      <c r="Q261" s="34"/>
      <c r="R261" s="34"/>
      <c r="S261" s="34"/>
      <c r="T261" s="34"/>
      <c r="U261" s="34"/>
      <c r="V261" s="34"/>
      <c r="W261" s="3"/>
    </row>
    <row r="262" spans="3:23" x14ac:dyDescent="0.2">
      <c r="C262" s="34"/>
      <c r="D262" s="34"/>
      <c r="E262" s="34"/>
      <c r="F262" s="34"/>
      <c r="G262" s="34"/>
      <c r="H262" s="34"/>
      <c r="I262" s="34"/>
      <c r="J262" s="34"/>
      <c r="K262" s="34"/>
      <c r="L262" s="34"/>
      <c r="M262" s="34"/>
      <c r="N262" s="34"/>
      <c r="O262" s="34"/>
      <c r="P262" s="34"/>
      <c r="Q262" s="34"/>
      <c r="R262" s="34"/>
      <c r="S262" s="34"/>
      <c r="T262" s="34"/>
      <c r="U262" s="34"/>
      <c r="V262" s="34"/>
      <c r="W262" s="3"/>
    </row>
    <row r="263" spans="3:23" x14ac:dyDescent="0.2">
      <c r="C263" s="34"/>
      <c r="D263" s="34"/>
      <c r="E263" s="34"/>
      <c r="F263" s="34"/>
      <c r="G263" s="34"/>
      <c r="H263" s="34"/>
      <c r="I263" s="34"/>
      <c r="J263" s="34"/>
      <c r="K263" s="34"/>
      <c r="L263" s="34"/>
      <c r="M263" s="34"/>
      <c r="N263" s="34"/>
      <c r="O263" s="34"/>
      <c r="P263" s="34"/>
      <c r="Q263" s="34"/>
      <c r="R263" s="34"/>
      <c r="S263" s="34"/>
      <c r="T263" s="34"/>
      <c r="U263" s="34"/>
      <c r="V263" s="34"/>
      <c r="W263" s="3"/>
    </row>
    <row r="264" spans="3:23" x14ac:dyDescent="0.2">
      <c r="C264" s="34"/>
      <c r="D264" s="34"/>
      <c r="E264" s="34"/>
      <c r="F264" s="34"/>
      <c r="G264" s="34"/>
      <c r="H264" s="34"/>
      <c r="I264" s="34"/>
      <c r="J264" s="34"/>
      <c r="K264" s="34"/>
      <c r="L264" s="34"/>
      <c r="M264" s="34"/>
      <c r="N264" s="34"/>
      <c r="O264" s="34"/>
      <c r="P264" s="34"/>
      <c r="Q264" s="34"/>
      <c r="R264" s="34"/>
      <c r="S264" s="34"/>
      <c r="T264" s="34"/>
      <c r="U264" s="34"/>
      <c r="V264" s="34"/>
      <c r="W264" s="3"/>
    </row>
    <row r="265" spans="3:23" x14ac:dyDescent="0.2">
      <c r="C265" s="34"/>
      <c r="D265" s="34"/>
      <c r="E265" s="34"/>
      <c r="F265" s="34"/>
      <c r="G265" s="34"/>
      <c r="H265" s="34"/>
      <c r="I265" s="34"/>
      <c r="J265" s="34"/>
      <c r="K265" s="34"/>
      <c r="L265" s="34"/>
      <c r="M265" s="34"/>
      <c r="N265" s="34"/>
      <c r="O265" s="34"/>
      <c r="P265" s="34"/>
      <c r="Q265" s="34"/>
      <c r="R265" s="34"/>
      <c r="S265" s="34"/>
      <c r="T265" s="34"/>
      <c r="U265" s="34"/>
      <c r="V265" s="34"/>
      <c r="W265" s="3"/>
    </row>
    <row r="266" spans="3:23" x14ac:dyDescent="0.2">
      <c r="C266" s="34"/>
      <c r="D266" s="34"/>
      <c r="E266" s="34"/>
      <c r="F266" s="34"/>
      <c r="G266" s="34"/>
      <c r="H266" s="34"/>
      <c r="I266" s="34"/>
      <c r="J266" s="34"/>
      <c r="K266" s="34"/>
      <c r="L266" s="34"/>
      <c r="M266" s="34"/>
      <c r="N266" s="34"/>
      <c r="O266" s="34"/>
      <c r="P266" s="34"/>
      <c r="Q266" s="34"/>
      <c r="R266" s="34"/>
      <c r="S266" s="34"/>
      <c r="T266" s="34"/>
      <c r="U266" s="34"/>
      <c r="V266" s="34"/>
      <c r="W266" s="3"/>
    </row>
    <row r="267" spans="3:23" x14ac:dyDescent="0.2">
      <c r="C267" s="34"/>
      <c r="D267" s="34"/>
      <c r="E267" s="34"/>
      <c r="F267" s="34"/>
      <c r="G267" s="34"/>
      <c r="H267" s="34"/>
      <c r="I267" s="34"/>
      <c r="J267" s="34"/>
      <c r="K267" s="34"/>
      <c r="L267" s="34"/>
      <c r="M267" s="34"/>
      <c r="N267" s="34"/>
      <c r="O267" s="34"/>
      <c r="P267" s="34"/>
      <c r="Q267" s="34"/>
      <c r="R267" s="34"/>
      <c r="S267" s="34"/>
      <c r="T267" s="34"/>
      <c r="U267" s="34"/>
      <c r="V267" s="34"/>
      <c r="W267" s="3"/>
    </row>
    <row r="268" spans="3:23" x14ac:dyDescent="0.2">
      <c r="C268" s="34"/>
      <c r="D268" s="34"/>
      <c r="E268" s="34"/>
      <c r="F268" s="34"/>
      <c r="G268" s="34"/>
      <c r="H268" s="34"/>
      <c r="I268" s="34"/>
      <c r="J268" s="34"/>
      <c r="K268" s="34"/>
      <c r="L268" s="34"/>
      <c r="M268" s="34"/>
      <c r="N268" s="34"/>
      <c r="O268" s="34"/>
      <c r="P268" s="34"/>
      <c r="Q268" s="34"/>
      <c r="R268" s="34"/>
      <c r="S268" s="34"/>
      <c r="T268" s="34"/>
      <c r="U268" s="34"/>
      <c r="V268" s="34"/>
      <c r="W268" s="3"/>
    </row>
    <row r="269" spans="3:23" x14ac:dyDescent="0.2">
      <c r="C269" s="34"/>
      <c r="D269" s="34"/>
      <c r="E269" s="34"/>
      <c r="F269" s="34"/>
      <c r="G269" s="34"/>
      <c r="H269" s="34"/>
      <c r="I269" s="34"/>
      <c r="J269" s="34"/>
      <c r="K269" s="34"/>
      <c r="L269" s="34"/>
      <c r="M269" s="34"/>
      <c r="N269" s="34"/>
      <c r="O269" s="34"/>
      <c r="P269" s="34"/>
      <c r="Q269" s="34"/>
      <c r="R269" s="34"/>
      <c r="S269" s="34"/>
      <c r="T269" s="34"/>
      <c r="U269" s="34"/>
      <c r="V269" s="34"/>
      <c r="W269" s="3"/>
    </row>
    <row r="270" spans="3:23" x14ac:dyDescent="0.2">
      <c r="C270" s="34"/>
      <c r="D270" s="34"/>
      <c r="E270" s="34"/>
      <c r="F270" s="34"/>
      <c r="G270" s="34"/>
      <c r="H270" s="34"/>
      <c r="I270" s="34"/>
      <c r="J270" s="34"/>
      <c r="K270" s="34"/>
      <c r="L270" s="34"/>
      <c r="M270" s="34"/>
      <c r="N270" s="34"/>
      <c r="O270" s="34"/>
      <c r="P270" s="34"/>
      <c r="Q270" s="34"/>
      <c r="R270" s="34"/>
      <c r="S270" s="34"/>
      <c r="T270" s="34"/>
      <c r="U270" s="34"/>
      <c r="V270" s="34"/>
      <c r="W270" s="3"/>
    </row>
    <row r="271" spans="3:23" x14ac:dyDescent="0.2">
      <c r="C271" s="34"/>
      <c r="D271" s="34"/>
      <c r="E271" s="34"/>
      <c r="F271" s="34"/>
      <c r="G271" s="34"/>
      <c r="H271" s="34"/>
      <c r="I271" s="34"/>
      <c r="J271" s="34"/>
      <c r="K271" s="34"/>
      <c r="L271" s="34"/>
      <c r="M271" s="34"/>
      <c r="N271" s="34"/>
      <c r="O271" s="34"/>
      <c r="P271" s="34"/>
      <c r="Q271" s="34"/>
      <c r="R271" s="34"/>
      <c r="S271" s="34"/>
      <c r="T271" s="34"/>
      <c r="U271" s="34"/>
      <c r="V271" s="34"/>
      <c r="W271" s="3"/>
    </row>
    <row r="272" spans="3:23" x14ac:dyDescent="0.2">
      <c r="C272" s="34"/>
      <c r="D272" s="34"/>
      <c r="E272" s="34"/>
      <c r="F272" s="34"/>
      <c r="G272" s="34"/>
      <c r="H272" s="34"/>
      <c r="I272" s="34"/>
      <c r="J272" s="34"/>
      <c r="K272" s="34"/>
      <c r="L272" s="34"/>
      <c r="M272" s="34"/>
      <c r="N272" s="34"/>
      <c r="O272" s="34"/>
      <c r="P272" s="34"/>
      <c r="Q272" s="34"/>
      <c r="R272" s="34"/>
      <c r="S272" s="34"/>
      <c r="T272" s="34"/>
      <c r="U272" s="34"/>
      <c r="V272" s="34"/>
      <c r="W272" s="3"/>
    </row>
    <row r="273" spans="3:23" x14ac:dyDescent="0.2">
      <c r="C273" s="34"/>
      <c r="D273" s="34"/>
      <c r="E273" s="34"/>
      <c r="F273" s="34"/>
      <c r="G273" s="34"/>
      <c r="H273" s="34"/>
      <c r="I273" s="34"/>
      <c r="J273" s="34"/>
      <c r="K273" s="34"/>
      <c r="L273" s="34"/>
      <c r="M273" s="34"/>
      <c r="N273" s="34"/>
      <c r="O273" s="34"/>
      <c r="P273" s="34"/>
      <c r="Q273" s="34"/>
      <c r="R273" s="34"/>
      <c r="S273" s="34"/>
      <c r="T273" s="34"/>
      <c r="U273" s="34"/>
      <c r="V273" s="34"/>
      <c r="W273" s="3"/>
    </row>
    <row r="274" spans="3:23" x14ac:dyDescent="0.2">
      <c r="C274" s="34"/>
      <c r="D274" s="34"/>
      <c r="E274" s="34"/>
      <c r="F274" s="34"/>
      <c r="G274" s="34"/>
      <c r="H274" s="34"/>
      <c r="I274" s="34"/>
      <c r="J274" s="34"/>
      <c r="K274" s="34"/>
      <c r="L274" s="34"/>
      <c r="M274" s="34"/>
      <c r="N274" s="34"/>
      <c r="O274" s="34"/>
      <c r="P274" s="34"/>
      <c r="Q274" s="34"/>
      <c r="R274" s="34"/>
      <c r="S274" s="34"/>
      <c r="T274" s="34"/>
      <c r="U274" s="34"/>
      <c r="V274" s="34"/>
      <c r="W274" s="3"/>
    </row>
    <row r="275" spans="3:23" x14ac:dyDescent="0.2">
      <c r="C275" s="34"/>
      <c r="D275" s="34"/>
      <c r="E275" s="34"/>
      <c r="F275" s="34"/>
      <c r="G275" s="34"/>
      <c r="H275" s="34"/>
      <c r="I275" s="34"/>
      <c r="J275" s="34"/>
      <c r="K275" s="34"/>
      <c r="L275" s="34"/>
      <c r="M275" s="34"/>
      <c r="N275" s="34"/>
      <c r="O275" s="34"/>
      <c r="P275" s="34"/>
      <c r="Q275" s="34"/>
      <c r="R275" s="34"/>
      <c r="S275" s="34"/>
      <c r="T275" s="34"/>
      <c r="U275" s="34"/>
      <c r="V275" s="34"/>
      <c r="W275" s="3"/>
    </row>
    <row r="276" spans="3:23" x14ac:dyDescent="0.2">
      <c r="C276" s="34"/>
      <c r="D276" s="34"/>
      <c r="E276" s="34"/>
      <c r="F276" s="34"/>
      <c r="G276" s="34"/>
      <c r="H276" s="34"/>
      <c r="I276" s="34"/>
      <c r="J276" s="34"/>
      <c r="K276" s="34"/>
      <c r="L276" s="34"/>
      <c r="M276" s="34"/>
      <c r="N276" s="34"/>
      <c r="O276" s="34"/>
      <c r="P276" s="34"/>
      <c r="Q276" s="34"/>
      <c r="R276" s="34"/>
      <c r="S276" s="34"/>
      <c r="T276" s="34"/>
      <c r="U276" s="34"/>
      <c r="V276" s="34"/>
      <c r="W276" s="3"/>
    </row>
    <row r="277" spans="3:23" x14ac:dyDescent="0.2">
      <c r="C277" s="34"/>
      <c r="D277" s="34"/>
      <c r="E277" s="34"/>
      <c r="F277" s="34"/>
      <c r="G277" s="34"/>
      <c r="H277" s="34"/>
      <c r="I277" s="34"/>
      <c r="J277" s="34"/>
      <c r="K277" s="34"/>
      <c r="L277" s="34"/>
      <c r="M277" s="34"/>
      <c r="N277" s="34"/>
      <c r="O277" s="34"/>
      <c r="P277" s="34"/>
      <c r="Q277" s="34"/>
      <c r="R277" s="34"/>
      <c r="S277" s="34"/>
      <c r="T277" s="34"/>
      <c r="U277" s="34"/>
      <c r="V277" s="34"/>
      <c r="W277" s="3"/>
    </row>
    <row r="278" spans="3:23" x14ac:dyDescent="0.2">
      <c r="C278" s="34"/>
      <c r="D278" s="34"/>
      <c r="E278" s="34"/>
      <c r="F278" s="34"/>
      <c r="G278" s="34"/>
      <c r="H278" s="34"/>
      <c r="I278" s="34"/>
      <c r="J278" s="34"/>
      <c r="K278" s="34"/>
      <c r="L278" s="34"/>
      <c r="M278" s="34"/>
      <c r="N278" s="34"/>
      <c r="O278" s="34"/>
      <c r="P278" s="34"/>
      <c r="Q278" s="34"/>
      <c r="R278" s="34"/>
      <c r="S278" s="34"/>
      <c r="T278" s="34"/>
      <c r="U278" s="34"/>
      <c r="V278" s="34"/>
      <c r="W278" s="3"/>
    </row>
    <row r="279" spans="3:23" x14ac:dyDescent="0.2">
      <c r="C279" s="34"/>
      <c r="D279" s="34"/>
      <c r="E279" s="34"/>
      <c r="F279" s="34"/>
      <c r="G279" s="34"/>
      <c r="H279" s="34"/>
      <c r="I279" s="34"/>
      <c r="J279" s="34"/>
      <c r="K279" s="34"/>
      <c r="L279" s="34"/>
      <c r="M279" s="34"/>
      <c r="N279" s="34"/>
      <c r="O279" s="34"/>
      <c r="P279" s="34"/>
      <c r="Q279" s="34"/>
      <c r="R279" s="34"/>
      <c r="S279" s="34"/>
      <c r="T279" s="34"/>
      <c r="U279" s="34"/>
      <c r="V279" s="34"/>
      <c r="W279" s="3"/>
    </row>
    <row r="280" spans="3:23" x14ac:dyDescent="0.2">
      <c r="C280" s="34"/>
      <c r="D280" s="34"/>
      <c r="E280" s="34"/>
      <c r="F280" s="34"/>
      <c r="G280" s="34"/>
      <c r="H280" s="34"/>
      <c r="I280" s="34"/>
      <c r="J280" s="34"/>
      <c r="K280" s="34"/>
      <c r="L280" s="34"/>
      <c r="M280" s="34"/>
      <c r="N280" s="34"/>
      <c r="O280" s="34"/>
      <c r="P280" s="34"/>
      <c r="Q280" s="34"/>
      <c r="R280" s="34"/>
      <c r="S280" s="34"/>
      <c r="T280" s="34"/>
      <c r="U280" s="34"/>
      <c r="V280" s="34"/>
      <c r="W280" s="3"/>
    </row>
    <row r="281" spans="3:23" x14ac:dyDescent="0.2">
      <c r="C281" s="34"/>
      <c r="D281" s="34"/>
      <c r="E281" s="34"/>
      <c r="F281" s="34"/>
      <c r="G281" s="34"/>
      <c r="H281" s="34"/>
      <c r="I281" s="34"/>
      <c r="J281" s="34"/>
      <c r="K281" s="34"/>
      <c r="L281" s="34"/>
      <c r="M281" s="34"/>
      <c r="N281" s="34"/>
      <c r="O281" s="34"/>
      <c r="P281" s="34"/>
      <c r="Q281" s="34"/>
      <c r="R281" s="34"/>
      <c r="S281" s="34"/>
      <c r="T281" s="34"/>
      <c r="U281" s="34"/>
      <c r="V281" s="34"/>
      <c r="W281" s="3"/>
    </row>
    <row r="282" spans="3:23" x14ac:dyDescent="0.2">
      <c r="C282" s="34"/>
      <c r="D282" s="34"/>
      <c r="E282" s="34"/>
      <c r="F282" s="34"/>
      <c r="G282" s="34"/>
      <c r="H282" s="34"/>
      <c r="I282" s="34"/>
      <c r="J282" s="34"/>
      <c r="K282" s="34"/>
      <c r="L282" s="34"/>
      <c r="M282" s="34"/>
      <c r="N282" s="34"/>
      <c r="O282" s="34"/>
      <c r="P282" s="34"/>
      <c r="Q282" s="34"/>
      <c r="R282" s="34"/>
      <c r="S282" s="34"/>
      <c r="T282" s="34"/>
      <c r="U282" s="34"/>
      <c r="V282" s="34"/>
      <c r="W282" s="3"/>
    </row>
    <row r="283" spans="3:23" x14ac:dyDescent="0.2">
      <c r="C283" s="34"/>
      <c r="D283" s="34"/>
      <c r="E283" s="34"/>
      <c r="F283" s="34"/>
      <c r="G283" s="34"/>
      <c r="H283" s="34"/>
      <c r="I283" s="34"/>
      <c r="J283" s="34"/>
      <c r="K283" s="34"/>
      <c r="L283" s="34"/>
      <c r="M283" s="34"/>
      <c r="N283" s="34"/>
      <c r="O283" s="34"/>
      <c r="P283" s="34"/>
      <c r="Q283" s="34"/>
      <c r="R283" s="34"/>
      <c r="S283" s="34"/>
      <c r="T283" s="34"/>
      <c r="U283" s="34"/>
      <c r="V283" s="34"/>
      <c r="W283" s="3"/>
    </row>
    <row r="284" spans="3:23" x14ac:dyDescent="0.2">
      <c r="C284" s="34"/>
      <c r="D284" s="34"/>
      <c r="E284" s="34"/>
      <c r="F284" s="34"/>
      <c r="G284" s="34"/>
      <c r="H284" s="34"/>
      <c r="I284" s="34"/>
      <c r="J284" s="34"/>
      <c r="K284" s="34"/>
      <c r="L284" s="34"/>
      <c r="M284" s="34"/>
      <c r="N284" s="34"/>
      <c r="O284" s="34"/>
      <c r="P284" s="34"/>
      <c r="Q284" s="34"/>
      <c r="R284" s="34"/>
      <c r="S284" s="34"/>
      <c r="T284" s="34"/>
      <c r="U284" s="34"/>
      <c r="V284" s="34"/>
      <c r="W284" s="3"/>
    </row>
    <row r="285" spans="3:23" x14ac:dyDescent="0.2">
      <c r="C285" s="34"/>
      <c r="D285" s="34"/>
      <c r="E285" s="34"/>
      <c r="F285" s="34"/>
      <c r="G285" s="34"/>
      <c r="H285" s="34"/>
      <c r="I285" s="34"/>
      <c r="J285" s="34"/>
      <c r="K285" s="34"/>
      <c r="L285" s="34"/>
      <c r="M285" s="34"/>
      <c r="N285" s="34"/>
      <c r="O285" s="34"/>
      <c r="P285" s="34"/>
      <c r="Q285" s="34"/>
      <c r="R285" s="34"/>
      <c r="S285" s="34"/>
      <c r="T285" s="34"/>
      <c r="U285" s="34"/>
      <c r="V285" s="34"/>
      <c r="W285" s="3"/>
    </row>
    <row r="286" spans="3:23" x14ac:dyDescent="0.2">
      <c r="C286" s="34"/>
      <c r="D286" s="34"/>
      <c r="E286" s="34"/>
      <c r="F286" s="34"/>
      <c r="G286" s="34"/>
      <c r="H286" s="34"/>
      <c r="I286" s="34"/>
      <c r="J286" s="34"/>
      <c r="K286" s="34"/>
      <c r="L286" s="34"/>
      <c r="M286" s="34"/>
      <c r="N286" s="34"/>
      <c r="O286" s="34"/>
      <c r="P286" s="34"/>
      <c r="Q286" s="34"/>
      <c r="R286" s="34"/>
      <c r="S286" s="34"/>
      <c r="T286" s="34"/>
      <c r="U286" s="34"/>
      <c r="V286" s="34"/>
      <c r="W286" s="3"/>
    </row>
    <row r="287" spans="3:23" x14ac:dyDescent="0.2">
      <c r="C287" s="34"/>
      <c r="D287" s="34"/>
      <c r="E287" s="34"/>
      <c r="F287" s="34"/>
      <c r="G287" s="34"/>
      <c r="H287" s="34"/>
      <c r="I287" s="34"/>
      <c r="J287" s="34"/>
      <c r="K287" s="34"/>
      <c r="L287" s="34"/>
      <c r="M287" s="34"/>
      <c r="N287" s="34"/>
      <c r="O287" s="34"/>
      <c r="P287" s="34"/>
      <c r="Q287" s="34"/>
      <c r="R287" s="34"/>
      <c r="S287" s="34"/>
      <c r="T287" s="34"/>
      <c r="U287" s="34"/>
      <c r="V287" s="34"/>
      <c r="W287" s="3"/>
    </row>
    <row r="288" spans="3:23" x14ac:dyDescent="0.2">
      <c r="C288" s="34"/>
      <c r="D288" s="34"/>
      <c r="E288" s="34"/>
      <c r="F288" s="34"/>
      <c r="G288" s="34"/>
      <c r="H288" s="34"/>
      <c r="I288" s="34"/>
      <c r="J288" s="34"/>
      <c r="K288" s="34"/>
      <c r="L288" s="34"/>
      <c r="M288" s="34"/>
      <c r="N288" s="34"/>
      <c r="O288" s="34"/>
      <c r="P288" s="34"/>
      <c r="Q288" s="34"/>
      <c r="R288" s="34"/>
      <c r="S288" s="34"/>
      <c r="T288" s="34"/>
      <c r="U288" s="34"/>
      <c r="V288" s="34"/>
      <c r="W288" s="3"/>
    </row>
    <row r="289" spans="3:23" x14ac:dyDescent="0.2">
      <c r="C289" s="34"/>
      <c r="D289" s="34"/>
      <c r="E289" s="34"/>
      <c r="F289" s="34"/>
      <c r="G289" s="34"/>
      <c r="H289" s="34"/>
      <c r="I289" s="34"/>
      <c r="J289" s="34"/>
      <c r="K289" s="34"/>
      <c r="L289" s="34"/>
      <c r="M289" s="34"/>
      <c r="N289" s="34"/>
      <c r="O289" s="34"/>
      <c r="P289" s="34"/>
      <c r="Q289" s="34"/>
      <c r="R289" s="34"/>
      <c r="S289" s="34"/>
      <c r="T289" s="34"/>
      <c r="U289" s="34"/>
      <c r="V289" s="34"/>
      <c r="W289" s="3"/>
    </row>
    <row r="290" spans="3:23" x14ac:dyDescent="0.2">
      <c r="C290" s="34"/>
      <c r="D290" s="34"/>
      <c r="E290" s="34"/>
      <c r="F290" s="34"/>
      <c r="G290" s="34"/>
      <c r="H290" s="34"/>
      <c r="I290" s="34"/>
      <c r="J290" s="34"/>
      <c r="K290" s="34"/>
      <c r="L290" s="34"/>
      <c r="M290" s="34"/>
      <c r="N290" s="34"/>
      <c r="O290" s="34"/>
      <c r="P290" s="34"/>
      <c r="Q290" s="34"/>
      <c r="R290" s="34"/>
      <c r="S290" s="34"/>
      <c r="T290" s="34"/>
      <c r="U290" s="34"/>
      <c r="V290" s="34"/>
      <c r="W290" s="3"/>
    </row>
    <row r="291" spans="3:23" x14ac:dyDescent="0.2">
      <c r="C291" s="34"/>
      <c r="D291" s="34"/>
      <c r="E291" s="34"/>
      <c r="F291" s="34"/>
      <c r="G291" s="34"/>
      <c r="H291" s="34"/>
      <c r="I291" s="34"/>
      <c r="J291" s="34"/>
      <c r="K291" s="34"/>
      <c r="L291" s="34"/>
      <c r="M291" s="34"/>
      <c r="N291" s="34"/>
      <c r="O291" s="34"/>
      <c r="P291" s="34"/>
      <c r="Q291" s="34"/>
      <c r="R291" s="34"/>
      <c r="S291" s="34"/>
      <c r="T291" s="34"/>
      <c r="U291" s="34"/>
      <c r="V291" s="34"/>
      <c r="W291" s="3"/>
    </row>
    <row r="292" spans="3:23" x14ac:dyDescent="0.2">
      <c r="C292" s="34"/>
      <c r="D292" s="34"/>
      <c r="E292" s="34"/>
      <c r="F292" s="34"/>
      <c r="G292" s="34"/>
      <c r="H292" s="34"/>
      <c r="I292" s="34"/>
      <c r="J292" s="34"/>
      <c r="K292" s="34"/>
      <c r="L292" s="34"/>
      <c r="M292" s="34"/>
      <c r="N292" s="34"/>
      <c r="O292" s="34"/>
      <c r="P292" s="34"/>
      <c r="Q292" s="34"/>
      <c r="R292" s="34"/>
      <c r="S292" s="34"/>
      <c r="T292" s="34"/>
      <c r="U292" s="34"/>
      <c r="V292" s="34"/>
      <c r="W292" s="3"/>
    </row>
    <row r="293" spans="3:23" x14ac:dyDescent="0.2">
      <c r="C293" s="34"/>
      <c r="D293" s="34"/>
      <c r="E293" s="34"/>
      <c r="F293" s="34"/>
      <c r="G293" s="34"/>
      <c r="H293" s="34"/>
      <c r="I293" s="34"/>
      <c r="J293" s="34"/>
      <c r="K293" s="34"/>
      <c r="L293" s="34"/>
      <c r="M293" s="34"/>
      <c r="N293" s="34"/>
      <c r="O293" s="34"/>
      <c r="P293" s="34"/>
      <c r="Q293" s="34"/>
      <c r="R293" s="34"/>
      <c r="S293" s="34"/>
      <c r="T293" s="34"/>
      <c r="U293" s="34"/>
      <c r="V293" s="34"/>
      <c r="W293" s="3"/>
    </row>
    <row r="294" spans="3:23" x14ac:dyDescent="0.2">
      <c r="C294" s="34"/>
      <c r="D294" s="34"/>
      <c r="E294" s="34"/>
      <c r="F294" s="34"/>
      <c r="G294" s="34"/>
      <c r="H294" s="34"/>
      <c r="I294" s="34"/>
      <c r="J294" s="34"/>
      <c r="K294" s="34"/>
      <c r="L294" s="34"/>
      <c r="M294" s="34"/>
      <c r="N294" s="34"/>
      <c r="O294" s="34"/>
      <c r="P294" s="34"/>
      <c r="Q294" s="34"/>
      <c r="R294" s="34"/>
      <c r="S294" s="34"/>
      <c r="T294" s="34"/>
      <c r="U294" s="34"/>
      <c r="V294" s="34"/>
      <c r="W294" s="3"/>
    </row>
    <row r="295" spans="3:23" x14ac:dyDescent="0.2">
      <c r="C295" s="34"/>
      <c r="D295" s="34"/>
      <c r="E295" s="34"/>
      <c r="F295" s="34"/>
      <c r="G295" s="34"/>
      <c r="H295" s="34"/>
      <c r="I295" s="34"/>
      <c r="J295" s="34"/>
      <c r="K295" s="34"/>
      <c r="L295" s="34"/>
      <c r="M295" s="34"/>
      <c r="N295" s="34"/>
      <c r="O295" s="34"/>
      <c r="P295" s="34"/>
      <c r="Q295" s="34"/>
      <c r="R295" s="34"/>
      <c r="S295" s="34"/>
      <c r="T295" s="34"/>
      <c r="U295" s="34"/>
      <c r="V295" s="34"/>
      <c r="W295" s="3"/>
    </row>
    <row r="296" spans="3:23" x14ac:dyDescent="0.2">
      <c r="C296" s="34"/>
      <c r="D296" s="34"/>
      <c r="E296" s="34"/>
      <c r="F296" s="34"/>
      <c r="G296" s="34"/>
      <c r="H296" s="34"/>
      <c r="I296" s="34"/>
      <c r="J296" s="34"/>
      <c r="K296" s="34"/>
      <c r="L296" s="34"/>
      <c r="M296" s="34"/>
      <c r="N296" s="34"/>
      <c r="O296" s="34"/>
      <c r="P296" s="34"/>
      <c r="Q296" s="34"/>
      <c r="R296" s="34"/>
      <c r="S296" s="34"/>
      <c r="T296" s="34"/>
      <c r="U296" s="34"/>
      <c r="V296" s="34"/>
      <c r="W296" s="3"/>
    </row>
    <row r="297" spans="3:23" x14ac:dyDescent="0.2">
      <c r="C297" s="34"/>
      <c r="D297" s="34"/>
      <c r="E297" s="34"/>
      <c r="F297" s="34"/>
      <c r="G297" s="34"/>
      <c r="H297" s="34"/>
      <c r="I297" s="34"/>
      <c r="J297" s="34"/>
      <c r="K297" s="34"/>
      <c r="L297" s="34"/>
      <c r="M297" s="34"/>
      <c r="N297" s="34"/>
      <c r="O297" s="34"/>
      <c r="P297" s="34"/>
      <c r="Q297" s="34"/>
      <c r="R297" s="34"/>
      <c r="S297" s="34"/>
      <c r="T297" s="34"/>
      <c r="U297" s="34"/>
      <c r="V297" s="34"/>
      <c r="W297" s="3"/>
    </row>
    <row r="298" spans="3:23" x14ac:dyDescent="0.2">
      <c r="C298" s="34"/>
      <c r="D298" s="34"/>
      <c r="E298" s="34"/>
      <c r="F298" s="34"/>
      <c r="G298" s="34"/>
      <c r="H298" s="34"/>
      <c r="I298" s="34"/>
      <c r="J298" s="34"/>
      <c r="K298" s="34"/>
      <c r="L298" s="34"/>
      <c r="M298" s="34"/>
      <c r="N298" s="34"/>
      <c r="O298" s="34"/>
      <c r="P298" s="34"/>
      <c r="Q298" s="34"/>
      <c r="R298" s="34"/>
      <c r="S298" s="34"/>
      <c r="T298" s="34"/>
      <c r="U298" s="34"/>
      <c r="V298" s="34"/>
      <c r="W298" s="3"/>
    </row>
    <row r="299" spans="3:23" x14ac:dyDescent="0.2">
      <c r="C299" s="34"/>
      <c r="D299" s="34"/>
      <c r="E299" s="34"/>
      <c r="F299" s="34"/>
      <c r="G299" s="34"/>
      <c r="H299" s="34"/>
      <c r="I299" s="34"/>
      <c r="J299" s="34"/>
      <c r="K299" s="34"/>
      <c r="L299" s="34"/>
      <c r="M299" s="34"/>
      <c r="N299" s="34"/>
      <c r="O299" s="34"/>
      <c r="P299" s="34"/>
      <c r="Q299" s="34"/>
      <c r="R299" s="34"/>
      <c r="S299" s="34"/>
      <c r="T299" s="34"/>
      <c r="U299" s="34"/>
      <c r="V299" s="34"/>
      <c r="W299" s="3"/>
    </row>
    <row r="300" spans="3:23" x14ac:dyDescent="0.2">
      <c r="C300" s="34"/>
      <c r="D300" s="34"/>
      <c r="E300" s="34"/>
      <c r="F300" s="34"/>
      <c r="G300" s="34"/>
      <c r="H300" s="34"/>
      <c r="I300" s="34"/>
      <c r="J300" s="34"/>
      <c r="K300" s="34"/>
      <c r="L300" s="34"/>
      <c r="M300" s="34"/>
      <c r="N300" s="34"/>
      <c r="O300" s="34"/>
      <c r="P300" s="34"/>
      <c r="Q300" s="34"/>
      <c r="R300" s="34"/>
      <c r="S300" s="34"/>
      <c r="T300" s="34"/>
      <c r="U300" s="34"/>
      <c r="V300" s="34"/>
      <c r="W300" s="3"/>
    </row>
    <row r="301" spans="3:23" x14ac:dyDescent="0.2">
      <c r="C301" s="34"/>
      <c r="D301" s="34"/>
      <c r="E301" s="34"/>
      <c r="F301" s="34"/>
      <c r="G301" s="34"/>
      <c r="H301" s="34"/>
      <c r="I301" s="34"/>
      <c r="J301" s="34"/>
      <c r="K301" s="34"/>
      <c r="L301" s="34"/>
      <c r="M301" s="34"/>
      <c r="N301" s="34"/>
      <c r="O301" s="34"/>
      <c r="P301" s="34"/>
      <c r="Q301" s="34"/>
      <c r="R301" s="34"/>
      <c r="S301" s="34"/>
      <c r="T301" s="34"/>
      <c r="U301" s="34"/>
      <c r="V301" s="34"/>
      <c r="W301" s="3"/>
    </row>
    <row r="302" spans="3:23" x14ac:dyDescent="0.2">
      <c r="C302" s="34"/>
      <c r="D302" s="34"/>
      <c r="E302" s="34"/>
      <c r="F302" s="34"/>
      <c r="G302" s="34"/>
      <c r="H302" s="34"/>
      <c r="I302" s="34"/>
      <c r="J302" s="34"/>
      <c r="K302" s="34"/>
      <c r="L302" s="34"/>
      <c r="M302" s="34"/>
      <c r="N302" s="34"/>
      <c r="O302" s="34"/>
      <c r="P302" s="34"/>
      <c r="Q302" s="34"/>
      <c r="R302" s="34"/>
      <c r="S302" s="34"/>
      <c r="T302" s="34"/>
      <c r="U302" s="34"/>
      <c r="V302" s="34"/>
      <c r="W302" s="3"/>
    </row>
    <row r="303" spans="3:23" x14ac:dyDescent="0.2">
      <c r="C303" s="34"/>
      <c r="D303" s="34"/>
      <c r="E303" s="34"/>
      <c r="F303" s="34"/>
      <c r="G303" s="34"/>
      <c r="H303" s="34"/>
      <c r="I303" s="34"/>
      <c r="J303" s="34"/>
      <c r="K303" s="34"/>
      <c r="L303" s="34"/>
      <c r="M303" s="34"/>
      <c r="N303" s="34"/>
      <c r="O303" s="34"/>
      <c r="P303" s="34"/>
      <c r="Q303" s="34"/>
      <c r="R303" s="34"/>
      <c r="S303" s="34"/>
      <c r="T303" s="34"/>
      <c r="U303" s="34"/>
      <c r="V303" s="34"/>
      <c r="W303" s="3"/>
    </row>
    <row r="304" spans="3:23" x14ac:dyDescent="0.2">
      <c r="C304" s="34"/>
      <c r="D304" s="34"/>
      <c r="E304" s="34"/>
      <c r="F304" s="34"/>
      <c r="G304" s="34"/>
      <c r="H304" s="34"/>
      <c r="I304" s="34"/>
      <c r="J304" s="34"/>
      <c r="K304" s="34"/>
      <c r="L304" s="34"/>
      <c r="M304" s="34"/>
      <c r="N304" s="34"/>
      <c r="O304" s="34"/>
      <c r="P304" s="34"/>
      <c r="Q304" s="34"/>
      <c r="R304" s="34"/>
      <c r="S304" s="34"/>
      <c r="T304" s="34"/>
      <c r="U304" s="34"/>
      <c r="V304" s="34"/>
      <c r="W304" s="3"/>
    </row>
    <row r="305" spans="3:23" x14ac:dyDescent="0.2">
      <c r="C305" s="34"/>
      <c r="D305" s="34"/>
      <c r="E305" s="34"/>
      <c r="F305" s="34"/>
      <c r="G305" s="34"/>
      <c r="H305" s="34"/>
      <c r="I305" s="34"/>
      <c r="J305" s="34"/>
      <c r="K305" s="34"/>
      <c r="L305" s="34"/>
      <c r="M305" s="34"/>
      <c r="N305" s="34"/>
      <c r="O305" s="34"/>
      <c r="P305" s="34"/>
      <c r="Q305" s="34"/>
      <c r="R305" s="34"/>
      <c r="S305" s="34"/>
      <c r="T305" s="34"/>
      <c r="U305" s="34"/>
      <c r="V305" s="34"/>
      <c r="W305" s="3"/>
    </row>
    <row r="306" spans="3:23" x14ac:dyDescent="0.2">
      <c r="C306" s="34"/>
      <c r="D306" s="34"/>
      <c r="E306" s="34"/>
      <c r="F306" s="34"/>
      <c r="G306" s="34"/>
      <c r="H306" s="34"/>
      <c r="I306" s="34"/>
      <c r="J306" s="34"/>
      <c r="K306" s="34"/>
      <c r="L306" s="34"/>
      <c r="M306" s="34"/>
      <c r="N306" s="34"/>
      <c r="O306" s="34"/>
      <c r="P306" s="34"/>
      <c r="Q306" s="34"/>
      <c r="R306" s="34"/>
      <c r="S306" s="34"/>
      <c r="T306" s="34"/>
      <c r="U306" s="34"/>
      <c r="V306" s="34"/>
      <c r="W306" s="3"/>
    </row>
    <row r="307" spans="3:23" x14ac:dyDescent="0.2">
      <c r="C307" s="34"/>
      <c r="D307" s="34"/>
      <c r="E307" s="34"/>
      <c r="F307" s="34"/>
      <c r="G307" s="34"/>
      <c r="H307" s="34"/>
      <c r="I307" s="34"/>
      <c r="J307" s="34"/>
      <c r="K307" s="34"/>
      <c r="L307" s="34"/>
      <c r="M307" s="34"/>
      <c r="N307" s="34"/>
      <c r="O307" s="34"/>
      <c r="P307" s="34"/>
      <c r="Q307" s="34"/>
      <c r="R307" s="34"/>
      <c r="S307" s="34"/>
      <c r="T307" s="34"/>
      <c r="U307" s="34"/>
      <c r="V307" s="34"/>
      <c r="W307" s="3"/>
    </row>
    <row r="308" spans="3:23" x14ac:dyDescent="0.2">
      <c r="C308" s="34"/>
      <c r="D308" s="34"/>
      <c r="E308" s="34"/>
      <c r="F308" s="34"/>
      <c r="G308" s="34"/>
      <c r="H308" s="34"/>
      <c r="I308" s="34"/>
      <c r="J308" s="34"/>
      <c r="K308" s="34"/>
      <c r="L308" s="34"/>
      <c r="M308" s="34"/>
      <c r="N308" s="34"/>
      <c r="O308" s="34"/>
      <c r="P308" s="34"/>
      <c r="Q308" s="34"/>
      <c r="R308" s="34"/>
      <c r="S308" s="34"/>
      <c r="T308" s="34"/>
      <c r="U308" s="34"/>
      <c r="V308" s="34"/>
      <c r="W308" s="3"/>
    </row>
    <row r="309" spans="3:23" x14ac:dyDescent="0.2">
      <c r="C309" s="34"/>
      <c r="D309" s="34"/>
      <c r="E309" s="34"/>
      <c r="F309" s="34"/>
      <c r="G309" s="34"/>
      <c r="H309" s="34"/>
      <c r="I309" s="34"/>
      <c r="J309" s="34"/>
      <c r="K309" s="34"/>
      <c r="L309" s="34"/>
      <c r="M309" s="34"/>
      <c r="N309" s="34"/>
      <c r="O309" s="34"/>
      <c r="P309" s="34"/>
      <c r="Q309" s="34"/>
      <c r="R309" s="34"/>
      <c r="S309" s="34"/>
      <c r="T309" s="34"/>
      <c r="U309" s="34"/>
      <c r="V309" s="34"/>
      <c r="W309" s="3"/>
    </row>
    <row r="310" spans="3:23" x14ac:dyDescent="0.2">
      <c r="C310" s="34"/>
      <c r="D310" s="34"/>
      <c r="E310" s="34"/>
      <c r="F310" s="34"/>
      <c r="G310" s="34"/>
      <c r="H310" s="34"/>
      <c r="I310" s="34"/>
      <c r="J310" s="34"/>
      <c r="K310" s="34"/>
      <c r="L310" s="34"/>
      <c r="M310" s="34"/>
      <c r="N310" s="34"/>
      <c r="O310" s="34"/>
      <c r="P310" s="34"/>
      <c r="Q310" s="34"/>
      <c r="R310" s="34"/>
      <c r="S310" s="34"/>
      <c r="T310" s="34"/>
      <c r="U310" s="34"/>
      <c r="V310" s="34"/>
      <c r="W310" s="3"/>
    </row>
  </sheetData>
  <mergeCells count="3">
    <mergeCell ref="A1:U1"/>
    <mergeCell ref="A2:U2"/>
    <mergeCell ref="A3:U3"/>
  </mergeCells>
  <printOptions horizontalCentered="1"/>
  <pageMargins left="0.75" right="0.75" top="1" bottom="1" header="0.5" footer="0.5"/>
  <pageSetup scale="67" orientation="landscape" r:id="rId1"/>
  <headerFooter alignWithMargins="0">
    <oddFooter>&amp;R&amp;"Times New Roman,Bold"&amp;12Case No. 2018-00295
Attachment 6 to Response to US DOD-2 Question No. 7   
Page &amp;P of &amp;N
Garrett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workbookViewId="0">
      <selection sqref="A1:R1"/>
    </sheetView>
  </sheetViews>
  <sheetFormatPr defaultRowHeight="12.75" x14ac:dyDescent="0.2"/>
  <cols>
    <col min="1" max="1" width="31.85546875" style="3" bestFit="1" customWidth="1"/>
    <col min="2" max="2" width="17.7109375" style="19" customWidth="1"/>
    <col min="3" max="3" width="1.7109375" style="3" customWidth="1"/>
    <col min="4" max="4" width="17.7109375" style="19" customWidth="1"/>
    <col min="5" max="5" width="1.7109375" style="3" customWidth="1"/>
    <col min="6" max="6" width="17.7109375" style="19" customWidth="1"/>
    <col min="7" max="7" width="1.7109375" style="3" customWidth="1"/>
    <col min="8" max="8" width="17.7109375" style="19" customWidth="1"/>
    <col min="9" max="9" width="1.7109375" style="3" customWidth="1"/>
    <col min="10" max="10" width="17.7109375" style="19" customWidth="1"/>
    <col min="11" max="11" width="1.7109375" style="3" customWidth="1"/>
    <col min="12" max="12" width="17.7109375" style="19" customWidth="1"/>
    <col min="13" max="16384" width="9.140625" style="3"/>
  </cols>
  <sheetData>
    <row r="1" spans="1:12" s="86" customFormat="1" ht="15.75" x14ac:dyDescent="0.25">
      <c r="A1" s="154" t="s">
        <v>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</row>
    <row r="2" spans="1:12" s="86" customFormat="1" ht="15.75" x14ac:dyDescent="0.25">
      <c r="A2" s="154" t="s">
        <v>3416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</row>
    <row r="3" spans="1:12" x14ac:dyDescent="0.2">
      <c r="A3" s="144" t="str">
        <f>'KU_Summary - Cost - P1 (REG)'!A3:N3</f>
        <v>DECEMBER 2016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</row>
    <row r="4" spans="1:12" x14ac:dyDescent="0.2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</row>
    <row r="5" spans="1:12" x14ac:dyDescent="0.2">
      <c r="A5" s="87"/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</row>
    <row r="6" spans="1:12" x14ac:dyDescent="0.2">
      <c r="B6" s="25" t="s">
        <v>2</v>
      </c>
      <c r="H6" s="25" t="s">
        <v>3</v>
      </c>
      <c r="L6" s="25" t="s">
        <v>4</v>
      </c>
    </row>
    <row r="7" spans="1:12" x14ac:dyDescent="0.2">
      <c r="B7" s="10" t="s">
        <v>5</v>
      </c>
      <c r="D7" s="10" t="s">
        <v>6</v>
      </c>
      <c r="F7" s="10" t="s">
        <v>7</v>
      </c>
      <c r="H7" s="10" t="s">
        <v>8</v>
      </c>
      <c r="J7" s="10" t="s">
        <v>9</v>
      </c>
      <c r="L7" s="10" t="s">
        <v>5</v>
      </c>
    </row>
    <row r="8" spans="1:12" x14ac:dyDescent="0.2">
      <c r="B8" s="11"/>
      <c r="D8" s="11"/>
      <c r="F8" s="11"/>
      <c r="H8" s="11"/>
      <c r="J8" s="11"/>
      <c r="L8" s="11"/>
    </row>
    <row r="9" spans="1:12" x14ac:dyDescent="0.2">
      <c r="A9" s="12" t="s">
        <v>3417</v>
      </c>
    </row>
    <row r="10" spans="1:12" x14ac:dyDescent="0.2">
      <c r="A10" s="12" t="s">
        <v>29</v>
      </c>
    </row>
    <row r="11" spans="1:12" x14ac:dyDescent="0.2">
      <c r="A11" s="3" t="s">
        <v>3418</v>
      </c>
      <c r="B11" s="19">
        <v>963468.65999999992</v>
      </c>
      <c r="C11" s="104"/>
      <c r="D11" s="19">
        <v>0</v>
      </c>
      <c r="E11" s="104"/>
      <c r="F11" s="19">
        <v>0</v>
      </c>
      <c r="G11" s="104"/>
      <c r="H11" s="19">
        <v>0</v>
      </c>
      <c r="I11" s="104"/>
      <c r="J11" s="19">
        <f>D11+F11+H11</f>
        <v>0</v>
      </c>
      <c r="K11" s="104"/>
      <c r="L11" s="19">
        <f>J11+B11</f>
        <v>963468.65999999992</v>
      </c>
    </row>
    <row r="12" spans="1:12" x14ac:dyDescent="0.2">
      <c r="A12" s="3" t="s">
        <v>3419</v>
      </c>
      <c r="B12" s="19">
        <v>0</v>
      </c>
      <c r="C12" s="104"/>
      <c r="D12" s="19">
        <v>0</v>
      </c>
      <c r="E12" s="104"/>
      <c r="F12" s="19">
        <v>0</v>
      </c>
      <c r="G12" s="104"/>
      <c r="H12" s="19">
        <v>0</v>
      </c>
      <c r="I12" s="104"/>
      <c r="J12" s="19">
        <f>D12+F12+H12</f>
        <v>0</v>
      </c>
      <c r="K12" s="104"/>
      <c r="L12" s="19">
        <f>J12+B12</f>
        <v>0</v>
      </c>
    </row>
    <row r="13" spans="1:12" x14ac:dyDescent="0.2">
      <c r="A13" s="3" t="s">
        <v>3420</v>
      </c>
      <c r="B13" s="27">
        <v>7844.44</v>
      </c>
      <c r="C13" s="104"/>
      <c r="D13" s="27">
        <v>0</v>
      </c>
      <c r="E13" s="104"/>
      <c r="F13" s="27">
        <v>0</v>
      </c>
      <c r="G13" s="104"/>
      <c r="H13" s="27">
        <v>0</v>
      </c>
      <c r="I13" s="104"/>
      <c r="J13" s="27">
        <f>D13+F13+H13</f>
        <v>0</v>
      </c>
      <c r="K13" s="104"/>
      <c r="L13" s="27">
        <f>J13+B13</f>
        <v>7844.44</v>
      </c>
    </row>
    <row r="14" spans="1:12" x14ac:dyDescent="0.2">
      <c r="B14" s="19">
        <f>SUM(B11:B13)</f>
        <v>971313.09999999986</v>
      </c>
      <c r="C14" s="104"/>
      <c r="D14" s="19">
        <f>SUM(D11:D13)</f>
        <v>0</v>
      </c>
      <c r="E14" s="104"/>
      <c r="F14" s="19">
        <f>SUM(F11:F13)</f>
        <v>0</v>
      </c>
      <c r="G14" s="104"/>
      <c r="H14" s="19">
        <f>SUM(H11:H13)</f>
        <v>0</v>
      </c>
      <c r="I14" s="104"/>
      <c r="J14" s="19">
        <f>SUM(J11:J13)</f>
        <v>0</v>
      </c>
      <c r="K14" s="104"/>
      <c r="L14" s="19">
        <f>SUM(L11:L13)</f>
        <v>971313.09999999986</v>
      </c>
    </row>
    <row r="15" spans="1:12" x14ac:dyDescent="0.2">
      <c r="C15" s="104"/>
      <c r="E15" s="104"/>
      <c r="G15" s="104"/>
      <c r="I15" s="104"/>
      <c r="K15" s="104"/>
    </row>
    <row r="16" spans="1:12" x14ac:dyDescent="0.2">
      <c r="C16" s="104"/>
      <c r="E16" s="104"/>
      <c r="G16" s="104"/>
      <c r="I16" s="104"/>
      <c r="K16" s="104"/>
    </row>
    <row r="17" spans="1:12" ht="13.5" thickBot="1" x14ac:dyDescent="0.25">
      <c r="A17" s="12" t="s">
        <v>3421</v>
      </c>
      <c r="B17" s="33">
        <f>SUM(B11:B13)</f>
        <v>971313.09999999986</v>
      </c>
      <c r="C17" s="104"/>
      <c r="D17" s="33">
        <f>SUM(D11:D13)</f>
        <v>0</v>
      </c>
      <c r="E17" s="104"/>
      <c r="F17" s="33">
        <f>SUM(F11:F13)</f>
        <v>0</v>
      </c>
      <c r="G17" s="104"/>
      <c r="H17" s="33">
        <f>SUM(H11:H13)</f>
        <v>0</v>
      </c>
      <c r="I17" s="104"/>
      <c r="J17" s="33">
        <f>SUM(J11:J13)</f>
        <v>0</v>
      </c>
      <c r="K17" s="104"/>
      <c r="L17" s="33">
        <f>SUM(L11:L13)</f>
        <v>971313.09999999986</v>
      </c>
    </row>
    <row r="18" spans="1:12" ht="13.5" thickTop="1" x14ac:dyDescent="0.2">
      <c r="C18" s="98"/>
      <c r="E18" s="98"/>
      <c r="G18" s="98"/>
      <c r="I18" s="98"/>
      <c r="K18" s="98"/>
    </row>
    <row r="19" spans="1:12" x14ac:dyDescent="0.2">
      <c r="C19" s="98"/>
      <c r="E19" s="98"/>
      <c r="G19" s="98"/>
      <c r="I19" s="98"/>
      <c r="K19" s="98"/>
    </row>
    <row r="20" spans="1:12" x14ac:dyDescent="0.2">
      <c r="C20" s="98"/>
      <c r="E20" s="98"/>
      <c r="G20" s="98"/>
      <c r="I20" s="98"/>
      <c r="K20" s="98"/>
    </row>
    <row r="21" spans="1:12" x14ac:dyDescent="0.2">
      <c r="C21" s="98"/>
      <c r="E21" s="98"/>
      <c r="G21" s="98"/>
      <c r="I21" s="98"/>
      <c r="K21" s="98"/>
    </row>
  </sheetData>
  <mergeCells count="3">
    <mergeCell ref="A1:L1"/>
    <mergeCell ref="A2:L2"/>
    <mergeCell ref="A3:L3"/>
  </mergeCells>
  <printOptions horizontalCentered="1"/>
  <pageMargins left="0.75" right="0.75" top="1" bottom="1" header="0.5" footer="0.5"/>
  <pageSetup scale="67" orientation="landscape" r:id="rId1"/>
  <headerFooter alignWithMargins="0">
    <oddFooter>&amp;R&amp;"Times New Roman,Bold"&amp;12Case No. 2018-00295
Attachment 6 to Response to US DOD-2 Question No. 7   
Page &amp;P of &amp;N
Garrett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4"/>
  <sheetViews>
    <sheetView workbookViewId="0">
      <selection sqref="A1:R1"/>
    </sheetView>
  </sheetViews>
  <sheetFormatPr defaultRowHeight="12.75" x14ac:dyDescent="0.2"/>
  <cols>
    <col min="1" max="1" width="40.5703125" style="3" bestFit="1" customWidth="1"/>
    <col min="2" max="2" width="16.7109375" style="3" bestFit="1" customWidth="1"/>
    <col min="3" max="3" width="1.7109375" style="3" customWidth="1"/>
    <col min="4" max="4" width="15.140625" style="3" bestFit="1" customWidth="1"/>
    <col min="5" max="5" width="2.140625" style="3" customWidth="1"/>
    <col min="6" max="6" width="11.7109375" style="3" bestFit="1" customWidth="1"/>
    <col min="7" max="7" width="2" style="3" customWidth="1"/>
    <col min="8" max="8" width="19.7109375" style="3" bestFit="1" customWidth="1"/>
    <col min="9" max="9" width="2" style="3" customWidth="1"/>
    <col min="10" max="10" width="15" style="3" bestFit="1" customWidth="1"/>
    <col min="11" max="11" width="1.85546875" style="3" customWidth="1"/>
    <col min="12" max="12" width="16" style="3" bestFit="1" customWidth="1"/>
    <col min="13" max="16384" width="9.140625" style="3"/>
  </cols>
  <sheetData>
    <row r="1" spans="1:12" s="86" customFormat="1" ht="15.75" x14ac:dyDescent="0.25">
      <c r="A1" s="154" t="s">
        <v>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</row>
    <row r="2" spans="1:12" s="86" customFormat="1" ht="15.75" x14ac:dyDescent="0.25">
      <c r="A2" s="154" t="s">
        <v>3422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</row>
    <row r="3" spans="1:12" x14ac:dyDescent="0.2">
      <c r="A3" s="144" t="str">
        <f>'KU_Summary - Cost - P1 (REG)'!A3:N3</f>
        <v>DECEMBER 2016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</row>
    <row r="4" spans="1:12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6" spans="1:12" x14ac:dyDescent="0.2">
      <c r="B6" s="25" t="s">
        <v>2</v>
      </c>
      <c r="D6" s="19"/>
      <c r="F6" s="19"/>
      <c r="H6" s="25" t="s">
        <v>3</v>
      </c>
      <c r="J6" s="19"/>
      <c r="L6" s="25" t="s">
        <v>4</v>
      </c>
    </row>
    <row r="7" spans="1:12" x14ac:dyDescent="0.2">
      <c r="B7" s="10" t="s">
        <v>5</v>
      </c>
      <c r="D7" s="10" t="s">
        <v>6</v>
      </c>
      <c r="F7" s="10" t="s">
        <v>7</v>
      </c>
      <c r="H7" s="10" t="s">
        <v>8</v>
      </c>
      <c r="J7" s="10" t="s">
        <v>9</v>
      </c>
      <c r="L7" s="10" t="s">
        <v>5</v>
      </c>
    </row>
    <row r="8" spans="1:12" x14ac:dyDescent="0.2">
      <c r="B8" s="11"/>
      <c r="D8" s="11"/>
      <c r="F8" s="11"/>
      <c r="H8" s="11"/>
      <c r="J8" s="11"/>
      <c r="L8" s="11"/>
    </row>
    <row r="9" spans="1:12" x14ac:dyDescent="0.2">
      <c r="A9" s="12" t="s">
        <v>3423</v>
      </c>
    </row>
    <row r="10" spans="1:12" x14ac:dyDescent="0.2">
      <c r="A10" s="12" t="s">
        <v>13</v>
      </c>
    </row>
    <row r="11" spans="1:12" x14ac:dyDescent="0.2">
      <c r="A11" s="43" t="s">
        <v>171</v>
      </c>
      <c r="B11" s="16">
        <v>0</v>
      </c>
      <c r="C11" s="17"/>
      <c r="D11" s="16">
        <v>0</v>
      </c>
      <c r="E11" s="17"/>
      <c r="F11" s="16">
        <v>0</v>
      </c>
      <c r="G11" s="17"/>
      <c r="H11" s="16">
        <f>73177.16-73177.16</f>
        <v>0</v>
      </c>
      <c r="I11" s="17"/>
      <c r="J11" s="27">
        <f>D11+F11+H11</f>
        <v>0</v>
      </c>
      <c r="K11" s="17"/>
      <c r="L11" s="27">
        <f>J11+B11</f>
        <v>0</v>
      </c>
    </row>
    <row r="12" spans="1:12" x14ac:dyDescent="0.2">
      <c r="A12" s="43"/>
      <c r="B12" s="17">
        <f>SUM(B11)</f>
        <v>0</v>
      </c>
      <c r="C12" s="17"/>
      <c r="D12" s="17">
        <f>SUM(D11)</f>
        <v>0</v>
      </c>
      <c r="E12" s="17"/>
      <c r="F12" s="17">
        <f>SUM(F11)</f>
        <v>0</v>
      </c>
      <c r="G12" s="17"/>
      <c r="H12" s="17">
        <f>SUM(H11)</f>
        <v>0</v>
      </c>
      <c r="I12" s="17"/>
      <c r="J12" s="17">
        <f>SUM(J11)</f>
        <v>0</v>
      </c>
      <c r="K12" s="17"/>
      <c r="L12" s="17">
        <f>SUM(L11)</f>
        <v>0</v>
      </c>
    </row>
    <row r="13" spans="1:12" x14ac:dyDescent="0.2">
      <c r="A13" s="12" t="s">
        <v>16</v>
      </c>
      <c r="B13" s="26"/>
      <c r="C13" s="103"/>
      <c r="D13" s="26"/>
      <c r="E13" s="103"/>
      <c r="F13" s="26"/>
      <c r="G13" s="103"/>
      <c r="H13" s="26"/>
      <c r="I13" s="103"/>
      <c r="J13" s="26"/>
      <c r="K13" s="103"/>
      <c r="L13" s="26"/>
    </row>
    <row r="14" spans="1:12" x14ac:dyDescent="0.2">
      <c r="A14" s="3" t="s">
        <v>202</v>
      </c>
      <c r="B14" s="17">
        <v>0</v>
      </c>
      <c r="C14" s="103"/>
      <c r="D14" s="26">
        <v>0</v>
      </c>
      <c r="E14" s="103"/>
      <c r="F14" s="26">
        <v>0</v>
      </c>
      <c r="G14" s="103"/>
      <c r="H14" s="26">
        <v>0</v>
      </c>
      <c r="I14" s="103"/>
      <c r="J14" s="26">
        <f t="shared" ref="J14:J23" si="0">H14+F14+D14</f>
        <v>0</v>
      </c>
      <c r="K14" s="103"/>
      <c r="L14" s="26">
        <f t="shared" ref="L14:L23" si="1">J14+B14</f>
        <v>0</v>
      </c>
    </row>
    <row r="15" spans="1:12" x14ac:dyDescent="0.2">
      <c r="A15" s="3" t="s">
        <v>203</v>
      </c>
      <c r="B15" s="17">
        <v>0</v>
      </c>
      <c r="C15" s="103"/>
      <c r="D15" s="26">
        <v>0</v>
      </c>
      <c r="E15" s="103"/>
      <c r="F15" s="26">
        <v>0</v>
      </c>
      <c r="G15" s="103"/>
      <c r="H15" s="26">
        <v>0</v>
      </c>
      <c r="I15" s="103"/>
      <c r="J15" s="26">
        <f t="shared" si="0"/>
        <v>0</v>
      </c>
      <c r="K15" s="103"/>
      <c r="L15" s="26">
        <f t="shared" si="1"/>
        <v>0</v>
      </c>
    </row>
    <row r="16" spans="1:12" x14ac:dyDescent="0.2">
      <c r="A16" s="3" t="s">
        <v>204</v>
      </c>
      <c r="B16" s="17">
        <v>0</v>
      </c>
      <c r="C16" s="103"/>
      <c r="D16" s="26">
        <v>0</v>
      </c>
      <c r="E16" s="103"/>
      <c r="F16" s="26">
        <v>0</v>
      </c>
      <c r="G16" s="103"/>
      <c r="H16" s="26">
        <v>0</v>
      </c>
      <c r="I16" s="103"/>
      <c r="J16" s="26">
        <f t="shared" si="0"/>
        <v>0</v>
      </c>
      <c r="K16" s="103"/>
      <c r="L16" s="26">
        <f t="shared" si="1"/>
        <v>0</v>
      </c>
    </row>
    <row r="17" spans="1:14" x14ac:dyDescent="0.2">
      <c r="A17" s="3" t="s">
        <v>205</v>
      </c>
      <c r="B17" s="17">
        <v>0</v>
      </c>
      <c r="C17" s="103"/>
      <c r="D17" s="26">
        <v>0</v>
      </c>
      <c r="E17" s="103"/>
      <c r="F17" s="26">
        <v>0</v>
      </c>
      <c r="G17" s="103"/>
      <c r="H17" s="26">
        <v>0</v>
      </c>
      <c r="I17" s="103"/>
      <c r="J17" s="26">
        <f t="shared" si="0"/>
        <v>0</v>
      </c>
      <c r="K17" s="103"/>
      <c r="L17" s="26">
        <f t="shared" si="1"/>
        <v>0</v>
      </c>
    </row>
    <row r="18" spans="1:14" x14ac:dyDescent="0.2">
      <c r="A18" s="3" t="s">
        <v>206</v>
      </c>
      <c r="B18" s="17">
        <v>0</v>
      </c>
      <c r="C18" s="103"/>
      <c r="D18" s="26">
        <v>0</v>
      </c>
      <c r="E18" s="103"/>
      <c r="F18" s="26">
        <v>0</v>
      </c>
      <c r="G18" s="103"/>
      <c r="H18" s="26">
        <v>0</v>
      </c>
      <c r="I18" s="103"/>
      <c r="J18" s="26">
        <f t="shared" si="0"/>
        <v>0</v>
      </c>
      <c r="K18" s="103"/>
      <c r="L18" s="26">
        <f t="shared" si="1"/>
        <v>0</v>
      </c>
    </row>
    <row r="19" spans="1:14" x14ac:dyDescent="0.2">
      <c r="A19" s="3" t="s">
        <v>207</v>
      </c>
      <c r="B19" s="17">
        <v>0</v>
      </c>
      <c r="C19" s="103"/>
      <c r="D19" s="26">
        <v>0</v>
      </c>
      <c r="E19" s="103"/>
      <c r="F19" s="26">
        <v>0</v>
      </c>
      <c r="G19" s="103"/>
      <c r="H19" s="26">
        <v>0</v>
      </c>
      <c r="I19" s="103"/>
      <c r="J19" s="26">
        <f t="shared" si="0"/>
        <v>0</v>
      </c>
      <c r="K19" s="103"/>
      <c r="L19" s="26">
        <f t="shared" si="1"/>
        <v>0</v>
      </c>
    </row>
    <row r="20" spans="1:14" x14ac:dyDescent="0.2">
      <c r="A20" s="3" t="s">
        <v>208</v>
      </c>
      <c r="B20" s="17">
        <v>0</v>
      </c>
      <c r="C20" s="103"/>
      <c r="D20" s="26">
        <v>0</v>
      </c>
      <c r="E20" s="103"/>
      <c r="F20" s="26">
        <v>0</v>
      </c>
      <c r="G20" s="103"/>
      <c r="H20" s="26">
        <v>0</v>
      </c>
      <c r="I20" s="103"/>
      <c r="J20" s="26">
        <f t="shared" si="0"/>
        <v>0</v>
      </c>
      <c r="K20" s="103"/>
      <c r="L20" s="26">
        <f t="shared" si="1"/>
        <v>0</v>
      </c>
    </row>
    <row r="21" spans="1:14" x14ac:dyDescent="0.2">
      <c r="A21" s="3" t="s">
        <v>209</v>
      </c>
      <c r="B21" s="17">
        <v>0</v>
      </c>
      <c r="C21" s="103"/>
      <c r="D21" s="26">
        <v>0</v>
      </c>
      <c r="E21" s="103"/>
      <c r="F21" s="26">
        <v>0</v>
      </c>
      <c r="G21" s="103"/>
      <c r="H21" s="26">
        <v>0</v>
      </c>
      <c r="I21" s="103"/>
      <c r="J21" s="26">
        <f t="shared" si="0"/>
        <v>0</v>
      </c>
      <c r="K21" s="103"/>
      <c r="L21" s="26">
        <f t="shared" si="1"/>
        <v>0</v>
      </c>
    </row>
    <row r="22" spans="1:14" x14ac:dyDescent="0.2">
      <c r="A22" s="3" t="s">
        <v>210</v>
      </c>
      <c r="B22" s="17">
        <v>0</v>
      </c>
      <c r="C22" s="103"/>
      <c r="D22" s="26">
        <v>0</v>
      </c>
      <c r="E22" s="103"/>
      <c r="F22" s="26">
        <v>0</v>
      </c>
      <c r="G22" s="103"/>
      <c r="H22" s="26">
        <v>0</v>
      </c>
      <c r="I22" s="103"/>
      <c r="J22" s="26">
        <f t="shared" si="0"/>
        <v>0</v>
      </c>
      <c r="K22" s="103"/>
      <c r="L22" s="26">
        <f t="shared" si="1"/>
        <v>0</v>
      </c>
    </row>
    <row r="23" spans="1:14" x14ac:dyDescent="0.2">
      <c r="A23" s="3" t="s">
        <v>211</v>
      </c>
      <c r="B23" s="17">
        <v>0</v>
      </c>
      <c r="C23" s="103"/>
      <c r="D23" s="26">
        <v>0</v>
      </c>
      <c r="E23" s="103"/>
      <c r="F23" s="26">
        <v>0</v>
      </c>
      <c r="G23" s="103"/>
      <c r="H23" s="26">
        <v>0</v>
      </c>
      <c r="I23" s="103"/>
      <c r="J23" s="26">
        <f t="shared" si="0"/>
        <v>0</v>
      </c>
      <c r="K23" s="103"/>
      <c r="L23" s="26">
        <f t="shared" si="1"/>
        <v>0</v>
      </c>
    </row>
    <row r="24" spans="1:14" x14ac:dyDescent="0.2">
      <c r="A24" s="3" t="s">
        <v>212</v>
      </c>
      <c r="B24" s="27">
        <v>0</v>
      </c>
      <c r="C24" s="103"/>
      <c r="D24" s="26">
        <v>0</v>
      </c>
      <c r="E24" s="103"/>
      <c r="F24" s="26">
        <v>0</v>
      </c>
      <c r="G24" s="103"/>
      <c r="H24" s="26">
        <v>0</v>
      </c>
      <c r="I24" s="103"/>
      <c r="J24" s="27">
        <f>H24+F24+D24</f>
        <v>0</v>
      </c>
      <c r="K24" s="103"/>
      <c r="L24" s="27">
        <f>J24+B24</f>
        <v>0</v>
      </c>
    </row>
    <row r="25" spans="1:14" x14ac:dyDescent="0.2">
      <c r="B25" s="26">
        <f>SUM(B14:B24)</f>
        <v>0</v>
      </c>
      <c r="C25" s="103"/>
      <c r="D25" s="32">
        <f>SUM(D14:D24)</f>
        <v>0</v>
      </c>
      <c r="E25" s="103"/>
      <c r="F25" s="32">
        <f>SUM(F14:F24)</f>
        <v>0</v>
      </c>
      <c r="G25" s="103"/>
      <c r="H25" s="32">
        <f>SUM(H14:H24)</f>
        <v>0</v>
      </c>
      <c r="I25" s="103"/>
      <c r="J25" s="26">
        <f>SUM(J14:J24)</f>
        <v>0</v>
      </c>
      <c r="K25" s="103"/>
      <c r="L25" s="26">
        <f>SUM(L14:L24)</f>
        <v>0</v>
      </c>
    </row>
    <row r="26" spans="1:14" x14ac:dyDescent="0.2">
      <c r="A26" s="12"/>
    </row>
    <row r="27" spans="1:14" x14ac:dyDescent="0.2">
      <c r="A27" s="12" t="s">
        <v>3413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92"/>
      <c r="N27" s="13"/>
    </row>
    <row r="28" spans="1:14" x14ac:dyDescent="0.2">
      <c r="A28" s="3" t="s">
        <v>3424</v>
      </c>
      <c r="B28" s="17">
        <v>0</v>
      </c>
      <c r="C28" s="17"/>
      <c r="D28" s="17">
        <v>0</v>
      </c>
      <c r="E28" s="17"/>
      <c r="F28" s="17">
        <v>0</v>
      </c>
      <c r="G28" s="17"/>
      <c r="H28" s="17">
        <v>0</v>
      </c>
      <c r="I28" s="17"/>
      <c r="J28" s="26">
        <f t="shared" ref="J28:J33" si="2">D28+F28+H28</f>
        <v>0</v>
      </c>
      <c r="K28" s="17"/>
      <c r="L28" s="26">
        <f t="shared" ref="L28:L33" si="3">J28+B28</f>
        <v>0</v>
      </c>
      <c r="M28" s="92"/>
      <c r="N28" s="13"/>
    </row>
    <row r="29" spans="1:14" x14ac:dyDescent="0.2">
      <c r="A29" s="3" t="s">
        <v>215</v>
      </c>
      <c r="B29" s="17">
        <v>0</v>
      </c>
      <c r="C29" s="17"/>
      <c r="D29" s="17">
        <v>0</v>
      </c>
      <c r="E29" s="17"/>
      <c r="F29" s="17">
        <v>0</v>
      </c>
      <c r="G29" s="17"/>
      <c r="H29" s="17">
        <v>0</v>
      </c>
      <c r="I29" s="17"/>
      <c r="J29" s="26">
        <f t="shared" si="2"/>
        <v>0</v>
      </c>
      <c r="K29" s="17"/>
      <c r="L29" s="26">
        <f t="shared" si="3"/>
        <v>0</v>
      </c>
      <c r="M29" s="92"/>
      <c r="N29" s="13"/>
    </row>
    <row r="30" spans="1:14" x14ac:dyDescent="0.2">
      <c r="A30" s="3" t="s">
        <v>217</v>
      </c>
      <c r="B30" s="17">
        <v>0</v>
      </c>
      <c r="C30" s="17"/>
      <c r="D30" s="17">
        <v>0</v>
      </c>
      <c r="E30" s="17"/>
      <c r="F30" s="17">
        <v>0</v>
      </c>
      <c r="G30" s="17"/>
      <c r="H30" s="17">
        <v>0</v>
      </c>
      <c r="I30" s="17"/>
      <c r="J30" s="26">
        <f t="shared" si="2"/>
        <v>0</v>
      </c>
      <c r="K30" s="17"/>
      <c r="L30" s="26">
        <f t="shared" si="3"/>
        <v>0</v>
      </c>
      <c r="M30" s="92"/>
      <c r="N30" s="13"/>
    </row>
    <row r="31" spans="1:14" x14ac:dyDescent="0.2">
      <c r="A31" s="3" t="s">
        <v>219</v>
      </c>
      <c r="B31" s="17">
        <v>0</v>
      </c>
      <c r="C31" s="17"/>
      <c r="D31" s="17">
        <v>0</v>
      </c>
      <c r="E31" s="17"/>
      <c r="F31" s="17">
        <v>0</v>
      </c>
      <c r="G31" s="17"/>
      <c r="H31" s="17">
        <v>0</v>
      </c>
      <c r="I31" s="17"/>
      <c r="J31" s="26">
        <f t="shared" si="2"/>
        <v>0</v>
      </c>
      <c r="K31" s="17"/>
      <c r="L31" s="26">
        <f t="shared" si="3"/>
        <v>0</v>
      </c>
      <c r="M31" s="92"/>
      <c r="N31" s="13"/>
    </row>
    <row r="32" spans="1:14" s="59" customFormat="1" x14ac:dyDescent="0.2">
      <c r="A32" s="59" t="s">
        <v>3414</v>
      </c>
      <c r="B32" s="17">
        <v>0</v>
      </c>
      <c r="C32" s="17"/>
      <c r="D32" s="17">
        <v>0</v>
      </c>
      <c r="E32" s="17"/>
      <c r="F32" s="17">
        <v>0</v>
      </c>
      <c r="G32" s="17"/>
      <c r="H32" s="17">
        <v>0</v>
      </c>
      <c r="I32" s="17"/>
      <c r="J32" s="26">
        <f t="shared" si="2"/>
        <v>0</v>
      </c>
      <c r="K32" s="17"/>
      <c r="L32" s="26">
        <f t="shared" si="3"/>
        <v>0</v>
      </c>
      <c r="M32" s="92"/>
      <c r="N32" s="92"/>
    </row>
    <row r="33" spans="1:14" x14ac:dyDescent="0.2">
      <c r="A33" s="3" t="s">
        <v>223</v>
      </c>
      <c r="B33" s="16">
        <v>0</v>
      </c>
      <c r="C33" s="17"/>
      <c r="D33" s="16">
        <v>0</v>
      </c>
      <c r="E33" s="17"/>
      <c r="F33" s="16">
        <v>0</v>
      </c>
      <c r="G33" s="17"/>
      <c r="H33" s="16">
        <v>0</v>
      </c>
      <c r="I33" s="17"/>
      <c r="J33" s="27">
        <f t="shared" si="2"/>
        <v>0</v>
      </c>
      <c r="K33" s="17"/>
      <c r="L33" s="27">
        <f t="shared" si="3"/>
        <v>0</v>
      </c>
      <c r="M33" s="92"/>
      <c r="N33" s="13"/>
    </row>
    <row r="34" spans="1:14" x14ac:dyDescent="0.2">
      <c r="B34" s="17">
        <f>SUM(B28:B33)</f>
        <v>0</v>
      </c>
      <c r="C34" s="17"/>
      <c r="D34" s="17">
        <f>SUM(D28:D33)</f>
        <v>0</v>
      </c>
      <c r="E34" s="17"/>
      <c r="F34" s="17">
        <f>SUM(F28:F33)</f>
        <v>0</v>
      </c>
      <c r="G34" s="17"/>
      <c r="H34" s="17">
        <f>SUM(H28:H33)</f>
        <v>0</v>
      </c>
      <c r="I34" s="17"/>
      <c r="J34" s="17">
        <f>SUM(J28:J33)</f>
        <v>0</v>
      </c>
      <c r="K34" s="17"/>
      <c r="L34" s="17">
        <f>SUM(L28:L33)</f>
        <v>0</v>
      </c>
      <c r="M34" s="92"/>
      <c r="N34" s="13"/>
    </row>
    <row r="35" spans="1:14" x14ac:dyDescent="0.2">
      <c r="B35" s="17"/>
      <c r="C35" s="14"/>
      <c r="D35" s="17"/>
      <c r="E35" s="14"/>
      <c r="F35" s="17"/>
      <c r="G35" s="14"/>
      <c r="H35" s="17"/>
      <c r="I35" s="14"/>
      <c r="J35" s="17"/>
      <c r="K35" s="14"/>
      <c r="L35" s="17"/>
      <c r="M35" s="13"/>
      <c r="N35" s="13"/>
    </row>
    <row r="36" spans="1:14" x14ac:dyDescent="0.2"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3"/>
      <c r="N36" s="13"/>
    </row>
    <row r="37" spans="1:14" ht="13.5" thickBot="1" x14ac:dyDescent="0.25">
      <c r="A37" s="12" t="s">
        <v>3425</v>
      </c>
      <c r="B37" s="78">
        <f>B34+B25+B12</f>
        <v>0</v>
      </c>
      <c r="C37" s="14"/>
      <c r="D37" s="78">
        <f>D34+D25+D12</f>
        <v>0</v>
      </c>
      <c r="E37" s="14"/>
      <c r="F37" s="78">
        <f>F34+F25+F12</f>
        <v>0</v>
      </c>
      <c r="G37" s="14"/>
      <c r="H37" s="78">
        <f>H34+H25+H12</f>
        <v>0</v>
      </c>
      <c r="I37" s="14"/>
      <c r="J37" s="78">
        <f>J34+J25+J12</f>
        <v>0</v>
      </c>
      <c r="K37" s="14"/>
      <c r="L37" s="78">
        <f>L34+L25+L12</f>
        <v>0</v>
      </c>
      <c r="M37" s="13"/>
      <c r="N37" s="13"/>
    </row>
    <row r="38" spans="1:14" ht="13.5" thickTop="1" x14ac:dyDescent="0.2"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3"/>
      <c r="N38" s="13"/>
    </row>
    <row r="39" spans="1:14" x14ac:dyDescent="0.2"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</row>
    <row r="40" spans="1:14" x14ac:dyDescent="0.2"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</row>
    <row r="41" spans="1:14" x14ac:dyDescent="0.2"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</row>
    <row r="42" spans="1:14" x14ac:dyDescent="0.2"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</row>
    <row r="43" spans="1:14" x14ac:dyDescent="0.2"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</row>
    <row r="44" spans="1:14" x14ac:dyDescent="0.2"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</row>
    <row r="45" spans="1:14" x14ac:dyDescent="0.2"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</row>
    <row r="46" spans="1:14" x14ac:dyDescent="0.2"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</row>
    <row r="47" spans="1:14" x14ac:dyDescent="0.2"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</row>
    <row r="48" spans="1:14" x14ac:dyDescent="0.2"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</row>
    <row r="49" spans="2:14" x14ac:dyDescent="0.2"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</row>
    <row r="50" spans="2:14" x14ac:dyDescent="0.2"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</row>
    <row r="51" spans="2:14" x14ac:dyDescent="0.2"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</row>
    <row r="52" spans="2:14" x14ac:dyDescent="0.2"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</row>
    <row r="53" spans="2:14" x14ac:dyDescent="0.2"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</row>
    <row r="54" spans="2:14" x14ac:dyDescent="0.2"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</row>
    <row r="55" spans="2:14" x14ac:dyDescent="0.2"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</row>
    <row r="56" spans="2:14" x14ac:dyDescent="0.2"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</row>
    <row r="57" spans="2:14" x14ac:dyDescent="0.2"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</row>
    <row r="58" spans="2:14" x14ac:dyDescent="0.2"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</row>
    <row r="59" spans="2:14" x14ac:dyDescent="0.2"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</row>
    <row r="60" spans="2:14" x14ac:dyDescent="0.2"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</row>
    <row r="61" spans="2:14" x14ac:dyDescent="0.2"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</row>
    <row r="62" spans="2:14" x14ac:dyDescent="0.2"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</row>
    <row r="63" spans="2:14" x14ac:dyDescent="0.2"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</row>
    <row r="64" spans="2:14" x14ac:dyDescent="0.2"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</row>
    <row r="65" spans="2:14" x14ac:dyDescent="0.2"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</row>
    <row r="66" spans="2:14" x14ac:dyDescent="0.2"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</row>
    <row r="67" spans="2:14" x14ac:dyDescent="0.2"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</row>
    <row r="68" spans="2:14" x14ac:dyDescent="0.2"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</row>
    <row r="69" spans="2:14" x14ac:dyDescent="0.2"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</row>
    <row r="70" spans="2:14" x14ac:dyDescent="0.2"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</row>
    <row r="71" spans="2:14" x14ac:dyDescent="0.2"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</row>
    <row r="72" spans="2:14" x14ac:dyDescent="0.2"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</row>
    <row r="73" spans="2:14" x14ac:dyDescent="0.2"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</row>
    <row r="74" spans="2:14" x14ac:dyDescent="0.2"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</row>
    <row r="75" spans="2:14" x14ac:dyDescent="0.2"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</row>
    <row r="76" spans="2:14" x14ac:dyDescent="0.2"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</row>
    <row r="77" spans="2:14" x14ac:dyDescent="0.2"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</row>
    <row r="78" spans="2:14" x14ac:dyDescent="0.2"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</row>
    <row r="79" spans="2:14" x14ac:dyDescent="0.2"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</row>
    <row r="80" spans="2:14" x14ac:dyDescent="0.2"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</row>
    <row r="81" spans="2:14" x14ac:dyDescent="0.2"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</row>
    <row r="82" spans="2:14" x14ac:dyDescent="0.2"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</row>
    <row r="83" spans="2:14" x14ac:dyDescent="0.2"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</row>
    <row r="84" spans="2:14" x14ac:dyDescent="0.2"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</row>
    <row r="85" spans="2:14" x14ac:dyDescent="0.2"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</row>
    <row r="86" spans="2:14" x14ac:dyDescent="0.2"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</row>
    <row r="87" spans="2:14" x14ac:dyDescent="0.2"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</row>
    <row r="88" spans="2:14" x14ac:dyDescent="0.2"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</row>
    <row r="89" spans="2:14" x14ac:dyDescent="0.2"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</row>
    <row r="90" spans="2:14" x14ac:dyDescent="0.2"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</row>
    <row r="91" spans="2:14" x14ac:dyDescent="0.2"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</row>
    <row r="92" spans="2:14" x14ac:dyDescent="0.2"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</row>
    <row r="93" spans="2:14" x14ac:dyDescent="0.2"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</row>
    <row r="94" spans="2:14" x14ac:dyDescent="0.2"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</row>
    <row r="95" spans="2:14" x14ac:dyDescent="0.2"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</row>
    <row r="96" spans="2:14" x14ac:dyDescent="0.2"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</row>
    <row r="97" spans="2:14" x14ac:dyDescent="0.2"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</row>
    <row r="98" spans="2:14" x14ac:dyDescent="0.2"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</row>
    <row r="99" spans="2:14" x14ac:dyDescent="0.2"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</row>
    <row r="100" spans="2:14" x14ac:dyDescent="0.2"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</row>
    <row r="101" spans="2:14" x14ac:dyDescent="0.2"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</row>
    <row r="102" spans="2:14" x14ac:dyDescent="0.2"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</row>
    <row r="103" spans="2:14" x14ac:dyDescent="0.2"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</row>
    <row r="104" spans="2:14" x14ac:dyDescent="0.2"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</row>
    <row r="105" spans="2:14" x14ac:dyDescent="0.2"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</row>
    <row r="106" spans="2:14" x14ac:dyDescent="0.2"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</row>
    <row r="107" spans="2:14" x14ac:dyDescent="0.2"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</row>
    <row r="108" spans="2:14" x14ac:dyDescent="0.2"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</row>
    <row r="109" spans="2:14" x14ac:dyDescent="0.2"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</row>
    <row r="110" spans="2:14" x14ac:dyDescent="0.2"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</row>
    <row r="111" spans="2:14" x14ac:dyDescent="0.2"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</row>
    <row r="112" spans="2:14" x14ac:dyDescent="0.2"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</row>
    <row r="113" spans="2:14" x14ac:dyDescent="0.2"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</row>
    <row r="114" spans="2:14" x14ac:dyDescent="0.2"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</row>
    <row r="115" spans="2:14" x14ac:dyDescent="0.2"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</row>
    <row r="116" spans="2:14" x14ac:dyDescent="0.2"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</row>
    <row r="117" spans="2:14" x14ac:dyDescent="0.2"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</row>
    <row r="118" spans="2:14" x14ac:dyDescent="0.2"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</row>
    <row r="119" spans="2:14" x14ac:dyDescent="0.2"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</row>
    <row r="120" spans="2:14" x14ac:dyDescent="0.2"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</row>
    <row r="121" spans="2:14" x14ac:dyDescent="0.2"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</row>
    <row r="122" spans="2:14" x14ac:dyDescent="0.2"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</row>
    <row r="123" spans="2:14" x14ac:dyDescent="0.2"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</row>
    <row r="124" spans="2:14" x14ac:dyDescent="0.2"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</row>
    <row r="125" spans="2:14" x14ac:dyDescent="0.2"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</row>
    <row r="126" spans="2:14" x14ac:dyDescent="0.2"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</row>
    <row r="127" spans="2:14" x14ac:dyDescent="0.2"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</row>
    <row r="128" spans="2:14" x14ac:dyDescent="0.2"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</row>
    <row r="129" spans="2:14" x14ac:dyDescent="0.2"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</row>
    <row r="130" spans="2:14" x14ac:dyDescent="0.2"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</row>
    <row r="131" spans="2:14" x14ac:dyDescent="0.2"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</row>
    <row r="132" spans="2:14" x14ac:dyDescent="0.2"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</row>
    <row r="133" spans="2:14" x14ac:dyDescent="0.2"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</row>
    <row r="134" spans="2:14" x14ac:dyDescent="0.2"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</row>
    <row r="135" spans="2:14" x14ac:dyDescent="0.2"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</row>
    <row r="136" spans="2:14" x14ac:dyDescent="0.2"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</row>
    <row r="137" spans="2:14" x14ac:dyDescent="0.2"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</row>
    <row r="138" spans="2:14" x14ac:dyDescent="0.2"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</row>
    <row r="139" spans="2:14" x14ac:dyDescent="0.2"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</row>
    <row r="140" spans="2:14" x14ac:dyDescent="0.2"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</row>
    <row r="141" spans="2:14" x14ac:dyDescent="0.2"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</row>
    <row r="142" spans="2:14" x14ac:dyDescent="0.2"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</row>
    <row r="143" spans="2:14" x14ac:dyDescent="0.2"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</row>
    <row r="144" spans="2:14" x14ac:dyDescent="0.2"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</row>
  </sheetData>
  <mergeCells count="3">
    <mergeCell ref="A1:L1"/>
    <mergeCell ref="A2:L2"/>
    <mergeCell ref="A3:L3"/>
  </mergeCells>
  <printOptions horizontalCentered="1"/>
  <pageMargins left="0.75" right="0.75" top="1" bottom="1" header="0.5" footer="0.5"/>
  <pageSetup scale="67" orientation="landscape" r:id="rId1"/>
  <headerFooter alignWithMargins="0">
    <oddFooter>&amp;R&amp;"Times New Roman,Bold"&amp;12Case No. 2018-00295
Attachment 6 to Response to US DOD-2 Question No. 7   
Page &amp;P of &amp;N
Garrett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T492"/>
  <sheetViews>
    <sheetView zoomScale="90" zoomScaleNormal="90" workbookViewId="0">
      <pane xSplit="1" ySplit="7" topLeftCell="B8" activePane="bottomRight" state="frozen"/>
      <selection sqref="A1:R1"/>
      <selection pane="topRight" sqref="A1:R1"/>
      <selection pane="bottomLeft" sqref="A1:R1"/>
      <selection pane="bottomRight" sqref="A1:R1"/>
    </sheetView>
  </sheetViews>
  <sheetFormatPr defaultRowHeight="12.75" outlineLevelRow="1" x14ac:dyDescent="0.2"/>
  <cols>
    <col min="1" max="1" width="36.42578125" style="3" bestFit="1" customWidth="1"/>
    <col min="2" max="2" width="18.42578125" style="14" bestFit="1" customWidth="1"/>
    <col min="3" max="3" width="1.7109375" style="3" customWidth="1"/>
    <col min="4" max="4" width="17.7109375" style="14" customWidth="1"/>
    <col min="5" max="5" width="1.7109375" style="3" customWidth="1"/>
    <col min="6" max="6" width="15.7109375" style="14" bestFit="1" customWidth="1"/>
    <col min="7" max="7" width="1.7109375" style="3" customWidth="1"/>
    <col min="8" max="8" width="15.7109375" style="14" bestFit="1" customWidth="1"/>
    <col min="9" max="9" width="1.7109375" style="3" customWidth="1"/>
    <col min="10" max="10" width="15" style="14" bestFit="1" customWidth="1"/>
    <col min="11" max="11" width="1.7109375" style="3" customWidth="1"/>
    <col min="12" max="12" width="17.140625" style="14" bestFit="1" customWidth="1"/>
    <col min="13" max="13" width="1.7109375" style="3" customWidth="1"/>
    <col min="14" max="14" width="15.7109375" style="14" bestFit="1" customWidth="1"/>
    <col min="15" max="15" width="1.7109375" style="3" customWidth="1"/>
    <col min="16" max="16" width="15.7109375" style="14" bestFit="1" customWidth="1"/>
    <col min="17" max="17" width="1.7109375" style="3" customWidth="1"/>
    <col min="18" max="18" width="18.42578125" style="14" bestFit="1" customWidth="1"/>
    <col min="19" max="19" width="18.42578125" style="3" bestFit="1" customWidth="1"/>
    <col min="20" max="16384" width="9.140625" style="3"/>
  </cols>
  <sheetData>
    <row r="1" spans="1:19" s="86" customFormat="1" ht="15.75" x14ac:dyDescent="0.25">
      <c r="A1" s="154" t="s">
        <v>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</row>
    <row r="2" spans="1:19" s="86" customFormat="1" ht="15.75" x14ac:dyDescent="0.25">
      <c r="A2" s="154" t="s">
        <v>3426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</row>
    <row r="3" spans="1:19" x14ac:dyDescent="0.2">
      <c r="A3" s="144" t="str">
        <f>'KU_Summary - Cost - P1 (REG)'!A3:N3</f>
        <v>DECEMBER 2016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95"/>
    </row>
    <row r="4" spans="1:19" x14ac:dyDescent="0.2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95"/>
    </row>
    <row r="6" spans="1:19" x14ac:dyDescent="0.2">
      <c r="B6" s="25" t="s">
        <v>2</v>
      </c>
      <c r="H6" s="25" t="s">
        <v>3</v>
      </c>
      <c r="J6" s="25" t="s">
        <v>38</v>
      </c>
      <c r="L6" s="25"/>
      <c r="N6" s="25"/>
      <c r="P6" s="25"/>
      <c r="R6" s="25" t="s">
        <v>4</v>
      </c>
    </row>
    <row r="7" spans="1:19" x14ac:dyDescent="0.2">
      <c r="B7" s="10" t="s">
        <v>5</v>
      </c>
      <c r="D7" s="10" t="s">
        <v>39</v>
      </c>
      <c r="F7" s="10" t="s">
        <v>7</v>
      </c>
      <c r="H7" s="10" t="s">
        <v>8</v>
      </c>
      <c r="J7" s="10" t="s">
        <v>41</v>
      </c>
      <c r="L7" s="10" t="s">
        <v>42</v>
      </c>
      <c r="N7" s="10" t="s">
        <v>43</v>
      </c>
      <c r="P7" s="10" t="s">
        <v>44</v>
      </c>
      <c r="R7" s="10" t="s">
        <v>5</v>
      </c>
    </row>
    <row r="9" spans="1:19" x14ac:dyDescent="0.2">
      <c r="A9" s="12" t="s">
        <v>12</v>
      </c>
    </row>
    <row r="10" spans="1:19" x14ac:dyDescent="0.2">
      <c r="A10" s="43" t="s">
        <v>3427</v>
      </c>
      <c r="B10" s="14">
        <v>-1387660.7899999998</v>
      </c>
      <c r="C10" s="13"/>
      <c r="D10" s="74">
        <v>-12036.72</v>
      </c>
      <c r="E10" s="13"/>
      <c r="F10" s="74">
        <v>0</v>
      </c>
      <c r="G10" s="13"/>
      <c r="H10" s="74">
        <v>0</v>
      </c>
      <c r="I10" s="13"/>
      <c r="J10" s="14">
        <v>0</v>
      </c>
      <c r="K10" s="13"/>
      <c r="L10" s="74">
        <v>0</v>
      </c>
      <c r="M10" s="13"/>
      <c r="N10" s="74">
        <v>0</v>
      </c>
      <c r="O10" s="13"/>
      <c r="P10" s="100">
        <v>0</v>
      </c>
      <c r="Q10" s="13"/>
      <c r="R10" s="14">
        <f t="shared" ref="R10:R32" si="0">SUM(B10:P10)</f>
        <v>-1399697.5099999998</v>
      </c>
    </row>
    <row r="11" spans="1:19" x14ac:dyDescent="0.2">
      <c r="A11" s="3" t="s">
        <v>3428</v>
      </c>
      <c r="B11" s="14">
        <v>0</v>
      </c>
      <c r="C11" s="13"/>
      <c r="D11" s="74">
        <v>0</v>
      </c>
      <c r="E11" s="13"/>
      <c r="F11" s="74">
        <v>0</v>
      </c>
      <c r="G11" s="13"/>
      <c r="H11" s="74">
        <v>0</v>
      </c>
      <c r="I11" s="13"/>
      <c r="J11" s="14">
        <v>0</v>
      </c>
      <c r="K11" s="13"/>
      <c r="L11" s="74">
        <v>0</v>
      </c>
      <c r="M11" s="13"/>
      <c r="N11" s="74">
        <v>0</v>
      </c>
      <c r="O11" s="13"/>
      <c r="P11" s="100">
        <v>0</v>
      </c>
      <c r="Q11" s="13"/>
      <c r="R11" s="14">
        <f t="shared" si="0"/>
        <v>0</v>
      </c>
    </row>
    <row r="12" spans="1:19" x14ac:dyDescent="0.2">
      <c r="A12" s="3" t="s">
        <v>3429</v>
      </c>
      <c r="B12" s="14">
        <v>-7.2759576141834259E-12</v>
      </c>
      <c r="C12" s="13"/>
      <c r="D12" s="74">
        <v>0</v>
      </c>
      <c r="E12" s="13"/>
      <c r="F12" s="74">
        <v>0</v>
      </c>
      <c r="G12" s="13"/>
      <c r="H12" s="74">
        <v>0</v>
      </c>
      <c r="I12" s="13"/>
      <c r="J12" s="14">
        <v>0</v>
      </c>
      <c r="K12" s="13"/>
      <c r="L12" s="74">
        <v>0</v>
      </c>
      <c r="M12" s="13"/>
      <c r="N12" s="74">
        <v>0</v>
      </c>
      <c r="O12" s="13"/>
      <c r="P12" s="100">
        <v>0</v>
      </c>
      <c r="Q12" s="13"/>
      <c r="R12" s="14">
        <f t="shared" si="0"/>
        <v>-7.2759576141834259E-12</v>
      </c>
    </row>
    <row r="13" spans="1:19" x14ac:dyDescent="0.2">
      <c r="A13" s="3" t="s">
        <v>3430</v>
      </c>
      <c r="B13" s="14">
        <v>-2134096.5100000002</v>
      </c>
      <c r="C13" s="13"/>
      <c r="D13" s="74">
        <v>-237797.4</v>
      </c>
      <c r="E13" s="13"/>
      <c r="F13" s="74">
        <v>11232.24</v>
      </c>
      <c r="G13" s="13"/>
      <c r="H13" s="74">
        <v>-3397.25</v>
      </c>
      <c r="I13" s="13"/>
      <c r="J13" s="14">
        <v>0</v>
      </c>
      <c r="K13" s="13"/>
      <c r="L13" s="74">
        <v>38495.660000000003</v>
      </c>
      <c r="M13" s="13"/>
      <c r="N13" s="74">
        <v>0</v>
      </c>
      <c r="O13" s="13"/>
      <c r="P13" s="100">
        <v>0</v>
      </c>
      <c r="Q13" s="13"/>
      <c r="R13" s="14">
        <f t="shared" si="0"/>
        <v>-2325563.2599999998</v>
      </c>
    </row>
    <row r="14" spans="1:19" x14ac:dyDescent="0.2">
      <c r="A14" s="3" t="s">
        <v>3431</v>
      </c>
      <c r="B14" s="14">
        <v>-44891426.249999993</v>
      </c>
      <c r="C14" s="13"/>
      <c r="D14" s="74">
        <v>-3865877.48</v>
      </c>
      <c r="E14" s="13"/>
      <c r="F14" s="74">
        <v>869796.52</v>
      </c>
      <c r="G14" s="13"/>
      <c r="H14" s="74">
        <v>-10828.23</v>
      </c>
      <c r="I14" s="13"/>
      <c r="J14" s="14">
        <v>0</v>
      </c>
      <c r="K14" s="13"/>
      <c r="L14" s="74">
        <v>427917.17</v>
      </c>
      <c r="M14" s="13"/>
      <c r="N14" s="74">
        <v>-116224.1</v>
      </c>
      <c r="O14" s="13"/>
      <c r="P14" s="100">
        <v>0</v>
      </c>
      <c r="Q14" s="13"/>
      <c r="R14" s="14">
        <f t="shared" si="0"/>
        <v>-47586642.369999982</v>
      </c>
    </row>
    <row r="15" spans="1:19" x14ac:dyDescent="0.2">
      <c r="A15" s="3" t="s">
        <v>3432</v>
      </c>
      <c r="B15" s="14">
        <v>-798.56000000000006</v>
      </c>
      <c r="C15" s="13"/>
      <c r="D15" s="74">
        <v>-618.24</v>
      </c>
      <c r="E15" s="13"/>
      <c r="F15" s="74">
        <v>0</v>
      </c>
      <c r="G15" s="13"/>
      <c r="H15" s="74">
        <v>0</v>
      </c>
      <c r="I15" s="13"/>
      <c r="J15" s="14">
        <v>0</v>
      </c>
      <c r="K15" s="13"/>
      <c r="L15" s="74">
        <v>0</v>
      </c>
      <c r="M15" s="13"/>
      <c r="N15" s="74">
        <v>0</v>
      </c>
      <c r="O15" s="13"/>
      <c r="P15" s="100">
        <v>0</v>
      </c>
      <c r="Q15" s="13"/>
      <c r="R15" s="14">
        <f t="shared" si="0"/>
        <v>-1416.8000000000002</v>
      </c>
    </row>
    <row r="16" spans="1:19" x14ac:dyDescent="0.2">
      <c r="A16" s="3" t="s">
        <v>3433</v>
      </c>
      <c r="B16" s="14">
        <v>-0.28999999999476156</v>
      </c>
      <c r="C16" s="13"/>
      <c r="D16" s="74">
        <v>0</v>
      </c>
      <c r="E16" s="13"/>
      <c r="F16" s="74">
        <v>0</v>
      </c>
      <c r="G16" s="13"/>
      <c r="H16" s="74">
        <v>0</v>
      </c>
      <c r="I16" s="13"/>
      <c r="J16" s="14">
        <v>0</v>
      </c>
      <c r="K16" s="13"/>
      <c r="L16" s="74">
        <v>0</v>
      </c>
      <c r="M16" s="13"/>
      <c r="N16" s="74">
        <v>0</v>
      </c>
      <c r="O16" s="13"/>
      <c r="P16" s="100">
        <v>0</v>
      </c>
      <c r="Q16" s="13"/>
      <c r="R16" s="14">
        <f t="shared" si="0"/>
        <v>-0.28999999999476156</v>
      </c>
    </row>
    <row r="17" spans="1:18" x14ac:dyDescent="0.2">
      <c r="A17" s="3" t="s">
        <v>3434</v>
      </c>
      <c r="B17" s="14">
        <v>-140542365.88000003</v>
      </c>
      <c r="C17" s="13"/>
      <c r="D17" s="74">
        <v>-7880827.7300000004</v>
      </c>
      <c r="E17" s="13"/>
      <c r="F17" s="74">
        <v>1561623.99</v>
      </c>
      <c r="G17" s="13"/>
      <c r="H17" s="74">
        <v>0</v>
      </c>
      <c r="I17" s="13"/>
      <c r="J17" s="14">
        <v>0</v>
      </c>
      <c r="K17" s="13"/>
      <c r="L17" s="74">
        <v>1391475.3599999999</v>
      </c>
      <c r="M17" s="13"/>
      <c r="N17" s="74">
        <v>-17072.45</v>
      </c>
      <c r="O17" s="13"/>
      <c r="P17" s="100">
        <v>-54147.44999999999</v>
      </c>
      <c r="Q17" s="13"/>
      <c r="R17" s="14">
        <f t="shared" si="0"/>
        <v>-145541314.15999997</v>
      </c>
    </row>
    <row r="18" spans="1:18" x14ac:dyDescent="0.2">
      <c r="A18" s="3" t="s">
        <v>3435</v>
      </c>
      <c r="B18" s="14">
        <v>-0.18999999998777639</v>
      </c>
      <c r="C18" s="13"/>
      <c r="D18" s="74">
        <v>0</v>
      </c>
      <c r="E18" s="13"/>
      <c r="F18" s="74">
        <v>0</v>
      </c>
      <c r="G18" s="13"/>
      <c r="H18" s="74">
        <v>0</v>
      </c>
      <c r="I18" s="13"/>
      <c r="J18" s="14">
        <v>0</v>
      </c>
      <c r="K18" s="13"/>
      <c r="L18" s="74">
        <v>-2926.33</v>
      </c>
      <c r="M18" s="13"/>
      <c r="N18" s="74">
        <v>0</v>
      </c>
      <c r="O18" s="13"/>
      <c r="P18" s="100">
        <v>2926.33</v>
      </c>
      <c r="Q18" s="13"/>
      <c r="R18" s="14">
        <f t="shared" si="0"/>
        <v>-0.18999999998777639</v>
      </c>
    </row>
    <row r="19" spans="1:18" x14ac:dyDescent="0.2">
      <c r="A19" s="3" t="s">
        <v>3436</v>
      </c>
      <c r="B19" s="14">
        <v>-110480835.97999996</v>
      </c>
      <c r="C19" s="13"/>
      <c r="D19" s="74">
        <v>-10497204.48</v>
      </c>
      <c r="E19" s="13"/>
      <c r="F19" s="74">
        <v>9397625.2699999996</v>
      </c>
      <c r="G19" s="13"/>
      <c r="H19" s="74">
        <v>-12373.75</v>
      </c>
      <c r="I19" s="13"/>
      <c r="J19" s="14">
        <v>0</v>
      </c>
      <c r="K19" s="13"/>
      <c r="L19" s="74">
        <v>2777419.36</v>
      </c>
      <c r="M19" s="13"/>
      <c r="N19" s="74">
        <v>-71445.69</v>
      </c>
      <c r="O19" s="13"/>
      <c r="P19" s="100">
        <v>-273820.90000000008</v>
      </c>
      <c r="Q19" s="13"/>
      <c r="R19" s="14">
        <f t="shared" si="0"/>
        <v>-109160636.16999997</v>
      </c>
    </row>
    <row r="20" spans="1:18" x14ac:dyDescent="0.2">
      <c r="A20" s="3" t="s">
        <v>3437</v>
      </c>
      <c r="B20" s="14">
        <v>-984.71</v>
      </c>
      <c r="C20" s="13"/>
      <c r="D20" s="74">
        <v>-762.36</v>
      </c>
      <c r="E20" s="13"/>
      <c r="F20" s="74">
        <v>0</v>
      </c>
      <c r="G20" s="13"/>
      <c r="H20" s="74">
        <v>0</v>
      </c>
      <c r="I20" s="13"/>
      <c r="K20" s="13"/>
      <c r="L20" s="74"/>
      <c r="M20" s="13"/>
      <c r="N20" s="74">
        <v>0</v>
      </c>
      <c r="O20" s="13"/>
      <c r="P20" s="100"/>
      <c r="Q20" s="13"/>
      <c r="R20" s="14">
        <f t="shared" si="0"/>
        <v>-1747.0700000000002</v>
      </c>
    </row>
    <row r="21" spans="1:18" x14ac:dyDescent="0.2">
      <c r="A21" s="3" t="s">
        <v>3438</v>
      </c>
      <c r="B21" s="14">
        <v>-826600.24000000011</v>
      </c>
      <c r="C21" s="13"/>
      <c r="D21" s="74">
        <v>-56121.95</v>
      </c>
      <c r="E21" s="13"/>
      <c r="F21" s="74">
        <v>2186.06</v>
      </c>
      <c r="G21" s="13"/>
      <c r="H21" s="74">
        <v>0</v>
      </c>
      <c r="I21" s="13"/>
      <c r="J21" s="14">
        <v>0</v>
      </c>
      <c r="K21" s="13"/>
      <c r="L21" s="74">
        <v>0</v>
      </c>
      <c r="M21" s="13"/>
      <c r="N21" s="74">
        <v>0</v>
      </c>
      <c r="O21" s="13"/>
      <c r="P21" s="100">
        <v>0</v>
      </c>
      <c r="Q21" s="13"/>
      <c r="R21" s="14">
        <f t="shared" si="0"/>
        <v>-880536.13</v>
      </c>
    </row>
    <row r="22" spans="1:18" x14ac:dyDescent="0.2">
      <c r="A22" s="3" t="s">
        <v>3439</v>
      </c>
      <c r="B22" s="14">
        <v>-5963.78</v>
      </c>
      <c r="C22" s="13"/>
      <c r="D22" s="74">
        <v>-4617.12</v>
      </c>
      <c r="E22" s="13"/>
      <c r="F22" s="74">
        <v>0</v>
      </c>
      <c r="G22" s="13"/>
      <c r="H22" s="74">
        <v>0</v>
      </c>
      <c r="I22" s="13"/>
      <c r="K22" s="13"/>
      <c r="L22" s="74"/>
      <c r="M22" s="13"/>
      <c r="N22" s="74">
        <v>0</v>
      </c>
      <c r="O22" s="13"/>
      <c r="P22" s="100"/>
      <c r="Q22" s="13"/>
      <c r="R22" s="14">
        <f t="shared" si="0"/>
        <v>-10580.9</v>
      </c>
    </row>
    <row r="23" spans="1:18" x14ac:dyDescent="0.2">
      <c r="A23" s="3" t="s">
        <v>3440</v>
      </c>
      <c r="B23" s="14">
        <v>-40069018.479999989</v>
      </c>
      <c r="C23" s="13"/>
      <c r="D23" s="74">
        <v>-4272061.9000000004</v>
      </c>
      <c r="E23" s="13"/>
      <c r="F23" s="74">
        <v>916012.62</v>
      </c>
      <c r="G23" s="13"/>
      <c r="H23" s="74">
        <v>0</v>
      </c>
      <c r="I23" s="13"/>
      <c r="J23" s="14">
        <v>0</v>
      </c>
      <c r="K23" s="13"/>
      <c r="L23" s="74">
        <v>137367.38</v>
      </c>
      <c r="M23" s="13"/>
      <c r="N23" s="74">
        <v>-558.33000000000004</v>
      </c>
      <c r="O23" s="13"/>
      <c r="P23" s="100">
        <v>-90200.05</v>
      </c>
      <c r="Q23" s="13"/>
      <c r="R23" s="14">
        <f t="shared" si="0"/>
        <v>-43378458.759999983</v>
      </c>
    </row>
    <row r="24" spans="1:18" x14ac:dyDescent="0.2">
      <c r="A24" s="3" t="s">
        <v>3441</v>
      </c>
      <c r="B24" s="14">
        <v>-40595.74</v>
      </c>
      <c r="C24" s="13"/>
      <c r="D24" s="74">
        <v>-31428.959999999999</v>
      </c>
      <c r="E24" s="13"/>
      <c r="F24" s="74">
        <v>0</v>
      </c>
      <c r="G24" s="13"/>
      <c r="H24" s="74">
        <v>0</v>
      </c>
      <c r="I24" s="13"/>
      <c r="K24" s="13"/>
      <c r="L24" s="74"/>
      <c r="M24" s="13"/>
      <c r="N24" s="74">
        <v>0</v>
      </c>
      <c r="O24" s="13"/>
      <c r="P24" s="100"/>
      <c r="Q24" s="13"/>
      <c r="R24" s="14">
        <f t="shared" si="0"/>
        <v>-72024.7</v>
      </c>
    </row>
    <row r="25" spans="1:18" x14ac:dyDescent="0.2">
      <c r="A25" s="3" t="s">
        <v>3442</v>
      </c>
      <c r="B25" s="14">
        <v>-133871875.25000001</v>
      </c>
      <c r="C25" s="13"/>
      <c r="D25" s="74">
        <v>-7293913.1299999999</v>
      </c>
      <c r="E25" s="13"/>
      <c r="F25" s="74">
        <v>835598.27</v>
      </c>
      <c r="G25" s="13"/>
      <c r="H25" s="74">
        <v>0</v>
      </c>
      <c r="I25" s="13"/>
      <c r="J25" s="14">
        <v>0</v>
      </c>
      <c r="K25" s="13"/>
      <c r="L25" s="74">
        <v>223803.4</v>
      </c>
      <c r="M25" s="13"/>
      <c r="N25" s="74">
        <v>-21088.29</v>
      </c>
      <c r="O25" s="13"/>
      <c r="P25" s="100">
        <v>-2800.54</v>
      </c>
      <c r="Q25" s="13"/>
      <c r="R25" s="14">
        <f t="shared" si="0"/>
        <v>-140130275.53999999</v>
      </c>
    </row>
    <row r="26" spans="1:18" x14ac:dyDescent="0.2">
      <c r="A26" s="3" t="s">
        <v>3443</v>
      </c>
      <c r="B26" s="14">
        <v>-57729232.150000006</v>
      </c>
      <c r="C26" s="13"/>
      <c r="D26" s="74">
        <v>-1883570.13</v>
      </c>
      <c r="E26" s="13"/>
      <c r="F26" s="74">
        <v>245526.64</v>
      </c>
      <c r="G26" s="13"/>
      <c r="H26" s="74">
        <v>0</v>
      </c>
      <c r="I26" s="13"/>
      <c r="J26" s="14">
        <v>0</v>
      </c>
      <c r="K26" s="13"/>
      <c r="L26" s="74">
        <v>340648.73</v>
      </c>
      <c r="M26" s="13"/>
      <c r="N26" s="74">
        <v>0</v>
      </c>
      <c r="O26" s="13"/>
      <c r="P26" s="100">
        <v>0</v>
      </c>
      <c r="Q26" s="13"/>
      <c r="R26" s="14">
        <f t="shared" si="0"/>
        <v>-59026626.910000011</v>
      </c>
    </row>
    <row r="27" spans="1:18" x14ac:dyDescent="0.2">
      <c r="A27" s="3" t="s">
        <v>3444</v>
      </c>
      <c r="B27" s="14">
        <v>-35266257.890000001</v>
      </c>
      <c r="C27" s="13"/>
      <c r="D27" s="74">
        <v>-1681196.42</v>
      </c>
      <c r="E27" s="13"/>
      <c r="F27" s="74">
        <v>806455.03</v>
      </c>
      <c r="G27" s="13"/>
      <c r="H27" s="74">
        <v>0</v>
      </c>
      <c r="I27" s="13"/>
      <c r="J27" s="14">
        <v>0</v>
      </c>
      <c r="K27" s="13"/>
      <c r="L27" s="74">
        <v>-365.19</v>
      </c>
      <c r="M27" s="13"/>
      <c r="N27" s="74">
        <v>-9790.34</v>
      </c>
      <c r="O27" s="13"/>
      <c r="P27" s="100">
        <v>365.19</v>
      </c>
      <c r="Q27" s="13"/>
      <c r="R27" s="14">
        <f t="shared" si="0"/>
        <v>-36150789.620000005</v>
      </c>
    </row>
    <row r="28" spans="1:18" x14ac:dyDescent="0.2">
      <c r="A28" s="3" t="s">
        <v>3445</v>
      </c>
      <c r="B28" s="14">
        <v>-4284.3500000000004</v>
      </c>
      <c r="C28" s="13"/>
      <c r="D28" s="74">
        <v>-19521.61</v>
      </c>
      <c r="E28" s="13"/>
      <c r="F28" s="74">
        <v>0</v>
      </c>
      <c r="G28" s="13"/>
      <c r="H28" s="74">
        <v>0</v>
      </c>
      <c r="I28" s="13"/>
      <c r="J28" s="14">
        <v>0</v>
      </c>
      <c r="K28" s="13"/>
      <c r="L28" s="74">
        <v>0</v>
      </c>
      <c r="M28" s="13"/>
      <c r="N28" s="74">
        <v>0</v>
      </c>
      <c r="O28" s="13"/>
      <c r="P28" s="100">
        <v>0</v>
      </c>
      <c r="Q28" s="13"/>
      <c r="R28" s="14">
        <f t="shared" si="0"/>
        <v>-23805.96</v>
      </c>
    </row>
    <row r="29" spans="1:18" x14ac:dyDescent="0.2">
      <c r="A29" s="3" t="s">
        <v>3446</v>
      </c>
      <c r="B29" s="14">
        <v>-16049729.530000007</v>
      </c>
      <c r="C29" s="13"/>
      <c r="D29" s="74">
        <v>-50776.959999999999</v>
      </c>
      <c r="E29" s="13"/>
      <c r="F29" s="74">
        <v>-3735.54</v>
      </c>
      <c r="G29" s="13"/>
      <c r="H29" s="74">
        <v>16103992.550000001</v>
      </c>
      <c r="I29" s="13"/>
      <c r="J29" s="14">
        <v>0</v>
      </c>
      <c r="K29" s="13"/>
      <c r="L29" s="74">
        <v>-1283.52</v>
      </c>
      <c r="M29" s="13"/>
      <c r="N29" s="74">
        <v>0</v>
      </c>
      <c r="O29" s="13"/>
      <c r="P29" s="100">
        <v>1533</v>
      </c>
      <c r="Q29" s="13"/>
      <c r="R29" s="14">
        <f t="shared" si="0"/>
        <v>-6.0349520936142653E-9</v>
      </c>
    </row>
    <row r="30" spans="1:18" x14ac:dyDescent="0.2">
      <c r="A30" s="3" t="s">
        <v>3447</v>
      </c>
      <c r="B30" s="14">
        <v>-20297889.649999995</v>
      </c>
      <c r="C30" s="13"/>
      <c r="D30" s="74">
        <v>-4197733.5599999996</v>
      </c>
      <c r="E30" s="13"/>
      <c r="F30" s="74">
        <v>4507346.17</v>
      </c>
      <c r="G30" s="13"/>
      <c r="H30" s="74">
        <v>-16103992.550000001</v>
      </c>
      <c r="I30" s="13"/>
      <c r="J30" s="14">
        <v>0</v>
      </c>
      <c r="K30" s="13"/>
      <c r="L30" s="74">
        <v>290774.74</v>
      </c>
      <c r="M30" s="13"/>
      <c r="N30" s="74">
        <v>-8829.85</v>
      </c>
      <c r="O30" s="13"/>
      <c r="P30" s="100">
        <v>-23693.679999999997</v>
      </c>
      <c r="Q30" s="13"/>
      <c r="R30" s="14">
        <f t="shared" si="0"/>
        <v>-35834018.379999988</v>
      </c>
    </row>
    <row r="31" spans="1:18" x14ac:dyDescent="0.2">
      <c r="A31" s="3" t="s">
        <v>3448</v>
      </c>
      <c r="B31" s="17">
        <v>-19131.819999999963</v>
      </c>
      <c r="C31" s="92"/>
      <c r="D31" s="74">
        <v>-6972.91</v>
      </c>
      <c r="E31" s="13"/>
      <c r="F31" s="74">
        <v>2798.53</v>
      </c>
      <c r="G31" s="13"/>
      <c r="H31" s="74">
        <v>0</v>
      </c>
      <c r="I31" s="13"/>
      <c r="J31" s="14">
        <v>0</v>
      </c>
      <c r="K31" s="13"/>
      <c r="L31" s="74">
        <v>0</v>
      </c>
      <c r="M31" s="13"/>
      <c r="N31" s="74">
        <v>0</v>
      </c>
      <c r="O31" s="13"/>
      <c r="P31" s="100">
        <v>0</v>
      </c>
      <c r="Q31" s="92"/>
      <c r="R31" s="17">
        <f t="shared" si="0"/>
        <v>-23306.199999999964</v>
      </c>
    </row>
    <row r="32" spans="1:18" x14ac:dyDescent="0.2">
      <c r="A32" s="73" t="s">
        <v>3449</v>
      </c>
      <c r="B32" s="17">
        <v>-84399.679999999993</v>
      </c>
      <c r="C32" s="13"/>
      <c r="D32" s="74">
        <v>-16791.919999999998</v>
      </c>
      <c r="E32" s="13"/>
      <c r="F32" s="74">
        <v>0</v>
      </c>
      <c r="G32" s="13"/>
      <c r="H32" s="74">
        <v>0</v>
      </c>
      <c r="I32" s="13"/>
      <c r="J32" s="14">
        <v>0</v>
      </c>
      <c r="K32" s="13"/>
      <c r="L32" s="74">
        <v>0</v>
      </c>
      <c r="M32" s="13"/>
      <c r="N32" s="74">
        <v>0</v>
      </c>
      <c r="O32" s="13"/>
      <c r="P32" s="100">
        <v>0</v>
      </c>
      <c r="Q32" s="13"/>
      <c r="R32" s="17">
        <f t="shared" si="0"/>
        <v>-101191.59999999999</v>
      </c>
    </row>
    <row r="33" spans="1:18" x14ac:dyDescent="0.2">
      <c r="A33" s="3" t="s">
        <v>3450</v>
      </c>
      <c r="B33" s="18">
        <f>SUM(B10:B32)</f>
        <v>-603703147.71999991</v>
      </c>
      <c r="C33" s="13"/>
      <c r="D33" s="18">
        <f>SUM(D10:D32)</f>
        <v>-42009830.980000012</v>
      </c>
      <c r="E33" s="13"/>
      <c r="F33" s="18">
        <f>SUM(F10:F32)</f>
        <v>19152465.800000001</v>
      </c>
      <c r="G33" s="13"/>
      <c r="H33" s="18">
        <f>SUM(H10:H32)</f>
        <v>-26599.230000000447</v>
      </c>
      <c r="I33" s="13"/>
      <c r="J33" s="18">
        <f>SUM(J10:J32)</f>
        <v>0</v>
      </c>
      <c r="K33" s="13"/>
      <c r="L33" s="18">
        <f>SUM(L10:L32)</f>
        <v>5623326.7600000007</v>
      </c>
      <c r="M33" s="13"/>
      <c r="N33" s="18">
        <f>SUM(N10:N32)</f>
        <v>-245009.05000000002</v>
      </c>
      <c r="O33" s="13"/>
      <c r="P33" s="18">
        <f>SUM(P10:P32)</f>
        <v>-439838.10000000003</v>
      </c>
      <c r="Q33" s="13"/>
      <c r="R33" s="18">
        <f>SUM(R10:R32)</f>
        <v>-621648632.51999998</v>
      </c>
    </row>
    <row r="34" spans="1:18" x14ac:dyDescent="0.2">
      <c r="C34" s="13"/>
      <c r="E34" s="13"/>
      <c r="G34" s="13"/>
      <c r="I34" s="13"/>
      <c r="K34" s="13"/>
      <c r="M34" s="13"/>
      <c r="O34" s="13"/>
      <c r="Q34" s="13"/>
    </row>
    <row r="35" spans="1:18" x14ac:dyDescent="0.2">
      <c r="A35" s="12" t="s">
        <v>13</v>
      </c>
      <c r="C35" s="13"/>
      <c r="E35" s="13"/>
      <c r="G35" s="13"/>
      <c r="I35" s="13"/>
      <c r="K35" s="13"/>
      <c r="M35" s="13"/>
      <c r="O35" s="13"/>
      <c r="Q35" s="13"/>
    </row>
    <row r="36" spans="1:18" x14ac:dyDescent="0.2">
      <c r="A36" s="3" t="s">
        <v>3451</v>
      </c>
      <c r="B36" s="14">
        <v>1.8189894035458565E-12</v>
      </c>
      <c r="C36" s="13"/>
      <c r="D36" s="74">
        <v>0</v>
      </c>
      <c r="E36" s="13"/>
      <c r="F36" s="74">
        <v>0</v>
      </c>
      <c r="G36" s="13"/>
      <c r="H36" s="74">
        <v>0</v>
      </c>
      <c r="I36" s="13"/>
      <c r="J36" s="14">
        <v>0</v>
      </c>
      <c r="K36" s="13"/>
      <c r="L36" s="74">
        <v>0</v>
      </c>
      <c r="M36" s="13"/>
      <c r="N36" s="74">
        <v>0</v>
      </c>
      <c r="O36" s="13"/>
      <c r="P36" s="100">
        <v>0</v>
      </c>
      <c r="Q36" s="13"/>
      <c r="R36" s="14">
        <f t="shared" ref="R36:R63" si="1">SUM(B36:P36)</f>
        <v>1.8189894035458565E-12</v>
      </c>
    </row>
    <row r="37" spans="1:18" x14ac:dyDescent="0.2">
      <c r="A37" s="3" t="s">
        <v>3452</v>
      </c>
      <c r="B37" s="14">
        <v>-7491281.0200000033</v>
      </c>
      <c r="C37" s="13"/>
      <c r="D37" s="74">
        <v>-780982.09</v>
      </c>
      <c r="E37" s="13"/>
      <c r="F37" s="74">
        <v>525943.18000000005</v>
      </c>
      <c r="G37" s="13"/>
      <c r="H37" s="74">
        <v>0</v>
      </c>
      <c r="I37" s="13"/>
      <c r="J37" s="14">
        <v>0</v>
      </c>
      <c r="K37" s="13"/>
      <c r="L37" s="74">
        <v>69168.399999999994</v>
      </c>
      <c r="M37" s="13"/>
      <c r="N37" s="74">
        <v>-154.38999999999999</v>
      </c>
      <c r="O37" s="13"/>
      <c r="P37" s="100">
        <v>0</v>
      </c>
      <c r="Q37" s="13"/>
      <c r="R37" s="14">
        <f>SUM(B37:P37)</f>
        <v>-7677305.9200000027</v>
      </c>
    </row>
    <row r="38" spans="1:18" x14ac:dyDescent="0.2">
      <c r="A38" s="99" t="s">
        <v>3453</v>
      </c>
      <c r="B38" s="14">
        <v>-10418.450000000001</v>
      </c>
      <c r="C38" s="13"/>
      <c r="D38" s="74">
        <v>-1108.08</v>
      </c>
      <c r="E38" s="13"/>
      <c r="F38" s="74">
        <v>0</v>
      </c>
      <c r="G38" s="13"/>
      <c r="H38" s="74">
        <v>0</v>
      </c>
      <c r="I38" s="13"/>
      <c r="J38" s="14">
        <v>0</v>
      </c>
      <c r="K38" s="13"/>
      <c r="L38" s="74">
        <v>0</v>
      </c>
      <c r="M38" s="13"/>
      <c r="N38" s="74">
        <v>0</v>
      </c>
      <c r="O38" s="13"/>
      <c r="P38" s="100">
        <v>0</v>
      </c>
      <c r="Q38" s="13"/>
      <c r="R38" s="14">
        <f>SUM(B38:P38)</f>
        <v>-11526.53</v>
      </c>
    </row>
    <row r="39" spans="1:18" x14ac:dyDescent="0.2">
      <c r="A39" s="3" t="s">
        <v>3454</v>
      </c>
      <c r="B39" s="14">
        <v>-332743.05999999994</v>
      </c>
      <c r="C39" s="13"/>
      <c r="D39" s="74">
        <v>-91250.04</v>
      </c>
      <c r="E39" s="13"/>
      <c r="F39" s="74">
        <v>0</v>
      </c>
      <c r="G39" s="13"/>
      <c r="H39" s="74">
        <v>0</v>
      </c>
      <c r="I39" s="13"/>
      <c r="J39" s="14">
        <v>0</v>
      </c>
      <c r="K39" s="13"/>
      <c r="L39" s="74">
        <v>0</v>
      </c>
      <c r="M39" s="13"/>
      <c r="N39" s="74">
        <v>0</v>
      </c>
      <c r="O39" s="13"/>
      <c r="P39" s="100">
        <v>0</v>
      </c>
      <c r="Q39" s="13"/>
      <c r="R39" s="14">
        <f>SUM(B39:P39)</f>
        <v>-423993.09999999992</v>
      </c>
    </row>
    <row r="40" spans="1:18" x14ac:dyDescent="0.2">
      <c r="A40" s="3" t="s">
        <v>3455</v>
      </c>
      <c r="B40" s="14">
        <v>-2733265.46</v>
      </c>
      <c r="C40" s="13"/>
      <c r="D40" s="74">
        <v>-218070.82</v>
      </c>
      <c r="E40" s="13"/>
      <c r="F40" s="74">
        <v>145657.73000000001</v>
      </c>
      <c r="G40" s="13"/>
      <c r="H40" s="74">
        <v>-53359.28</v>
      </c>
      <c r="I40" s="13"/>
      <c r="J40" s="14">
        <v>0</v>
      </c>
      <c r="K40" s="13"/>
      <c r="L40" s="74">
        <v>111043.21</v>
      </c>
      <c r="M40" s="13"/>
      <c r="N40" s="74">
        <v>0</v>
      </c>
      <c r="O40" s="13"/>
      <c r="P40" s="100">
        <v>0</v>
      </c>
      <c r="Q40" s="13"/>
      <c r="R40" s="14">
        <f t="shared" si="1"/>
        <v>-2747994.6199999996</v>
      </c>
    </row>
    <row r="41" spans="1:18" x14ac:dyDescent="0.2">
      <c r="A41" s="3" t="s">
        <v>3456</v>
      </c>
      <c r="B41" s="14">
        <v>-316831.70000000007</v>
      </c>
      <c r="C41" s="13"/>
      <c r="D41" s="74">
        <v>-41705.440000000002</v>
      </c>
      <c r="E41" s="13"/>
      <c r="F41" s="74">
        <v>4004.29</v>
      </c>
      <c r="G41" s="13"/>
      <c r="H41" s="74">
        <v>0</v>
      </c>
      <c r="I41" s="13"/>
      <c r="J41" s="14">
        <v>0</v>
      </c>
      <c r="K41" s="13"/>
      <c r="L41" s="74">
        <v>2300</v>
      </c>
      <c r="M41" s="13"/>
      <c r="N41" s="74">
        <v>0</v>
      </c>
      <c r="O41" s="13"/>
      <c r="P41" s="100">
        <v>0</v>
      </c>
      <c r="Q41" s="13"/>
      <c r="R41" s="14">
        <f t="shared" si="1"/>
        <v>-352232.85000000009</v>
      </c>
    </row>
    <row r="42" spans="1:18" outlineLevel="1" x14ac:dyDescent="0.2">
      <c r="A42" s="3" t="s">
        <v>3457</v>
      </c>
      <c r="B42" s="14">
        <v>-5781.3199999999988</v>
      </c>
      <c r="C42" s="13"/>
      <c r="D42" s="14">
        <v>-88.32</v>
      </c>
      <c r="E42" s="13"/>
      <c r="F42" s="14">
        <v>0</v>
      </c>
      <c r="G42" s="13"/>
      <c r="H42" s="14">
        <v>0</v>
      </c>
      <c r="I42" s="13"/>
      <c r="J42" s="14">
        <v>0</v>
      </c>
      <c r="K42" s="13"/>
      <c r="L42" s="14">
        <v>0</v>
      </c>
      <c r="M42" s="13"/>
      <c r="N42" s="14">
        <v>0</v>
      </c>
      <c r="O42" s="13"/>
      <c r="P42" s="14">
        <v>0</v>
      </c>
      <c r="Q42" s="13"/>
      <c r="R42" s="14">
        <f>SUM(B42:P42)</f>
        <v>-5869.6399999999985</v>
      </c>
    </row>
    <row r="43" spans="1:18" outlineLevel="1" x14ac:dyDescent="0.2">
      <c r="A43" s="3" t="s">
        <v>3458</v>
      </c>
      <c r="B43" s="14">
        <v>0</v>
      </c>
      <c r="C43" s="13"/>
      <c r="D43" s="14">
        <v>0</v>
      </c>
      <c r="E43" s="13"/>
      <c r="F43" s="14">
        <v>0</v>
      </c>
      <c r="G43" s="13"/>
      <c r="H43" s="14">
        <v>0</v>
      </c>
      <c r="I43" s="13"/>
      <c r="J43" s="14">
        <v>0</v>
      </c>
      <c r="K43" s="13"/>
      <c r="L43" s="14">
        <v>0</v>
      </c>
      <c r="M43" s="13"/>
      <c r="N43" s="14">
        <v>0</v>
      </c>
      <c r="O43" s="13"/>
      <c r="P43" s="14">
        <v>0</v>
      </c>
      <c r="Q43" s="13"/>
      <c r="R43" s="14">
        <f t="shared" si="1"/>
        <v>0</v>
      </c>
    </row>
    <row r="44" spans="1:18" outlineLevel="1" x14ac:dyDescent="0.2">
      <c r="A44" s="3" t="s">
        <v>3459</v>
      </c>
      <c r="B44" s="14">
        <v>0</v>
      </c>
      <c r="C44" s="13"/>
      <c r="D44" s="14">
        <v>0</v>
      </c>
      <c r="E44" s="13"/>
      <c r="F44" s="14">
        <v>0</v>
      </c>
      <c r="G44" s="13"/>
      <c r="H44" s="14">
        <v>0</v>
      </c>
      <c r="I44" s="13"/>
      <c r="J44" s="14">
        <v>0</v>
      </c>
      <c r="K44" s="13"/>
      <c r="L44" s="14">
        <v>0</v>
      </c>
      <c r="M44" s="13"/>
      <c r="N44" s="14">
        <v>0</v>
      </c>
      <c r="O44" s="13"/>
      <c r="P44" s="14">
        <v>0</v>
      </c>
      <c r="Q44" s="13"/>
      <c r="R44" s="14">
        <f t="shared" si="1"/>
        <v>0</v>
      </c>
    </row>
    <row r="45" spans="1:18" outlineLevel="1" x14ac:dyDescent="0.2">
      <c r="A45" s="3" t="s">
        <v>3460</v>
      </c>
      <c r="B45" s="14">
        <v>0</v>
      </c>
      <c r="C45" s="13"/>
      <c r="D45" s="14">
        <v>0</v>
      </c>
      <c r="E45" s="13"/>
      <c r="F45" s="14">
        <v>0</v>
      </c>
      <c r="G45" s="13"/>
      <c r="H45" s="14">
        <v>0</v>
      </c>
      <c r="I45" s="13"/>
      <c r="J45" s="14">
        <v>0</v>
      </c>
      <c r="K45" s="13"/>
      <c r="L45" s="14">
        <v>0</v>
      </c>
      <c r="M45" s="13"/>
      <c r="N45" s="14">
        <v>0</v>
      </c>
      <c r="O45" s="13"/>
      <c r="P45" s="14">
        <v>0</v>
      </c>
      <c r="Q45" s="13"/>
      <c r="R45" s="14">
        <f t="shared" si="1"/>
        <v>0</v>
      </c>
    </row>
    <row r="46" spans="1:18" outlineLevel="1" x14ac:dyDescent="0.2">
      <c r="A46" s="3" t="s">
        <v>3461</v>
      </c>
      <c r="B46" s="14">
        <v>-4418.7999999999984</v>
      </c>
      <c r="C46" s="13"/>
      <c r="D46" s="14">
        <v>-67.44</v>
      </c>
      <c r="E46" s="13"/>
      <c r="F46" s="14">
        <v>0</v>
      </c>
      <c r="G46" s="13"/>
      <c r="H46" s="14">
        <v>0</v>
      </c>
      <c r="I46" s="13"/>
      <c r="J46" s="14">
        <v>0</v>
      </c>
      <c r="K46" s="13"/>
      <c r="L46" s="14">
        <v>0</v>
      </c>
      <c r="M46" s="13"/>
      <c r="N46" s="14">
        <v>0</v>
      </c>
      <c r="O46" s="13"/>
      <c r="P46" s="14">
        <v>0</v>
      </c>
      <c r="Q46" s="13"/>
      <c r="R46" s="14">
        <f t="shared" si="1"/>
        <v>-4486.239999999998</v>
      </c>
    </row>
    <row r="47" spans="1:18" outlineLevel="1" x14ac:dyDescent="0.2">
      <c r="A47" s="3" t="s">
        <v>3462</v>
      </c>
      <c r="B47" s="14">
        <v>-22043.590000000007</v>
      </c>
      <c r="C47" s="13"/>
      <c r="D47" s="14">
        <v>-336.72</v>
      </c>
      <c r="E47" s="13"/>
      <c r="F47" s="14">
        <v>0</v>
      </c>
      <c r="G47" s="13"/>
      <c r="H47" s="14">
        <v>0</v>
      </c>
      <c r="I47" s="13"/>
      <c r="J47" s="14">
        <v>0</v>
      </c>
      <c r="K47" s="13"/>
      <c r="L47" s="14">
        <v>0</v>
      </c>
      <c r="M47" s="13"/>
      <c r="N47" s="14">
        <v>0</v>
      </c>
      <c r="O47" s="13"/>
      <c r="P47" s="14">
        <v>0</v>
      </c>
      <c r="Q47" s="13"/>
      <c r="R47" s="14">
        <f t="shared" si="1"/>
        <v>-22380.310000000009</v>
      </c>
    </row>
    <row r="48" spans="1:18" outlineLevel="1" x14ac:dyDescent="0.2">
      <c r="A48" s="3" t="s">
        <v>3463</v>
      </c>
      <c r="B48" s="14">
        <v>0</v>
      </c>
      <c r="C48" s="13"/>
      <c r="D48" s="14">
        <v>0</v>
      </c>
      <c r="E48" s="13"/>
      <c r="F48" s="14">
        <v>0</v>
      </c>
      <c r="G48" s="13"/>
      <c r="H48" s="14">
        <v>0</v>
      </c>
      <c r="I48" s="13"/>
      <c r="J48" s="14">
        <v>0</v>
      </c>
      <c r="K48" s="13"/>
      <c r="L48" s="14">
        <v>0</v>
      </c>
      <c r="M48" s="13"/>
      <c r="N48" s="14">
        <v>0</v>
      </c>
      <c r="O48" s="13"/>
      <c r="P48" s="14">
        <v>0</v>
      </c>
      <c r="Q48" s="13"/>
      <c r="R48" s="14">
        <f>SUM(B48:P48)</f>
        <v>0</v>
      </c>
    </row>
    <row r="49" spans="1:18" outlineLevel="1" x14ac:dyDescent="0.2">
      <c r="A49" s="3" t="s">
        <v>3464</v>
      </c>
      <c r="B49" s="14">
        <v>-1169.3800000000006</v>
      </c>
      <c r="C49" s="13"/>
      <c r="D49" s="14">
        <v>-17.88</v>
      </c>
      <c r="E49" s="13"/>
      <c r="F49" s="14">
        <v>0</v>
      </c>
      <c r="G49" s="13"/>
      <c r="H49" s="14">
        <v>0</v>
      </c>
      <c r="I49" s="13"/>
      <c r="J49" s="14">
        <v>0</v>
      </c>
      <c r="K49" s="13"/>
      <c r="L49" s="14">
        <v>0</v>
      </c>
      <c r="M49" s="13"/>
      <c r="N49" s="14">
        <v>0</v>
      </c>
      <c r="O49" s="13"/>
      <c r="P49" s="14">
        <v>0</v>
      </c>
      <c r="Q49" s="13"/>
      <c r="R49" s="14">
        <f t="shared" si="1"/>
        <v>-1187.2600000000007</v>
      </c>
    </row>
    <row r="50" spans="1:18" outlineLevel="1" x14ac:dyDescent="0.2">
      <c r="A50" s="3" t="s">
        <v>3465</v>
      </c>
      <c r="B50" s="14">
        <v>0</v>
      </c>
      <c r="C50" s="13"/>
      <c r="D50" s="14">
        <v>0</v>
      </c>
      <c r="E50" s="13"/>
      <c r="F50" s="14">
        <v>0</v>
      </c>
      <c r="G50" s="13"/>
      <c r="H50" s="14">
        <v>0</v>
      </c>
      <c r="I50" s="13"/>
      <c r="J50" s="14">
        <v>0</v>
      </c>
      <c r="K50" s="13"/>
      <c r="L50" s="14">
        <v>0</v>
      </c>
      <c r="M50" s="13"/>
      <c r="N50" s="14">
        <v>0</v>
      </c>
      <c r="O50" s="13"/>
      <c r="P50" s="14">
        <v>0</v>
      </c>
      <c r="Q50" s="13"/>
      <c r="R50" s="14">
        <f t="shared" si="1"/>
        <v>0</v>
      </c>
    </row>
    <row r="51" spans="1:18" outlineLevel="1" x14ac:dyDescent="0.2">
      <c r="A51" s="3" t="s">
        <v>3466</v>
      </c>
      <c r="B51" s="14">
        <v>-52821.279999999992</v>
      </c>
      <c r="C51" s="13"/>
      <c r="D51" s="14">
        <v>-638.87</v>
      </c>
      <c r="E51" s="13"/>
      <c r="F51" s="14">
        <v>0</v>
      </c>
      <c r="G51" s="13"/>
      <c r="H51" s="14">
        <v>53359.28</v>
      </c>
      <c r="I51" s="13"/>
      <c r="J51" s="14">
        <v>0</v>
      </c>
      <c r="K51" s="13"/>
      <c r="L51" s="14">
        <v>0</v>
      </c>
      <c r="M51" s="13"/>
      <c r="N51" s="14">
        <v>0</v>
      </c>
      <c r="O51" s="13"/>
      <c r="P51" s="14">
        <v>0</v>
      </c>
      <c r="Q51" s="13"/>
      <c r="R51" s="14">
        <f t="shared" si="1"/>
        <v>-100.86999999999534</v>
      </c>
    </row>
    <row r="52" spans="1:18" outlineLevel="1" x14ac:dyDescent="0.2">
      <c r="A52" s="3" t="s">
        <v>3467</v>
      </c>
      <c r="B52" s="14">
        <v>0</v>
      </c>
      <c r="C52" s="13"/>
      <c r="D52" s="14">
        <v>0</v>
      </c>
      <c r="E52" s="13"/>
      <c r="F52" s="14">
        <v>0</v>
      </c>
      <c r="G52" s="13"/>
      <c r="H52" s="14">
        <v>0</v>
      </c>
      <c r="I52" s="13"/>
      <c r="J52" s="14">
        <v>0</v>
      </c>
      <c r="K52" s="13"/>
      <c r="L52" s="14">
        <v>0</v>
      </c>
      <c r="M52" s="13"/>
      <c r="N52" s="14">
        <v>0</v>
      </c>
      <c r="O52" s="13"/>
      <c r="P52" s="14">
        <v>0</v>
      </c>
      <c r="Q52" s="13"/>
      <c r="R52" s="14">
        <f t="shared" si="1"/>
        <v>0</v>
      </c>
    </row>
    <row r="53" spans="1:18" outlineLevel="1" x14ac:dyDescent="0.2">
      <c r="A53" s="3" t="s">
        <v>3468</v>
      </c>
      <c r="B53" s="14">
        <v>-194.15999999999997</v>
      </c>
      <c r="C53" s="13"/>
      <c r="D53" s="14">
        <v>-2.88</v>
      </c>
      <c r="E53" s="13"/>
      <c r="F53" s="14">
        <v>0</v>
      </c>
      <c r="G53" s="13"/>
      <c r="H53" s="14">
        <v>0</v>
      </c>
      <c r="I53" s="13"/>
      <c r="J53" s="14">
        <v>0</v>
      </c>
      <c r="K53" s="13"/>
      <c r="L53" s="14">
        <v>0</v>
      </c>
      <c r="M53" s="13"/>
      <c r="N53" s="14">
        <v>0</v>
      </c>
      <c r="O53" s="13"/>
      <c r="P53" s="14">
        <v>0</v>
      </c>
      <c r="Q53" s="13"/>
      <c r="R53" s="14">
        <f t="shared" si="1"/>
        <v>-197.03999999999996</v>
      </c>
    </row>
    <row r="54" spans="1:18" outlineLevel="1" x14ac:dyDescent="0.2">
      <c r="A54" s="3" t="s">
        <v>3469</v>
      </c>
      <c r="B54" s="14">
        <v>-36722.849999999991</v>
      </c>
      <c r="C54" s="13"/>
      <c r="D54" s="14">
        <v>-561</v>
      </c>
      <c r="E54" s="13"/>
      <c r="F54" s="14">
        <v>0</v>
      </c>
      <c r="G54" s="13"/>
      <c r="H54" s="14">
        <v>0</v>
      </c>
      <c r="I54" s="13"/>
      <c r="J54" s="14">
        <v>0</v>
      </c>
      <c r="K54" s="13"/>
      <c r="L54" s="14">
        <v>0</v>
      </c>
      <c r="M54" s="13"/>
      <c r="N54" s="14">
        <v>0</v>
      </c>
      <c r="O54" s="13"/>
      <c r="P54" s="14">
        <v>0</v>
      </c>
      <c r="Q54" s="13"/>
      <c r="R54" s="14">
        <f t="shared" si="1"/>
        <v>-37283.849999999991</v>
      </c>
    </row>
    <row r="55" spans="1:18" outlineLevel="1" x14ac:dyDescent="0.2">
      <c r="A55" s="3" t="s">
        <v>3470</v>
      </c>
      <c r="B55" s="14">
        <v>0</v>
      </c>
      <c r="C55" s="13"/>
      <c r="D55" s="14">
        <v>0</v>
      </c>
      <c r="E55" s="13"/>
      <c r="F55" s="14">
        <v>0</v>
      </c>
      <c r="G55" s="13"/>
      <c r="H55" s="14">
        <v>0</v>
      </c>
      <c r="I55" s="13"/>
      <c r="J55" s="14">
        <v>0</v>
      </c>
      <c r="K55" s="13"/>
      <c r="L55" s="14">
        <v>0</v>
      </c>
      <c r="M55" s="13"/>
      <c r="N55" s="14">
        <v>0</v>
      </c>
      <c r="O55" s="13"/>
      <c r="P55" s="14">
        <v>0</v>
      </c>
      <c r="Q55" s="13"/>
      <c r="R55" s="14">
        <f t="shared" si="1"/>
        <v>0</v>
      </c>
    </row>
    <row r="56" spans="1:18" outlineLevel="1" x14ac:dyDescent="0.2">
      <c r="A56" s="3" t="s">
        <v>3471</v>
      </c>
      <c r="B56" s="14">
        <v>-3325.4800000000005</v>
      </c>
      <c r="C56" s="13"/>
      <c r="D56" s="14">
        <v>-50.76</v>
      </c>
      <c r="E56" s="13"/>
      <c r="F56" s="14">
        <v>0</v>
      </c>
      <c r="G56" s="13"/>
      <c r="H56" s="14">
        <v>0</v>
      </c>
      <c r="I56" s="13"/>
      <c r="J56" s="14">
        <v>0</v>
      </c>
      <c r="K56" s="13"/>
      <c r="L56" s="14">
        <v>0</v>
      </c>
      <c r="M56" s="13"/>
      <c r="N56" s="14">
        <v>0</v>
      </c>
      <c r="O56" s="13"/>
      <c r="P56" s="14">
        <v>0</v>
      </c>
      <c r="Q56" s="13"/>
      <c r="R56" s="14">
        <f t="shared" si="1"/>
        <v>-3376.2400000000007</v>
      </c>
    </row>
    <row r="57" spans="1:18" outlineLevel="1" x14ac:dyDescent="0.2">
      <c r="A57" s="3" t="s">
        <v>3472</v>
      </c>
      <c r="B57" s="14">
        <v>-155372.06000000003</v>
      </c>
      <c r="C57" s="13"/>
      <c r="D57" s="14">
        <v>-4616.5200000000004</v>
      </c>
      <c r="E57" s="13"/>
      <c r="F57" s="14">
        <v>0</v>
      </c>
      <c r="G57" s="13"/>
      <c r="H57" s="14">
        <v>0</v>
      </c>
      <c r="I57" s="13"/>
      <c r="J57" s="14">
        <v>0</v>
      </c>
      <c r="K57" s="13"/>
      <c r="L57" s="14">
        <v>0</v>
      </c>
      <c r="M57" s="13"/>
      <c r="N57" s="14">
        <v>0</v>
      </c>
      <c r="O57" s="13"/>
      <c r="P57" s="14">
        <v>0</v>
      </c>
      <c r="Q57" s="13"/>
      <c r="R57" s="14">
        <f t="shared" si="1"/>
        <v>-159988.58000000002</v>
      </c>
    </row>
    <row r="58" spans="1:18" outlineLevel="1" x14ac:dyDescent="0.2">
      <c r="A58" s="3" t="s">
        <v>3473</v>
      </c>
      <c r="B58" s="14">
        <v>-45836.34</v>
      </c>
      <c r="C58" s="13"/>
      <c r="D58" s="14">
        <v>-700.2</v>
      </c>
      <c r="E58" s="13"/>
      <c r="F58" s="14">
        <v>0</v>
      </c>
      <c r="G58" s="13"/>
      <c r="H58" s="14">
        <v>0</v>
      </c>
      <c r="I58" s="13"/>
      <c r="J58" s="14">
        <v>0</v>
      </c>
      <c r="K58" s="13"/>
      <c r="L58" s="14">
        <v>0</v>
      </c>
      <c r="M58" s="13"/>
      <c r="N58" s="14">
        <v>0</v>
      </c>
      <c r="O58" s="13"/>
      <c r="P58" s="14">
        <v>0</v>
      </c>
      <c r="Q58" s="13"/>
      <c r="R58" s="14">
        <f t="shared" si="1"/>
        <v>-46536.539999999994</v>
      </c>
    </row>
    <row r="59" spans="1:18" outlineLevel="1" x14ac:dyDescent="0.2">
      <c r="A59" s="3" t="s">
        <v>3474</v>
      </c>
      <c r="B59" s="14">
        <v>0</v>
      </c>
      <c r="C59" s="13"/>
      <c r="D59" s="14">
        <v>0</v>
      </c>
      <c r="E59" s="13"/>
      <c r="F59" s="14">
        <v>0</v>
      </c>
      <c r="G59" s="13"/>
      <c r="H59" s="14">
        <v>0</v>
      </c>
      <c r="I59" s="13"/>
      <c r="J59" s="14">
        <v>0</v>
      </c>
      <c r="K59" s="13"/>
      <c r="L59" s="14">
        <v>0</v>
      </c>
      <c r="M59" s="13"/>
      <c r="N59" s="14">
        <v>0</v>
      </c>
      <c r="O59" s="13"/>
      <c r="P59" s="14">
        <v>0</v>
      </c>
      <c r="Q59" s="13"/>
      <c r="R59" s="14">
        <f t="shared" si="1"/>
        <v>0</v>
      </c>
    </row>
    <row r="60" spans="1:18" outlineLevel="1" x14ac:dyDescent="0.2">
      <c r="A60" s="3" t="s">
        <v>3475</v>
      </c>
      <c r="B60" s="14">
        <v>0</v>
      </c>
      <c r="C60" s="13"/>
      <c r="D60" s="14">
        <v>0</v>
      </c>
      <c r="E60" s="13"/>
      <c r="F60" s="14">
        <v>0</v>
      </c>
      <c r="G60" s="13"/>
      <c r="H60" s="14">
        <v>0</v>
      </c>
      <c r="I60" s="13"/>
      <c r="J60" s="14">
        <v>0</v>
      </c>
      <c r="K60" s="13"/>
      <c r="L60" s="14">
        <v>0</v>
      </c>
      <c r="M60" s="13"/>
      <c r="N60" s="14">
        <v>0</v>
      </c>
      <c r="O60" s="13"/>
      <c r="P60" s="14">
        <v>0</v>
      </c>
      <c r="Q60" s="13"/>
      <c r="R60" s="14">
        <f t="shared" si="1"/>
        <v>0</v>
      </c>
    </row>
    <row r="61" spans="1:18" outlineLevel="1" x14ac:dyDescent="0.2">
      <c r="A61" s="3" t="s">
        <v>3476</v>
      </c>
      <c r="B61" s="14">
        <v>-9088.1699999999983</v>
      </c>
      <c r="C61" s="13"/>
      <c r="D61" s="14">
        <v>-138.84</v>
      </c>
      <c r="E61" s="13"/>
      <c r="F61" s="14">
        <v>0</v>
      </c>
      <c r="G61" s="13"/>
      <c r="H61" s="14">
        <v>0</v>
      </c>
      <c r="I61" s="13"/>
      <c r="J61" s="14">
        <v>0</v>
      </c>
      <c r="K61" s="13"/>
      <c r="L61" s="14">
        <v>0</v>
      </c>
      <c r="M61" s="13"/>
      <c r="N61" s="14">
        <v>0</v>
      </c>
      <c r="O61" s="13"/>
      <c r="P61" s="14">
        <v>0</v>
      </c>
      <c r="Q61" s="13"/>
      <c r="R61" s="14">
        <f t="shared" si="1"/>
        <v>-9227.0099999999984</v>
      </c>
    </row>
    <row r="62" spans="1:18" outlineLevel="1" x14ac:dyDescent="0.2">
      <c r="A62" s="3" t="s">
        <v>3477</v>
      </c>
      <c r="B62" s="14">
        <v>-65591.799999999988</v>
      </c>
      <c r="C62" s="13"/>
      <c r="D62" s="14">
        <v>-1002</v>
      </c>
      <c r="E62" s="13"/>
      <c r="F62" s="14">
        <v>0</v>
      </c>
      <c r="G62" s="13"/>
      <c r="H62" s="14">
        <v>0</v>
      </c>
      <c r="I62" s="13"/>
      <c r="J62" s="14">
        <v>0</v>
      </c>
      <c r="K62" s="13"/>
      <c r="L62" s="14">
        <v>0</v>
      </c>
      <c r="M62" s="13"/>
      <c r="N62" s="14">
        <v>0</v>
      </c>
      <c r="O62" s="13"/>
      <c r="P62" s="14">
        <v>0</v>
      </c>
      <c r="Q62" s="13"/>
      <c r="R62" s="14">
        <f t="shared" si="1"/>
        <v>-66593.799999999988</v>
      </c>
    </row>
    <row r="63" spans="1:18" outlineLevel="1" x14ac:dyDescent="0.2">
      <c r="A63" s="3" t="s">
        <v>3478</v>
      </c>
      <c r="B63" s="14">
        <v>0</v>
      </c>
      <c r="C63" s="13"/>
      <c r="D63" s="14">
        <v>0</v>
      </c>
      <c r="E63" s="13"/>
      <c r="F63" s="14">
        <v>0</v>
      </c>
      <c r="G63" s="13"/>
      <c r="H63" s="14">
        <v>0</v>
      </c>
      <c r="I63" s="13"/>
      <c r="J63" s="14">
        <v>0</v>
      </c>
      <c r="K63" s="13"/>
      <c r="L63" s="14">
        <v>0</v>
      </c>
      <c r="M63" s="13"/>
      <c r="N63" s="14">
        <v>0</v>
      </c>
      <c r="O63" s="13"/>
      <c r="P63" s="14">
        <v>0</v>
      </c>
      <c r="Q63" s="13"/>
      <c r="R63" s="14">
        <f t="shared" si="1"/>
        <v>0</v>
      </c>
    </row>
    <row r="64" spans="1:18" x14ac:dyDescent="0.2">
      <c r="A64" s="3" t="s">
        <v>3479</v>
      </c>
      <c r="B64" s="14">
        <f>SUM(B42:B63)</f>
        <v>-402365.23</v>
      </c>
      <c r="C64" s="13"/>
      <c r="D64" s="14">
        <f>SUM(D42:D63)</f>
        <v>-8221.43</v>
      </c>
      <c r="E64" s="13"/>
      <c r="F64" s="14">
        <f>SUM(F42:F63)</f>
        <v>0</v>
      </c>
      <c r="G64" s="13"/>
      <c r="H64" s="14">
        <f>SUM(H42:H63)</f>
        <v>53359.28</v>
      </c>
      <c r="I64" s="13"/>
      <c r="J64" s="14">
        <f>SUM(J42:J63)</f>
        <v>0</v>
      </c>
      <c r="K64" s="13"/>
      <c r="L64" s="14">
        <f>SUM(L42:L63)</f>
        <v>0</v>
      </c>
      <c r="M64" s="13"/>
      <c r="N64" s="14">
        <f>SUM(N42:N63)</f>
        <v>0</v>
      </c>
      <c r="O64" s="13"/>
      <c r="P64" s="14">
        <f>SUM(P42:P63)</f>
        <v>0</v>
      </c>
      <c r="Q64" s="13"/>
      <c r="R64" s="14">
        <f>SUM(R42:R63)</f>
        <v>-357227.38</v>
      </c>
    </row>
    <row r="65" spans="1:18" x14ac:dyDescent="0.2">
      <c r="A65" s="3" t="s">
        <v>3480</v>
      </c>
      <c r="B65" s="14">
        <v>-5669129.0099999988</v>
      </c>
      <c r="C65" s="13"/>
      <c r="D65" s="74">
        <v>-451870.49</v>
      </c>
      <c r="E65" s="13"/>
      <c r="F65" s="74">
        <v>1063656.6000000001</v>
      </c>
      <c r="G65" s="13"/>
      <c r="H65" s="74">
        <v>0</v>
      </c>
      <c r="I65" s="13"/>
      <c r="J65" s="14">
        <v>0</v>
      </c>
      <c r="K65" s="13"/>
      <c r="L65" s="74">
        <v>29413.94</v>
      </c>
      <c r="M65" s="13"/>
      <c r="N65" s="74">
        <v>0</v>
      </c>
      <c r="O65" s="13"/>
      <c r="P65" s="100">
        <v>0</v>
      </c>
      <c r="Q65" s="13"/>
      <c r="R65" s="14">
        <f t="shared" ref="R65:R79" si="2">SUM(B65:P65)</f>
        <v>-5027928.9599999981</v>
      </c>
    </row>
    <row r="66" spans="1:18" x14ac:dyDescent="0.2">
      <c r="A66" s="3" t="s">
        <v>3481</v>
      </c>
      <c r="B66" s="14">
        <v>-14275707.660000002</v>
      </c>
      <c r="C66" s="13"/>
      <c r="D66" s="74">
        <v>-5485021.4900000002</v>
      </c>
      <c r="E66" s="13"/>
      <c r="F66" s="74">
        <v>4236675.62</v>
      </c>
      <c r="G66" s="13"/>
      <c r="H66" s="74">
        <v>0</v>
      </c>
      <c r="I66" s="13"/>
      <c r="J66" s="14">
        <v>0</v>
      </c>
      <c r="K66" s="13"/>
      <c r="L66" s="74">
        <v>0</v>
      </c>
      <c r="M66" s="13"/>
      <c r="N66" s="74">
        <v>0</v>
      </c>
      <c r="O66" s="13"/>
      <c r="P66" s="100">
        <v>0</v>
      </c>
      <c r="Q66" s="13"/>
      <c r="R66" s="14">
        <f t="shared" si="2"/>
        <v>-15524053.530000001</v>
      </c>
    </row>
    <row r="67" spans="1:18" x14ac:dyDescent="0.2">
      <c r="A67" s="3" t="s">
        <v>3482</v>
      </c>
      <c r="B67" s="14">
        <v>0</v>
      </c>
      <c r="C67" s="13"/>
      <c r="D67" s="74">
        <v>0</v>
      </c>
      <c r="E67" s="13"/>
      <c r="F67" s="74">
        <v>0</v>
      </c>
      <c r="G67" s="13"/>
      <c r="H67" s="74">
        <v>0</v>
      </c>
      <c r="I67" s="13"/>
      <c r="J67" s="14">
        <v>0</v>
      </c>
      <c r="K67" s="13"/>
      <c r="L67" s="74">
        <v>0</v>
      </c>
      <c r="M67" s="13"/>
      <c r="N67" s="74">
        <v>0</v>
      </c>
      <c r="O67" s="13"/>
      <c r="P67" s="100">
        <v>0</v>
      </c>
      <c r="Q67" s="13"/>
      <c r="R67" s="14">
        <f t="shared" si="2"/>
        <v>0</v>
      </c>
    </row>
    <row r="68" spans="1:18" x14ac:dyDescent="0.2">
      <c r="A68" s="3" t="s">
        <v>3483</v>
      </c>
      <c r="B68" s="14">
        <v>-3350909.26</v>
      </c>
      <c r="C68" s="13"/>
      <c r="D68" s="74">
        <v>-524484.81999999995</v>
      </c>
      <c r="E68" s="13"/>
      <c r="F68" s="74">
        <v>3267500.19</v>
      </c>
      <c r="G68" s="13"/>
      <c r="H68" s="74">
        <v>0</v>
      </c>
      <c r="I68" s="13"/>
      <c r="J68" s="14">
        <v>0</v>
      </c>
      <c r="K68" s="13"/>
      <c r="L68" s="74">
        <v>0</v>
      </c>
      <c r="M68" s="13"/>
      <c r="N68" s="74">
        <v>0</v>
      </c>
      <c r="O68" s="13"/>
      <c r="P68" s="100">
        <v>0</v>
      </c>
      <c r="Q68" s="13"/>
      <c r="R68" s="14">
        <f t="shared" si="2"/>
        <v>-607893.88999999966</v>
      </c>
    </row>
    <row r="69" spans="1:18" x14ac:dyDescent="0.2">
      <c r="A69" s="3" t="s">
        <v>3484</v>
      </c>
      <c r="B69" s="14">
        <v>-8471.8200000000033</v>
      </c>
      <c r="C69" s="13"/>
      <c r="D69" s="74">
        <v>-5179.72</v>
      </c>
      <c r="E69" s="13"/>
      <c r="F69" s="74">
        <v>0</v>
      </c>
      <c r="G69" s="13"/>
      <c r="H69" s="74">
        <v>-12524.06</v>
      </c>
      <c r="I69" s="13"/>
      <c r="J69" s="14">
        <v>0</v>
      </c>
      <c r="K69" s="13"/>
      <c r="L69" s="74">
        <v>0</v>
      </c>
      <c r="M69" s="13"/>
      <c r="N69" s="74">
        <v>0</v>
      </c>
      <c r="O69" s="13"/>
      <c r="P69" s="100">
        <v>0</v>
      </c>
      <c r="Q69" s="13"/>
      <c r="R69" s="14">
        <f t="shared" si="2"/>
        <v>-26175.600000000006</v>
      </c>
    </row>
    <row r="70" spans="1:18" x14ac:dyDescent="0.2">
      <c r="A70" s="3" t="s">
        <v>3485</v>
      </c>
      <c r="B70" s="14">
        <v>-842019.19999999623</v>
      </c>
      <c r="C70" s="13"/>
      <c r="D70" s="74">
        <v>-116237.94</v>
      </c>
      <c r="E70" s="13"/>
      <c r="F70" s="74">
        <v>158179.93</v>
      </c>
      <c r="G70" s="13"/>
      <c r="H70" s="74">
        <v>-6811.96</v>
      </c>
      <c r="I70" s="13"/>
      <c r="J70" s="14">
        <v>0</v>
      </c>
      <c r="K70" s="13"/>
      <c r="L70" s="74">
        <v>-568.76</v>
      </c>
      <c r="M70" s="13"/>
      <c r="N70" s="74">
        <v>7380.7199999999993</v>
      </c>
      <c r="O70" s="13"/>
      <c r="P70" s="100">
        <v>0</v>
      </c>
      <c r="Q70" s="13"/>
      <c r="R70" s="14">
        <f t="shared" si="2"/>
        <v>-800077.20999999624</v>
      </c>
    </row>
    <row r="71" spans="1:18" x14ac:dyDescent="0.2">
      <c r="A71" s="3" t="s">
        <v>3486</v>
      </c>
      <c r="B71" s="14">
        <v>-2506216.1500000004</v>
      </c>
      <c r="C71" s="13"/>
      <c r="D71" s="74">
        <v>-640232.06000000006</v>
      </c>
      <c r="E71" s="13"/>
      <c r="F71" s="74">
        <v>108408.86</v>
      </c>
      <c r="G71" s="13"/>
      <c r="H71" s="74">
        <v>19336.02</v>
      </c>
      <c r="I71" s="13"/>
      <c r="J71" s="14">
        <v>0</v>
      </c>
      <c r="K71" s="13"/>
      <c r="L71" s="74">
        <v>568.76</v>
      </c>
      <c r="M71" s="13"/>
      <c r="N71" s="74">
        <v>-7380.72</v>
      </c>
      <c r="O71" s="13"/>
      <c r="P71" s="100">
        <v>0</v>
      </c>
      <c r="Q71" s="13"/>
      <c r="R71" s="14">
        <f t="shared" si="2"/>
        <v>-3025515.290000001</v>
      </c>
    </row>
    <row r="72" spans="1:18" x14ac:dyDescent="0.2">
      <c r="A72" s="3" t="s">
        <v>3487</v>
      </c>
      <c r="B72" s="14">
        <v>-308475.54000000004</v>
      </c>
      <c r="C72" s="13"/>
      <c r="D72" s="74">
        <v>-67484</v>
      </c>
      <c r="E72" s="13"/>
      <c r="F72" s="74">
        <v>0</v>
      </c>
      <c r="G72" s="13"/>
      <c r="H72" s="74">
        <v>0</v>
      </c>
      <c r="I72" s="13"/>
      <c r="J72" s="14">
        <v>0</v>
      </c>
      <c r="K72" s="13"/>
      <c r="L72" s="74">
        <v>0</v>
      </c>
      <c r="M72" s="13"/>
      <c r="N72" s="74">
        <v>0</v>
      </c>
      <c r="O72" s="13"/>
      <c r="P72" s="100">
        <v>0</v>
      </c>
      <c r="Q72" s="13"/>
      <c r="R72" s="14">
        <f t="shared" si="2"/>
        <v>-375959.54000000004</v>
      </c>
    </row>
    <row r="73" spans="1:18" x14ac:dyDescent="0.2">
      <c r="A73" s="3" t="s">
        <v>3488</v>
      </c>
      <c r="B73" s="14">
        <v>-3416028.6099999994</v>
      </c>
      <c r="C73" s="13"/>
      <c r="D73" s="74">
        <v>-513647.53</v>
      </c>
      <c r="E73" s="13"/>
      <c r="F73" s="74">
        <v>100355.47</v>
      </c>
      <c r="G73" s="13"/>
      <c r="H73" s="74">
        <v>0</v>
      </c>
      <c r="I73" s="13"/>
      <c r="J73" s="14">
        <v>0</v>
      </c>
      <c r="K73" s="13"/>
      <c r="L73" s="74">
        <v>697.63</v>
      </c>
      <c r="M73" s="13"/>
      <c r="N73" s="74">
        <v>0</v>
      </c>
      <c r="O73" s="13"/>
      <c r="P73" s="100">
        <v>0</v>
      </c>
      <c r="Q73" s="13"/>
      <c r="R73" s="14">
        <f t="shared" si="2"/>
        <v>-3828623.0399999996</v>
      </c>
    </row>
    <row r="74" spans="1:18" x14ac:dyDescent="0.2">
      <c r="A74" s="3" t="s">
        <v>3489</v>
      </c>
      <c r="B74" s="14">
        <v>-4.6566128730773926E-10</v>
      </c>
      <c r="C74" s="13"/>
      <c r="D74" s="74">
        <v>0</v>
      </c>
      <c r="E74" s="13"/>
      <c r="F74" s="74">
        <v>0</v>
      </c>
      <c r="G74" s="13"/>
      <c r="H74" s="74">
        <v>0</v>
      </c>
      <c r="I74" s="13"/>
      <c r="J74" s="14">
        <v>0</v>
      </c>
      <c r="K74" s="13"/>
      <c r="L74" s="74">
        <v>0</v>
      </c>
      <c r="M74" s="13"/>
      <c r="N74" s="74">
        <v>0</v>
      </c>
      <c r="O74" s="13"/>
      <c r="P74" s="100">
        <v>0</v>
      </c>
      <c r="Q74" s="13"/>
      <c r="R74" s="14">
        <f t="shared" si="2"/>
        <v>-4.6566128730773926E-10</v>
      </c>
    </row>
    <row r="75" spans="1:18" x14ac:dyDescent="0.2">
      <c r="A75" s="3" t="s">
        <v>3490</v>
      </c>
      <c r="B75" s="14">
        <v>-665269</v>
      </c>
      <c r="C75" s="13"/>
      <c r="D75" s="74">
        <v>-182999.04000000001</v>
      </c>
      <c r="E75" s="13"/>
      <c r="F75" s="74">
        <v>0</v>
      </c>
      <c r="G75" s="13"/>
      <c r="H75" s="74">
        <v>0</v>
      </c>
      <c r="I75" s="13"/>
      <c r="J75" s="14">
        <v>0</v>
      </c>
      <c r="K75" s="13"/>
      <c r="L75" s="74">
        <v>0</v>
      </c>
      <c r="M75" s="13"/>
      <c r="N75" s="74">
        <v>0</v>
      </c>
      <c r="O75" s="13"/>
      <c r="P75" s="100">
        <v>0</v>
      </c>
      <c r="Q75" s="13"/>
      <c r="R75" s="14">
        <f t="shared" si="2"/>
        <v>-848268.04</v>
      </c>
    </row>
    <row r="76" spans="1:18" x14ac:dyDescent="0.2">
      <c r="A76" s="3" t="s">
        <v>3491</v>
      </c>
      <c r="B76" s="14">
        <v>-8687881.3000000007</v>
      </c>
      <c r="C76" s="13"/>
      <c r="D76" s="74">
        <v>-1473462.31</v>
      </c>
      <c r="E76" s="13"/>
      <c r="F76" s="74">
        <v>641341.51</v>
      </c>
      <c r="G76" s="13"/>
      <c r="H76" s="74">
        <v>0</v>
      </c>
      <c r="I76" s="13"/>
      <c r="J76" s="14">
        <v>0</v>
      </c>
      <c r="K76" s="13"/>
      <c r="L76" s="74">
        <v>13071.54</v>
      </c>
      <c r="M76" s="13"/>
      <c r="N76" s="74">
        <v>0</v>
      </c>
      <c r="O76" s="13"/>
      <c r="P76" s="100">
        <v>0</v>
      </c>
      <c r="Q76" s="13"/>
      <c r="R76" s="14">
        <f t="shared" si="2"/>
        <v>-9506930.5600000024</v>
      </c>
    </row>
    <row r="77" spans="1:18" x14ac:dyDescent="0.2">
      <c r="A77" s="3" t="s">
        <v>3492</v>
      </c>
      <c r="B77" s="14">
        <v>-7515381.4000000004</v>
      </c>
      <c r="C77" s="13"/>
      <c r="D77" s="74">
        <v>-717661.68</v>
      </c>
      <c r="E77" s="13"/>
      <c r="F77" s="74">
        <v>823769.21</v>
      </c>
      <c r="G77" s="13"/>
      <c r="H77" s="74">
        <v>0</v>
      </c>
      <c r="I77" s="13"/>
      <c r="J77" s="14">
        <v>0</v>
      </c>
      <c r="K77" s="13"/>
      <c r="L77" s="74">
        <v>0</v>
      </c>
      <c r="M77" s="13"/>
      <c r="N77" s="74">
        <v>0</v>
      </c>
      <c r="O77" s="13"/>
      <c r="P77" s="100">
        <v>0</v>
      </c>
      <c r="Q77" s="13"/>
      <c r="R77" s="14">
        <f t="shared" si="2"/>
        <v>-7409273.8700000001</v>
      </c>
    </row>
    <row r="78" spans="1:18" x14ac:dyDescent="0.2">
      <c r="A78" s="3" t="s">
        <v>3493</v>
      </c>
      <c r="B78" s="14">
        <v>-497906.06</v>
      </c>
      <c r="C78" s="13"/>
      <c r="D78" s="74">
        <v>-375684.11</v>
      </c>
      <c r="E78" s="13"/>
      <c r="F78" s="74">
        <v>438990.26</v>
      </c>
      <c r="G78" s="13"/>
      <c r="H78" s="74">
        <v>-413976.73</v>
      </c>
      <c r="I78" s="13"/>
      <c r="J78" s="14">
        <v>0</v>
      </c>
      <c r="K78" s="13"/>
      <c r="L78" s="74">
        <v>0</v>
      </c>
      <c r="M78" s="13"/>
      <c r="N78" s="74">
        <v>0</v>
      </c>
      <c r="O78" s="13"/>
      <c r="P78" s="100">
        <v>0</v>
      </c>
      <c r="Q78" s="13"/>
      <c r="R78" s="14">
        <f t="shared" si="2"/>
        <v>-848576.6399999999</v>
      </c>
    </row>
    <row r="79" spans="1:18" x14ac:dyDescent="0.2">
      <c r="A79" s="3" t="s">
        <v>3494</v>
      </c>
      <c r="B79" s="16">
        <v>3.0850044741015381E-11</v>
      </c>
      <c r="C79" s="92"/>
      <c r="D79" s="74">
        <v>0</v>
      </c>
      <c r="E79" s="13"/>
      <c r="F79" s="74">
        <v>0</v>
      </c>
      <c r="G79" s="13"/>
      <c r="H79" s="74">
        <v>0</v>
      </c>
      <c r="I79" s="13"/>
      <c r="J79" s="14">
        <v>0</v>
      </c>
      <c r="K79" s="13"/>
      <c r="L79" s="74">
        <v>0</v>
      </c>
      <c r="M79" s="13"/>
      <c r="N79" s="74">
        <v>0</v>
      </c>
      <c r="O79" s="13"/>
      <c r="P79" s="100">
        <v>0</v>
      </c>
      <c r="Q79" s="92"/>
      <c r="R79" s="16">
        <f t="shared" si="2"/>
        <v>3.0850044741015381E-11</v>
      </c>
    </row>
    <row r="80" spans="1:18" x14ac:dyDescent="0.2">
      <c r="A80" s="3" t="s">
        <v>3495</v>
      </c>
      <c r="B80" s="18">
        <f>+B79+B76+B75+B74+B73+B72+B70+B68+B67+B66+B65+B64+B37+B36+B38+B39+B40+B41+B78+B77+B69+B71</f>
        <v>-59030299.930000007</v>
      </c>
      <c r="C80" s="13"/>
      <c r="D80" s="18">
        <f>+D79+D76+D75+D74+D73+D72+D70+D68+D67+D66+D65+D64+D37+D36+D38+D39+D40+D41+D78+D77+D69+D71</f>
        <v>-11695303.089999998</v>
      </c>
      <c r="E80" s="13"/>
      <c r="F80" s="18">
        <f>+F79+F76+F75+F74+F73+F72+F70+F68+F67+F66+F65+F64+F37+F36+F38+F39+F40+F41+F78+F77+F69+F71</f>
        <v>11514482.849999998</v>
      </c>
      <c r="G80" s="13"/>
      <c r="H80" s="18">
        <f>+H79+H76+H75+H74+H73+H72+H70+H68+H67+H66+H65+H64+H37+H36+H38+H39+H40+H41+H78+H77+H69+H71</f>
        <v>-413976.73</v>
      </c>
      <c r="I80" s="13"/>
      <c r="J80" s="18">
        <f>+J79+J76+J75+J74+J73+J72+J70+J68+J67+J66+J65+J64+J37+J36+J38+J39+J40+J41+J78+J77+J69+J71</f>
        <v>0</v>
      </c>
      <c r="K80" s="13"/>
      <c r="L80" s="18">
        <f>+L79+L76+L75+L74+L73+L72+L70+L68+L67+L66+L65+L64+L37+L36+L38+L39+L40+L41+L78+L77+L69+L71</f>
        <v>225694.72000000003</v>
      </c>
      <c r="M80" s="13"/>
      <c r="N80" s="18">
        <f>+N79+N76+N75+N74+N73+N72+N70+N68+N67+N66+N65+N64+N37+N36+N38+N39+N40+N41+N78+N77+N69+N71</f>
        <v>-154.39000000000124</v>
      </c>
      <c r="O80" s="13"/>
      <c r="P80" s="18">
        <f>+P79+P76+P75+P74+P73+P72+P70+P68+P67+P66+P65+P64+P37+P36+P38+P39+P40+P41+P78+P77+P69+P71</f>
        <v>0</v>
      </c>
      <c r="Q80" s="17"/>
      <c r="R80" s="18">
        <f>+R79+R76+R75+R74+R73+R72+R70+R68+R67+R66+R65+R64+R37+R36+R38+R39+R40+R41+R78+R77+R69+R71</f>
        <v>-59399556.57</v>
      </c>
    </row>
    <row r="81" spans="1:18" x14ac:dyDescent="0.2">
      <c r="C81" s="13"/>
      <c r="E81" s="13"/>
      <c r="G81" s="13"/>
      <c r="I81" s="13"/>
      <c r="K81" s="13"/>
      <c r="M81" s="13"/>
      <c r="O81" s="13"/>
      <c r="Q81" s="13"/>
    </row>
    <row r="82" spans="1:18" x14ac:dyDescent="0.2">
      <c r="A82" s="12" t="s">
        <v>14</v>
      </c>
      <c r="C82" s="13"/>
      <c r="E82" s="13"/>
      <c r="G82" s="13"/>
      <c r="I82" s="13"/>
      <c r="K82" s="13"/>
      <c r="M82" s="13"/>
      <c r="O82" s="13"/>
      <c r="Q82" s="13"/>
    </row>
    <row r="83" spans="1:18" x14ac:dyDescent="0.2">
      <c r="A83" s="3" t="s">
        <v>3496</v>
      </c>
      <c r="B83" s="14">
        <v>-912332.6</v>
      </c>
      <c r="C83" s="13"/>
      <c r="D83" s="74">
        <v>0</v>
      </c>
      <c r="E83" s="13"/>
      <c r="F83" s="74">
        <v>0</v>
      </c>
      <c r="G83" s="13"/>
      <c r="H83" s="74">
        <v>0</v>
      </c>
      <c r="I83" s="13"/>
      <c r="J83" s="14">
        <v>0</v>
      </c>
      <c r="K83" s="13"/>
      <c r="L83" s="74">
        <v>0</v>
      </c>
      <c r="M83" s="13"/>
      <c r="N83" s="74">
        <v>0</v>
      </c>
      <c r="O83" s="13"/>
      <c r="P83" s="100">
        <v>0</v>
      </c>
      <c r="Q83" s="13"/>
      <c r="R83" s="14">
        <f t="shared" ref="R83:R90" si="3">SUM(B83:P83)</f>
        <v>-912332.6</v>
      </c>
    </row>
    <row r="84" spans="1:18" x14ac:dyDescent="0.2">
      <c r="A84" s="3" t="s">
        <v>3497</v>
      </c>
      <c r="B84" s="14">
        <v>-345561.8</v>
      </c>
      <c r="C84" s="13"/>
      <c r="D84" s="74">
        <v>-43536.03</v>
      </c>
      <c r="E84" s="13"/>
      <c r="F84" s="74">
        <v>2355.54</v>
      </c>
      <c r="G84" s="13"/>
      <c r="H84" s="74">
        <v>0</v>
      </c>
      <c r="I84" s="13"/>
      <c r="J84" s="14">
        <v>0</v>
      </c>
      <c r="K84" s="13"/>
      <c r="L84" s="74">
        <v>25862.74</v>
      </c>
      <c r="M84" s="13"/>
      <c r="N84" s="74">
        <v>0</v>
      </c>
      <c r="O84" s="13"/>
      <c r="P84" s="100">
        <v>0</v>
      </c>
      <c r="Q84" s="13"/>
      <c r="R84" s="14">
        <f t="shared" si="3"/>
        <v>-360879.55</v>
      </c>
    </row>
    <row r="85" spans="1:18" x14ac:dyDescent="0.2">
      <c r="A85" s="3" t="s">
        <v>3498</v>
      </c>
      <c r="B85" s="14">
        <v>-8216620.4299999988</v>
      </c>
      <c r="C85" s="13"/>
      <c r="D85" s="74">
        <v>-542763.96</v>
      </c>
      <c r="E85" s="13"/>
      <c r="F85" s="74">
        <v>0</v>
      </c>
      <c r="G85" s="13"/>
      <c r="H85" s="74">
        <v>0</v>
      </c>
      <c r="I85" s="13"/>
      <c r="J85" s="14">
        <v>0</v>
      </c>
      <c r="K85" s="13"/>
      <c r="L85" s="74">
        <v>0</v>
      </c>
      <c r="M85" s="13"/>
      <c r="N85" s="74">
        <v>0</v>
      </c>
      <c r="O85" s="13"/>
      <c r="P85" s="100">
        <v>0</v>
      </c>
      <c r="Q85" s="13"/>
      <c r="R85" s="14">
        <f t="shared" si="3"/>
        <v>-8759384.3899999987</v>
      </c>
    </row>
    <row r="86" spans="1:18" x14ac:dyDescent="0.2">
      <c r="A86" s="3" t="s">
        <v>3499</v>
      </c>
      <c r="B86" s="14">
        <v>-817722.32000000007</v>
      </c>
      <c r="C86" s="13"/>
      <c r="D86" s="74">
        <v>-514168.53</v>
      </c>
      <c r="E86" s="13"/>
      <c r="F86" s="74">
        <v>12840.26</v>
      </c>
      <c r="G86" s="13"/>
      <c r="H86" s="74">
        <v>0</v>
      </c>
      <c r="I86" s="13"/>
      <c r="J86" s="14">
        <v>0</v>
      </c>
      <c r="K86" s="13"/>
      <c r="L86" s="74">
        <v>0</v>
      </c>
      <c r="M86" s="13"/>
      <c r="N86" s="74">
        <v>0</v>
      </c>
      <c r="O86" s="13"/>
      <c r="P86" s="100">
        <v>0</v>
      </c>
      <c r="Q86" s="13"/>
      <c r="R86" s="14">
        <f t="shared" si="3"/>
        <v>-1319050.5900000001</v>
      </c>
    </row>
    <row r="87" spans="1:18" x14ac:dyDescent="0.2">
      <c r="A87" s="3" t="s">
        <v>3500</v>
      </c>
      <c r="B87" s="14">
        <v>-220517.75</v>
      </c>
      <c r="C87" s="13"/>
      <c r="D87" s="74">
        <v>-47663.58</v>
      </c>
      <c r="E87" s="13"/>
      <c r="F87" s="74">
        <v>0</v>
      </c>
      <c r="G87" s="13"/>
      <c r="H87" s="74">
        <v>0</v>
      </c>
      <c r="I87" s="13"/>
      <c r="J87" s="14">
        <v>0</v>
      </c>
      <c r="K87" s="13"/>
      <c r="L87" s="74">
        <v>0</v>
      </c>
      <c r="M87" s="13"/>
      <c r="N87" s="74">
        <v>0</v>
      </c>
      <c r="O87" s="13"/>
      <c r="P87" s="100">
        <v>0</v>
      </c>
      <c r="Q87" s="13"/>
      <c r="R87" s="14">
        <f t="shared" si="3"/>
        <v>-268181.33</v>
      </c>
    </row>
    <row r="88" spans="1:18" x14ac:dyDescent="0.2">
      <c r="A88" s="3" t="s">
        <v>3501</v>
      </c>
      <c r="B88" s="14">
        <v>-116557.55999999998</v>
      </c>
      <c r="C88" s="13"/>
      <c r="D88" s="74">
        <v>-13882.32</v>
      </c>
      <c r="E88" s="13"/>
      <c r="F88" s="74">
        <v>0</v>
      </c>
      <c r="G88" s="13"/>
      <c r="H88" s="74">
        <v>0</v>
      </c>
      <c r="I88" s="13"/>
      <c r="J88" s="14">
        <v>0</v>
      </c>
      <c r="K88" s="13"/>
      <c r="L88" s="74">
        <v>0</v>
      </c>
      <c r="M88" s="13"/>
      <c r="N88" s="74">
        <v>0</v>
      </c>
      <c r="O88" s="13"/>
      <c r="P88" s="100">
        <v>0</v>
      </c>
      <c r="Q88" s="13"/>
      <c r="R88" s="14">
        <f t="shared" si="3"/>
        <v>-130439.87999999998</v>
      </c>
    </row>
    <row r="89" spans="1:18" x14ac:dyDescent="0.2">
      <c r="A89" s="3" t="s">
        <v>3502</v>
      </c>
      <c r="B89" s="14">
        <v>-70567.219999999987</v>
      </c>
      <c r="C89" s="13"/>
      <c r="D89" s="74">
        <v>-9028.68</v>
      </c>
      <c r="E89" s="13"/>
      <c r="F89" s="74">
        <v>0</v>
      </c>
      <c r="G89" s="13"/>
      <c r="H89" s="74">
        <v>0</v>
      </c>
      <c r="I89" s="13"/>
      <c r="J89" s="14">
        <v>0</v>
      </c>
      <c r="K89" s="13"/>
      <c r="L89" s="74">
        <v>0</v>
      </c>
      <c r="M89" s="13"/>
      <c r="N89" s="74">
        <v>0</v>
      </c>
      <c r="O89" s="13"/>
      <c r="P89" s="100">
        <v>0</v>
      </c>
      <c r="Q89" s="13"/>
      <c r="R89" s="14">
        <f t="shared" si="3"/>
        <v>-79595.899999999994</v>
      </c>
    </row>
    <row r="90" spans="1:18" x14ac:dyDescent="0.2">
      <c r="A90" s="3" t="s">
        <v>3503</v>
      </c>
      <c r="B90" s="16">
        <v>-27454.46</v>
      </c>
      <c r="C90" s="13"/>
      <c r="D90" s="74">
        <v>-78729.67</v>
      </c>
      <c r="E90" s="13"/>
      <c r="F90" s="74">
        <v>86482.34</v>
      </c>
      <c r="G90" s="13"/>
      <c r="H90" s="74">
        <v>0</v>
      </c>
      <c r="I90" s="13"/>
      <c r="J90" s="14">
        <v>0</v>
      </c>
      <c r="K90" s="13"/>
      <c r="L90" s="74">
        <v>0</v>
      </c>
      <c r="M90" s="13"/>
      <c r="N90" s="74">
        <v>0</v>
      </c>
      <c r="O90" s="13"/>
      <c r="P90" s="100">
        <v>0</v>
      </c>
      <c r="Q90" s="13"/>
      <c r="R90" s="16">
        <f t="shared" si="3"/>
        <v>-19701.790000000008</v>
      </c>
    </row>
    <row r="91" spans="1:18" x14ac:dyDescent="0.2">
      <c r="A91" s="3" t="s">
        <v>3504</v>
      </c>
      <c r="B91" s="17">
        <f>SUM(B83:B90)</f>
        <v>-10727334.140000001</v>
      </c>
      <c r="C91" s="13"/>
      <c r="D91" s="18">
        <f>SUM(D83:D90)</f>
        <v>-1249772.77</v>
      </c>
      <c r="E91" s="13"/>
      <c r="F91" s="18">
        <f>SUM(F83:F90)</f>
        <v>101678.14</v>
      </c>
      <c r="G91" s="13"/>
      <c r="H91" s="18">
        <f>SUM(H83:H90)</f>
        <v>0</v>
      </c>
      <c r="I91" s="13"/>
      <c r="J91" s="18">
        <f>SUM(J83:J90)</f>
        <v>0</v>
      </c>
      <c r="K91" s="13"/>
      <c r="L91" s="18">
        <f>SUM(L83:L90)</f>
        <v>25862.74</v>
      </c>
      <c r="M91" s="13"/>
      <c r="N91" s="18">
        <f>SUM(N83:N90)</f>
        <v>0</v>
      </c>
      <c r="O91" s="13"/>
      <c r="P91" s="18">
        <f>SUM(P83:P90)</f>
        <v>0</v>
      </c>
      <c r="Q91" s="13"/>
      <c r="R91" s="17">
        <f>SUM(R83:R90)</f>
        <v>-11849566.029999999</v>
      </c>
    </row>
    <row r="92" spans="1:18" x14ac:dyDescent="0.2">
      <c r="C92" s="13"/>
      <c r="E92" s="13"/>
      <c r="G92" s="13"/>
      <c r="I92" s="13"/>
      <c r="K92" s="13"/>
      <c r="M92" s="13"/>
      <c r="O92" s="13"/>
      <c r="Q92" s="13"/>
    </row>
    <row r="93" spans="1:18" x14ac:dyDescent="0.2">
      <c r="A93" s="12" t="s">
        <v>16</v>
      </c>
      <c r="C93" s="13"/>
      <c r="E93" s="13"/>
      <c r="G93" s="13"/>
      <c r="I93" s="13"/>
      <c r="K93" s="13"/>
      <c r="M93" s="13"/>
      <c r="O93" s="13"/>
      <c r="Q93" s="13"/>
    </row>
    <row r="94" spans="1:18" x14ac:dyDescent="0.2">
      <c r="A94" s="3" t="s">
        <v>3505</v>
      </c>
      <c r="B94" s="14">
        <v>-116532.40000000002</v>
      </c>
      <c r="C94" s="13"/>
      <c r="D94" s="74">
        <v>-3951.6</v>
      </c>
      <c r="E94" s="13"/>
      <c r="F94" s="74">
        <v>0</v>
      </c>
      <c r="G94" s="13"/>
      <c r="H94" s="74">
        <v>0</v>
      </c>
      <c r="I94" s="13"/>
      <c r="J94" s="14">
        <v>0</v>
      </c>
      <c r="K94" s="13"/>
      <c r="L94" s="74">
        <v>0</v>
      </c>
      <c r="M94" s="13"/>
      <c r="N94" s="74">
        <v>0</v>
      </c>
      <c r="O94" s="13"/>
      <c r="P94" s="100">
        <v>0</v>
      </c>
      <c r="Q94" s="13"/>
      <c r="R94" s="14">
        <f t="shared" ref="R94:R114" si="4">SUM(B94:P94)</f>
        <v>-120484.00000000003</v>
      </c>
    </row>
    <row r="95" spans="1:18" x14ac:dyDescent="0.2">
      <c r="A95" s="3" t="s">
        <v>3506</v>
      </c>
      <c r="B95" s="14">
        <v>0</v>
      </c>
      <c r="C95" s="13"/>
      <c r="D95" s="74">
        <v>0</v>
      </c>
      <c r="E95" s="13"/>
      <c r="F95" s="74">
        <v>0</v>
      </c>
      <c r="G95" s="13"/>
      <c r="H95" s="74">
        <v>0</v>
      </c>
      <c r="I95" s="13"/>
      <c r="J95" s="14">
        <v>0</v>
      </c>
      <c r="K95" s="13"/>
      <c r="L95" s="74">
        <v>0</v>
      </c>
      <c r="M95" s="13"/>
      <c r="N95" s="74">
        <v>0</v>
      </c>
      <c r="O95" s="13"/>
      <c r="P95" s="100">
        <v>0</v>
      </c>
      <c r="Q95" s="13"/>
      <c r="R95" s="14">
        <f t="shared" si="4"/>
        <v>0</v>
      </c>
    </row>
    <row r="96" spans="1:18" x14ac:dyDescent="0.2">
      <c r="A96" s="3" t="s">
        <v>3507</v>
      </c>
      <c r="B96" s="14">
        <v>0</v>
      </c>
      <c r="C96" s="13"/>
      <c r="D96" s="74">
        <v>0</v>
      </c>
      <c r="E96" s="13"/>
      <c r="F96" s="74">
        <v>0</v>
      </c>
      <c r="G96" s="13"/>
      <c r="H96" s="74">
        <v>0</v>
      </c>
      <c r="I96" s="13"/>
      <c r="J96" s="14">
        <v>0</v>
      </c>
      <c r="K96" s="13"/>
      <c r="L96" s="74">
        <v>0</v>
      </c>
      <c r="M96" s="13"/>
      <c r="N96" s="74">
        <v>0</v>
      </c>
      <c r="O96" s="13"/>
      <c r="P96" s="100">
        <v>0</v>
      </c>
      <c r="Q96" s="13"/>
      <c r="R96" s="14">
        <f t="shared" si="4"/>
        <v>0</v>
      </c>
    </row>
    <row r="97" spans="1:18" x14ac:dyDescent="0.2">
      <c r="A97" s="3" t="s">
        <v>3508</v>
      </c>
      <c r="B97" s="14">
        <v>0</v>
      </c>
      <c r="C97" s="13"/>
      <c r="D97" s="74">
        <v>0</v>
      </c>
      <c r="E97" s="13"/>
      <c r="F97" s="74">
        <v>0</v>
      </c>
      <c r="G97" s="13"/>
      <c r="H97" s="74">
        <v>0</v>
      </c>
      <c r="I97" s="13"/>
      <c r="J97" s="14">
        <v>0</v>
      </c>
      <c r="K97" s="13"/>
      <c r="L97" s="74">
        <v>0</v>
      </c>
      <c r="M97" s="13"/>
      <c r="N97" s="74">
        <v>0</v>
      </c>
      <c r="O97" s="13"/>
      <c r="P97" s="100">
        <v>0</v>
      </c>
      <c r="Q97" s="13"/>
      <c r="R97" s="14">
        <f>SUM(B97:P97)</f>
        <v>0</v>
      </c>
    </row>
    <row r="98" spans="1:18" outlineLevel="1" x14ac:dyDescent="0.2">
      <c r="A98" s="3" t="s">
        <v>3509</v>
      </c>
      <c r="B98" s="14">
        <v>-663228.18000000005</v>
      </c>
      <c r="C98" s="13"/>
      <c r="D98" s="14">
        <v>-1238490.72</v>
      </c>
      <c r="E98" s="13"/>
      <c r="F98" s="14">
        <v>0</v>
      </c>
      <c r="G98" s="13"/>
      <c r="H98" s="14">
        <v>0</v>
      </c>
      <c r="I98" s="13"/>
      <c r="J98" s="14">
        <v>0</v>
      </c>
      <c r="K98" s="13"/>
      <c r="L98" s="14">
        <v>0</v>
      </c>
      <c r="M98" s="13"/>
      <c r="N98" s="14">
        <v>0</v>
      </c>
      <c r="O98" s="13"/>
      <c r="P98" s="14">
        <v>0</v>
      </c>
      <c r="Q98" s="13"/>
      <c r="R98" s="14">
        <f>SUM(B98:P98)</f>
        <v>-1901718.9</v>
      </c>
    </row>
    <row r="99" spans="1:18" outlineLevel="1" x14ac:dyDescent="0.2">
      <c r="A99" s="3" t="s">
        <v>3510</v>
      </c>
      <c r="B99" s="14">
        <v>-1202272.4099999999</v>
      </c>
      <c r="C99" s="13"/>
      <c r="D99" s="14">
        <v>-52799.88</v>
      </c>
      <c r="E99" s="13"/>
      <c r="F99" s="14">
        <v>0</v>
      </c>
      <c r="G99" s="13"/>
      <c r="H99" s="14">
        <v>0</v>
      </c>
      <c r="I99" s="13"/>
      <c r="J99" s="14">
        <v>0</v>
      </c>
      <c r="K99" s="13"/>
      <c r="L99" s="14">
        <v>0</v>
      </c>
      <c r="M99" s="13"/>
      <c r="N99" s="14">
        <v>0</v>
      </c>
      <c r="O99" s="13"/>
      <c r="P99" s="14">
        <v>0</v>
      </c>
      <c r="Q99" s="13"/>
      <c r="R99" s="14">
        <f t="shared" si="4"/>
        <v>-1255072.2899999998</v>
      </c>
    </row>
    <row r="100" spans="1:18" outlineLevel="1" x14ac:dyDescent="0.2">
      <c r="A100" s="3" t="s">
        <v>3511</v>
      </c>
      <c r="B100" s="14">
        <v>-1208894.17</v>
      </c>
      <c r="C100" s="13"/>
      <c r="D100" s="14">
        <v>-72538.8</v>
      </c>
      <c r="E100" s="13"/>
      <c r="F100" s="14">
        <v>0</v>
      </c>
      <c r="G100" s="13"/>
      <c r="H100" s="14">
        <v>0</v>
      </c>
      <c r="I100" s="13"/>
      <c r="J100" s="14">
        <v>0</v>
      </c>
      <c r="K100" s="13"/>
      <c r="L100" s="14">
        <v>0</v>
      </c>
      <c r="M100" s="13"/>
      <c r="N100" s="14">
        <v>0</v>
      </c>
      <c r="O100" s="13"/>
      <c r="P100" s="14">
        <v>0</v>
      </c>
      <c r="Q100" s="13"/>
      <c r="R100" s="14">
        <f t="shared" si="4"/>
        <v>-1281432.97</v>
      </c>
    </row>
    <row r="101" spans="1:18" outlineLevel="1" x14ac:dyDescent="0.2">
      <c r="A101" s="43" t="s">
        <v>3512</v>
      </c>
      <c r="B101" s="14">
        <v>-380011.14999999997</v>
      </c>
      <c r="C101" s="13"/>
      <c r="D101" s="14">
        <v>-37221.42</v>
      </c>
      <c r="E101" s="13"/>
      <c r="F101" s="14">
        <v>80210.06</v>
      </c>
      <c r="G101" s="13"/>
      <c r="H101" s="14">
        <v>0</v>
      </c>
      <c r="I101" s="13"/>
      <c r="J101" s="14">
        <v>0</v>
      </c>
      <c r="K101" s="13"/>
      <c r="L101" s="14">
        <v>7293.3</v>
      </c>
      <c r="M101" s="13"/>
      <c r="N101" s="14">
        <v>0</v>
      </c>
      <c r="O101" s="13"/>
      <c r="P101" s="14">
        <v>0</v>
      </c>
      <c r="Q101" s="13"/>
      <c r="R101" s="14">
        <f t="shared" si="4"/>
        <v>-329729.20999999996</v>
      </c>
    </row>
    <row r="102" spans="1:18" outlineLevel="1" x14ac:dyDescent="0.2">
      <c r="A102" s="3" t="s">
        <v>3513</v>
      </c>
      <c r="B102" s="14">
        <v>-97180.63</v>
      </c>
      <c r="C102" s="13"/>
      <c r="D102" s="14">
        <v>-7847.52</v>
      </c>
      <c r="E102" s="13"/>
      <c r="F102" s="14">
        <v>0</v>
      </c>
      <c r="G102" s="13"/>
      <c r="H102" s="14">
        <v>0</v>
      </c>
      <c r="I102" s="13"/>
      <c r="J102" s="14">
        <v>0</v>
      </c>
      <c r="K102" s="13"/>
      <c r="L102" s="14">
        <v>0</v>
      </c>
      <c r="M102" s="13"/>
      <c r="N102" s="14">
        <v>0</v>
      </c>
      <c r="O102" s="13"/>
      <c r="P102" s="14">
        <v>0</v>
      </c>
      <c r="Q102" s="13"/>
      <c r="R102" s="14">
        <f t="shared" si="4"/>
        <v>-105028.15000000001</v>
      </c>
    </row>
    <row r="103" spans="1:18" outlineLevel="1" x14ac:dyDescent="0.2">
      <c r="A103" s="3" t="s">
        <v>3514</v>
      </c>
      <c r="B103" s="14">
        <v>-287418.03999999998</v>
      </c>
      <c r="C103" s="13"/>
      <c r="D103" s="14">
        <v>-22001.91</v>
      </c>
      <c r="E103" s="13"/>
      <c r="F103" s="14">
        <v>11519.31</v>
      </c>
      <c r="G103" s="13"/>
      <c r="H103" s="14">
        <v>0</v>
      </c>
      <c r="I103" s="13"/>
      <c r="J103" s="14">
        <v>0</v>
      </c>
      <c r="K103" s="13"/>
      <c r="L103" s="14">
        <v>0</v>
      </c>
      <c r="M103" s="13"/>
      <c r="N103" s="14">
        <v>0</v>
      </c>
      <c r="O103" s="13"/>
      <c r="P103" s="14">
        <v>0</v>
      </c>
      <c r="Q103" s="13"/>
      <c r="R103" s="14">
        <f t="shared" si="4"/>
        <v>-297900.63999999996</v>
      </c>
    </row>
    <row r="104" spans="1:18" outlineLevel="1" x14ac:dyDescent="0.2">
      <c r="A104" s="3" t="s">
        <v>3515</v>
      </c>
      <c r="B104" s="14">
        <v>-1419091.4299999997</v>
      </c>
      <c r="C104" s="13"/>
      <c r="D104" s="14">
        <v>-71650.44</v>
      </c>
      <c r="E104" s="13"/>
      <c r="F104" s="14">
        <v>0</v>
      </c>
      <c r="G104" s="13"/>
      <c r="H104" s="14">
        <v>0</v>
      </c>
      <c r="I104" s="13"/>
      <c r="J104" s="14">
        <v>0</v>
      </c>
      <c r="K104" s="13"/>
      <c r="L104" s="14">
        <v>0</v>
      </c>
      <c r="M104" s="13"/>
      <c r="N104" s="14">
        <v>0</v>
      </c>
      <c r="O104" s="13"/>
      <c r="P104" s="14">
        <v>0</v>
      </c>
      <c r="Q104" s="13"/>
      <c r="R104" s="14">
        <f t="shared" si="4"/>
        <v>-1490741.8699999996</v>
      </c>
    </row>
    <row r="105" spans="1:18" outlineLevel="1" x14ac:dyDescent="0.2">
      <c r="A105" s="3" t="s">
        <v>3516</v>
      </c>
      <c r="B105" s="14">
        <v>-3115511.39</v>
      </c>
      <c r="C105" s="13"/>
      <c r="D105" s="14">
        <v>-123028.08</v>
      </c>
      <c r="E105" s="13"/>
      <c r="F105" s="14">
        <v>0</v>
      </c>
      <c r="G105" s="13"/>
      <c r="H105" s="14">
        <v>0</v>
      </c>
      <c r="I105" s="13"/>
      <c r="J105" s="14">
        <v>0</v>
      </c>
      <c r="K105" s="13"/>
      <c r="L105" s="14">
        <v>0</v>
      </c>
      <c r="M105" s="13"/>
      <c r="N105" s="14">
        <v>0</v>
      </c>
      <c r="O105" s="13"/>
      <c r="P105" s="14">
        <v>0</v>
      </c>
      <c r="Q105" s="13"/>
      <c r="R105" s="14">
        <f t="shared" si="4"/>
        <v>-3238539.47</v>
      </c>
    </row>
    <row r="106" spans="1:18" outlineLevel="1" x14ac:dyDescent="0.2">
      <c r="A106" s="3" t="s">
        <v>3517</v>
      </c>
      <c r="B106" s="14">
        <v>0</v>
      </c>
      <c r="C106" s="13"/>
      <c r="D106" s="14">
        <v>-20073.13</v>
      </c>
      <c r="E106" s="13"/>
      <c r="F106" s="14">
        <v>0</v>
      </c>
      <c r="G106" s="13"/>
      <c r="H106" s="14">
        <v>0</v>
      </c>
      <c r="I106" s="13"/>
      <c r="J106" s="14">
        <v>0</v>
      </c>
      <c r="K106" s="13"/>
      <c r="L106" s="14">
        <v>0</v>
      </c>
      <c r="M106" s="13"/>
      <c r="N106" s="14">
        <v>0</v>
      </c>
      <c r="O106" s="13"/>
      <c r="P106" s="14">
        <v>0</v>
      </c>
      <c r="Q106" s="13"/>
      <c r="R106" s="14">
        <f t="shared" si="4"/>
        <v>-20073.13</v>
      </c>
    </row>
    <row r="107" spans="1:18" outlineLevel="1" x14ac:dyDescent="0.2">
      <c r="A107" s="3" t="s">
        <v>3518</v>
      </c>
      <c r="B107" s="14">
        <v>-71389.700000000026</v>
      </c>
      <c r="C107" s="13"/>
      <c r="D107" s="14">
        <v>-28795.439999999999</v>
      </c>
      <c r="E107" s="13"/>
      <c r="F107" s="14">
        <v>0</v>
      </c>
      <c r="G107" s="13"/>
      <c r="H107" s="14">
        <v>0</v>
      </c>
      <c r="I107" s="13"/>
      <c r="J107" s="14">
        <v>0</v>
      </c>
      <c r="K107" s="13"/>
      <c r="L107" s="14">
        <v>0</v>
      </c>
      <c r="M107" s="13"/>
      <c r="N107" s="14">
        <v>0</v>
      </c>
      <c r="O107" s="13"/>
      <c r="P107" s="14">
        <v>0</v>
      </c>
      <c r="Q107" s="13"/>
      <c r="R107" s="14">
        <f t="shared" si="4"/>
        <v>-100185.14000000003</v>
      </c>
    </row>
    <row r="108" spans="1:18" outlineLevel="1" x14ac:dyDescent="0.2">
      <c r="A108" s="3" t="s">
        <v>3519</v>
      </c>
      <c r="B108" s="14">
        <v>-936648.12999999977</v>
      </c>
      <c r="C108" s="13"/>
      <c r="D108" s="14">
        <v>-79315.81</v>
      </c>
      <c r="E108" s="13"/>
      <c r="F108" s="14">
        <v>3913.49</v>
      </c>
      <c r="G108" s="13"/>
      <c r="H108" s="14">
        <v>0</v>
      </c>
      <c r="I108" s="13"/>
      <c r="J108" s="14">
        <v>0</v>
      </c>
      <c r="K108" s="13"/>
      <c r="L108" s="14">
        <v>480.94</v>
      </c>
      <c r="M108" s="13"/>
      <c r="N108" s="14">
        <v>0</v>
      </c>
      <c r="O108" s="13"/>
      <c r="P108" s="14">
        <v>0</v>
      </c>
      <c r="Q108" s="13"/>
      <c r="R108" s="14">
        <f t="shared" si="4"/>
        <v>-1011569.5099999998</v>
      </c>
    </row>
    <row r="109" spans="1:18" outlineLevel="1" x14ac:dyDescent="0.2">
      <c r="A109" s="3" t="s">
        <v>3520</v>
      </c>
      <c r="B109" s="14">
        <v>-1451759.99</v>
      </c>
      <c r="C109" s="13"/>
      <c r="D109" s="14">
        <v>-135892.68</v>
      </c>
      <c r="E109" s="13"/>
      <c r="F109" s="14">
        <v>0</v>
      </c>
      <c r="G109" s="13"/>
      <c r="H109" s="14">
        <v>0</v>
      </c>
      <c r="I109" s="13"/>
      <c r="J109" s="14">
        <v>0</v>
      </c>
      <c r="K109" s="13"/>
      <c r="L109" s="14">
        <v>0</v>
      </c>
      <c r="M109" s="13"/>
      <c r="N109" s="14">
        <v>0</v>
      </c>
      <c r="O109" s="13"/>
      <c r="P109" s="14">
        <v>0</v>
      </c>
      <c r="Q109" s="13"/>
      <c r="R109" s="14">
        <f t="shared" si="4"/>
        <v>-1587652.67</v>
      </c>
    </row>
    <row r="110" spans="1:18" outlineLevel="1" x14ac:dyDescent="0.2">
      <c r="A110" s="3" t="s">
        <v>3521</v>
      </c>
      <c r="B110" s="14">
        <v>-1711412.04</v>
      </c>
      <c r="C110" s="13"/>
      <c r="D110" s="14">
        <v>-141006.72</v>
      </c>
      <c r="E110" s="13"/>
      <c r="F110" s="14">
        <v>0</v>
      </c>
      <c r="G110" s="13"/>
      <c r="H110" s="14">
        <v>0</v>
      </c>
      <c r="I110" s="13"/>
      <c r="J110" s="14">
        <v>0</v>
      </c>
      <c r="K110" s="13"/>
      <c r="L110" s="14">
        <v>0</v>
      </c>
      <c r="M110" s="13"/>
      <c r="N110" s="14">
        <v>0</v>
      </c>
      <c r="O110" s="13"/>
      <c r="P110" s="14">
        <v>0</v>
      </c>
      <c r="Q110" s="13"/>
      <c r="R110" s="14">
        <f t="shared" si="4"/>
        <v>-1852418.76</v>
      </c>
    </row>
    <row r="111" spans="1:18" outlineLevel="1" x14ac:dyDescent="0.2">
      <c r="A111" s="3" t="s">
        <v>3522</v>
      </c>
      <c r="B111" s="14">
        <v>-1647141.24</v>
      </c>
      <c r="C111" s="13"/>
      <c r="D111" s="14">
        <v>-134934.48000000001</v>
      </c>
      <c r="E111" s="13"/>
      <c r="F111" s="14">
        <v>0</v>
      </c>
      <c r="G111" s="13"/>
      <c r="H111" s="14">
        <v>0</v>
      </c>
      <c r="I111" s="13"/>
      <c r="J111" s="14">
        <v>0</v>
      </c>
      <c r="K111" s="13"/>
      <c r="L111" s="14">
        <v>0</v>
      </c>
      <c r="M111" s="13"/>
      <c r="N111" s="14">
        <v>0</v>
      </c>
      <c r="O111" s="13"/>
      <c r="P111" s="14">
        <v>0</v>
      </c>
      <c r="Q111" s="13"/>
      <c r="R111" s="14">
        <f t="shared" si="4"/>
        <v>-1782075.72</v>
      </c>
    </row>
    <row r="112" spans="1:18" outlineLevel="1" x14ac:dyDescent="0.2">
      <c r="A112" s="3" t="s">
        <v>3523</v>
      </c>
      <c r="B112" s="14">
        <v>-1423558.29</v>
      </c>
      <c r="C112" s="13"/>
      <c r="D112" s="14">
        <v>-132044.64000000001</v>
      </c>
      <c r="E112" s="13"/>
      <c r="F112" s="14">
        <v>0</v>
      </c>
      <c r="G112" s="13"/>
      <c r="H112" s="14">
        <v>0</v>
      </c>
      <c r="I112" s="13"/>
      <c r="J112" s="14">
        <v>0</v>
      </c>
      <c r="K112" s="13"/>
      <c r="L112" s="14">
        <v>0</v>
      </c>
      <c r="M112" s="13"/>
      <c r="N112" s="14">
        <v>0</v>
      </c>
      <c r="O112" s="13"/>
      <c r="P112" s="14">
        <v>0</v>
      </c>
      <c r="Q112" s="13"/>
      <c r="R112" s="14">
        <f t="shared" si="4"/>
        <v>-1555602.9300000002</v>
      </c>
    </row>
    <row r="113" spans="1:18" outlineLevel="1" x14ac:dyDescent="0.2">
      <c r="A113" s="3" t="s">
        <v>3524</v>
      </c>
      <c r="B113" s="14">
        <v>-1419437.25</v>
      </c>
      <c r="C113" s="13"/>
      <c r="D113" s="14">
        <v>-131662.44</v>
      </c>
      <c r="E113" s="13"/>
      <c r="F113" s="14">
        <v>0</v>
      </c>
      <c r="G113" s="13"/>
      <c r="H113" s="14">
        <v>0</v>
      </c>
      <c r="I113" s="13"/>
      <c r="J113" s="14">
        <v>0</v>
      </c>
      <c r="K113" s="13"/>
      <c r="L113" s="14">
        <v>0</v>
      </c>
      <c r="M113" s="13"/>
      <c r="N113" s="14">
        <v>0</v>
      </c>
      <c r="O113" s="13"/>
      <c r="P113" s="14">
        <v>0</v>
      </c>
      <c r="Q113" s="13"/>
      <c r="R113" s="14">
        <f t="shared" si="4"/>
        <v>-1551099.69</v>
      </c>
    </row>
    <row r="114" spans="1:18" outlineLevel="1" x14ac:dyDescent="0.2">
      <c r="A114" s="3" t="s">
        <v>3525</v>
      </c>
      <c r="B114" s="14">
        <v>-1452930.9699999997</v>
      </c>
      <c r="C114" s="13"/>
      <c r="D114" s="14">
        <v>-136002.35999999999</v>
      </c>
      <c r="E114" s="13"/>
      <c r="F114" s="14">
        <v>0</v>
      </c>
      <c r="G114" s="13"/>
      <c r="H114" s="14">
        <v>0</v>
      </c>
      <c r="I114" s="13"/>
      <c r="J114" s="14">
        <v>0</v>
      </c>
      <c r="K114" s="13"/>
      <c r="L114" s="14">
        <v>0</v>
      </c>
      <c r="M114" s="13"/>
      <c r="N114" s="14">
        <v>0</v>
      </c>
      <c r="O114" s="13"/>
      <c r="P114" s="14">
        <v>0</v>
      </c>
      <c r="Q114" s="13"/>
      <c r="R114" s="14">
        <f t="shared" si="4"/>
        <v>-1588933.3299999996</v>
      </c>
    </row>
    <row r="115" spans="1:18" ht="13.5" customHeight="1" x14ac:dyDescent="0.2">
      <c r="A115" s="3" t="s">
        <v>3526</v>
      </c>
      <c r="B115" s="14">
        <f>SUM(B98:B114)</f>
        <v>-18487885.009999998</v>
      </c>
      <c r="C115" s="13"/>
      <c r="D115" s="14">
        <f>SUM(D98:D114)</f>
        <v>-2565306.4699999997</v>
      </c>
      <c r="E115" s="13"/>
      <c r="F115" s="14">
        <f>SUM(F98:F114)</f>
        <v>95642.86</v>
      </c>
      <c r="G115" s="13"/>
      <c r="H115" s="14">
        <f>SUM(H98:H114)</f>
        <v>0</v>
      </c>
      <c r="I115" s="13"/>
      <c r="J115" s="14">
        <f>SUM(J98:J114)</f>
        <v>0</v>
      </c>
      <c r="K115" s="13"/>
      <c r="L115" s="14">
        <f>SUM(L98:L114)</f>
        <v>7774.24</v>
      </c>
      <c r="M115" s="13"/>
      <c r="N115" s="14">
        <f>SUM(N98:N114)</f>
        <v>0</v>
      </c>
      <c r="O115" s="13"/>
      <c r="P115" s="14">
        <f>SUM(P98:P114)</f>
        <v>0</v>
      </c>
      <c r="Q115" s="13"/>
      <c r="R115" s="14">
        <f>SUM(R98:R114)</f>
        <v>-20949774.380000003</v>
      </c>
    </row>
    <row r="116" spans="1:18" outlineLevel="1" x14ac:dyDescent="0.2">
      <c r="A116" s="3" t="s">
        <v>3527</v>
      </c>
      <c r="B116" s="14">
        <v>-345052.06</v>
      </c>
      <c r="C116" s="13"/>
      <c r="D116" s="14">
        <v>-638935.03</v>
      </c>
      <c r="E116" s="13"/>
      <c r="F116" s="14">
        <v>0</v>
      </c>
      <c r="G116" s="13"/>
      <c r="H116" s="14">
        <v>0</v>
      </c>
      <c r="I116" s="13"/>
      <c r="J116" s="14">
        <v>0</v>
      </c>
      <c r="K116" s="13"/>
      <c r="L116" s="14">
        <v>0</v>
      </c>
      <c r="M116" s="13"/>
      <c r="N116" s="14">
        <v>0</v>
      </c>
      <c r="O116" s="13"/>
      <c r="P116" s="14">
        <v>0</v>
      </c>
      <c r="Q116" s="13"/>
      <c r="R116" s="14">
        <f>SUM(B116:P116)</f>
        <v>-983987.09000000008</v>
      </c>
    </row>
    <row r="117" spans="1:18" outlineLevel="1" x14ac:dyDescent="0.2">
      <c r="A117" s="3" t="s">
        <v>3528</v>
      </c>
      <c r="B117" s="14">
        <v>-1643640.07</v>
      </c>
      <c r="C117" s="13"/>
      <c r="D117" s="14">
        <v>-1728733.19</v>
      </c>
      <c r="E117" s="13"/>
      <c r="F117" s="14">
        <v>0</v>
      </c>
      <c r="G117" s="13"/>
      <c r="H117" s="14">
        <v>0</v>
      </c>
      <c r="I117" s="13"/>
      <c r="J117" s="14">
        <v>0</v>
      </c>
      <c r="K117" s="13"/>
      <c r="L117" s="14">
        <v>0</v>
      </c>
      <c r="M117" s="13"/>
      <c r="N117" s="14">
        <v>0</v>
      </c>
      <c r="O117" s="13"/>
      <c r="P117" s="14">
        <v>0</v>
      </c>
      <c r="Q117" s="13"/>
      <c r="R117" s="14">
        <f>SUM(B117:P117)</f>
        <v>-3372373.26</v>
      </c>
    </row>
    <row r="118" spans="1:18" outlineLevel="1" x14ac:dyDescent="0.2">
      <c r="A118" s="3" t="s">
        <v>3529</v>
      </c>
      <c r="B118" s="14">
        <v>-71115.070000000007</v>
      </c>
      <c r="C118" s="13"/>
      <c r="D118" s="14">
        <v>-13557.36</v>
      </c>
      <c r="E118" s="13"/>
      <c r="F118" s="14">
        <v>0</v>
      </c>
      <c r="G118" s="13"/>
      <c r="H118" s="14">
        <v>0</v>
      </c>
      <c r="I118" s="13"/>
      <c r="J118" s="14">
        <v>0</v>
      </c>
      <c r="K118" s="13"/>
      <c r="L118" s="14">
        <v>0</v>
      </c>
      <c r="M118" s="13"/>
      <c r="N118" s="14">
        <v>0</v>
      </c>
      <c r="O118" s="13"/>
      <c r="P118" s="14">
        <v>0</v>
      </c>
      <c r="Q118" s="13"/>
      <c r="R118" s="14">
        <f t="shared" ref="R118:R134" si="5">SUM(B118:P118)</f>
        <v>-84672.430000000008</v>
      </c>
    </row>
    <row r="119" spans="1:18" outlineLevel="1" x14ac:dyDescent="0.2">
      <c r="A119" s="3" t="s">
        <v>3530</v>
      </c>
      <c r="B119" s="14">
        <v>-92783.400000000009</v>
      </c>
      <c r="C119" s="13"/>
      <c r="D119" s="14">
        <v>-18757.080000000002</v>
      </c>
      <c r="E119" s="13"/>
      <c r="F119" s="14">
        <v>0</v>
      </c>
      <c r="G119" s="13"/>
      <c r="H119" s="14">
        <v>0</v>
      </c>
      <c r="I119" s="13"/>
      <c r="J119" s="14">
        <v>0</v>
      </c>
      <c r="K119" s="13"/>
      <c r="L119" s="14">
        <v>0</v>
      </c>
      <c r="M119" s="13"/>
      <c r="N119" s="14">
        <v>0</v>
      </c>
      <c r="O119" s="13"/>
      <c r="P119" s="14">
        <v>0</v>
      </c>
      <c r="Q119" s="13"/>
      <c r="R119" s="14">
        <f t="shared" si="5"/>
        <v>-111540.48000000001</v>
      </c>
    </row>
    <row r="120" spans="1:18" outlineLevel="1" x14ac:dyDescent="0.2">
      <c r="A120" s="3" t="s">
        <v>3531</v>
      </c>
      <c r="B120" s="14">
        <v>-261412.27999999997</v>
      </c>
      <c r="C120" s="13"/>
      <c r="D120" s="14">
        <v>-36765.360000000001</v>
      </c>
      <c r="E120" s="13"/>
      <c r="F120" s="14">
        <v>0</v>
      </c>
      <c r="G120" s="13"/>
      <c r="H120" s="14">
        <v>0</v>
      </c>
      <c r="I120" s="13"/>
      <c r="J120" s="14">
        <v>0</v>
      </c>
      <c r="K120" s="13"/>
      <c r="L120" s="14">
        <v>0</v>
      </c>
      <c r="M120" s="13"/>
      <c r="N120" s="14">
        <v>0</v>
      </c>
      <c r="O120" s="13"/>
      <c r="P120" s="14">
        <v>0</v>
      </c>
      <c r="Q120" s="13"/>
      <c r="R120" s="14">
        <f t="shared" si="5"/>
        <v>-298177.63999999996</v>
      </c>
    </row>
    <row r="121" spans="1:18" outlineLevel="1" x14ac:dyDescent="0.2">
      <c r="A121" s="3" t="s">
        <v>3532</v>
      </c>
      <c r="B121" s="14">
        <v>-141990.41999999998</v>
      </c>
      <c r="C121" s="13"/>
      <c r="D121" s="14">
        <v>-55081.919999999998</v>
      </c>
      <c r="E121" s="13"/>
      <c r="F121" s="14">
        <v>0</v>
      </c>
      <c r="G121" s="13"/>
      <c r="H121" s="14">
        <v>0</v>
      </c>
      <c r="I121" s="13"/>
      <c r="J121" s="14">
        <v>0</v>
      </c>
      <c r="K121" s="13"/>
      <c r="L121" s="14">
        <v>0</v>
      </c>
      <c r="M121" s="13"/>
      <c r="N121" s="14">
        <v>0</v>
      </c>
      <c r="O121" s="13"/>
      <c r="P121" s="14">
        <v>0</v>
      </c>
      <c r="Q121" s="13"/>
      <c r="R121" s="14">
        <f t="shared" si="5"/>
        <v>-197072.33999999997</v>
      </c>
    </row>
    <row r="122" spans="1:18" outlineLevel="1" x14ac:dyDescent="0.2">
      <c r="A122" s="3" t="s">
        <v>3533</v>
      </c>
      <c r="B122" s="14">
        <v>-138794.38</v>
      </c>
      <c r="C122" s="13"/>
      <c r="D122" s="14">
        <v>-55719.48</v>
      </c>
      <c r="E122" s="13"/>
      <c r="F122" s="14">
        <v>0</v>
      </c>
      <c r="G122" s="13"/>
      <c r="H122" s="14">
        <v>0</v>
      </c>
      <c r="I122" s="13"/>
      <c r="J122" s="14">
        <v>0</v>
      </c>
      <c r="K122" s="13"/>
      <c r="L122" s="14">
        <v>0</v>
      </c>
      <c r="M122" s="13"/>
      <c r="N122" s="14">
        <v>0</v>
      </c>
      <c r="O122" s="13"/>
      <c r="P122" s="14">
        <v>0</v>
      </c>
      <c r="Q122" s="13"/>
      <c r="R122" s="14">
        <f t="shared" si="5"/>
        <v>-194513.86000000002</v>
      </c>
    </row>
    <row r="123" spans="1:18" outlineLevel="1" x14ac:dyDescent="0.2">
      <c r="A123" s="3" t="s">
        <v>3534</v>
      </c>
      <c r="B123" s="14">
        <v>-120423.74999999999</v>
      </c>
      <c r="C123" s="13"/>
      <c r="D123" s="14">
        <v>-18465.84</v>
      </c>
      <c r="E123" s="13"/>
      <c r="F123" s="14">
        <v>0</v>
      </c>
      <c r="G123" s="13"/>
      <c r="H123" s="14">
        <v>0</v>
      </c>
      <c r="I123" s="13"/>
      <c r="J123" s="14">
        <v>0</v>
      </c>
      <c r="K123" s="13"/>
      <c r="L123" s="14">
        <v>0</v>
      </c>
      <c r="M123" s="13"/>
      <c r="N123" s="14">
        <v>0</v>
      </c>
      <c r="O123" s="13"/>
      <c r="P123" s="14">
        <v>0</v>
      </c>
      <c r="Q123" s="13"/>
      <c r="R123" s="14">
        <f t="shared" si="5"/>
        <v>-138889.59</v>
      </c>
    </row>
    <row r="124" spans="1:18" outlineLevel="1" x14ac:dyDescent="0.2">
      <c r="A124" s="3" t="s">
        <v>3535</v>
      </c>
      <c r="B124" s="14">
        <v>-1205200.7000000002</v>
      </c>
      <c r="C124" s="13"/>
      <c r="D124" s="14">
        <v>-100018.8</v>
      </c>
      <c r="E124" s="13"/>
      <c r="F124" s="14">
        <v>0</v>
      </c>
      <c r="G124" s="13"/>
      <c r="H124" s="14">
        <v>0</v>
      </c>
      <c r="I124" s="13"/>
      <c r="J124" s="14">
        <v>0</v>
      </c>
      <c r="K124" s="13"/>
      <c r="L124" s="14">
        <v>0</v>
      </c>
      <c r="M124" s="13"/>
      <c r="N124" s="14">
        <v>0</v>
      </c>
      <c r="O124" s="13"/>
      <c r="P124" s="14">
        <v>0</v>
      </c>
      <c r="Q124" s="13"/>
      <c r="R124" s="14">
        <f t="shared" si="5"/>
        <v>-1305219.5000000002</v>
      </c>
    </row>
    <row r="125" spans="1:18" outlineLevel="1" x14ac:dyDescent="0.2">
      <c r="A125" s="3" t="s">
        <v>3536</v>
      </c>
      <c r="B125" s="14">
        <v>-5255745.580000001</v>
      </c>
      <c r="C125" s="13"/>
      <c r="D125" s="14">
        <v>-221789.61</v>
      </c>
      <c r="E125" s="13"/>
      <c r="F125" s="14">
        <v>0</v>
      </c>
      <c r="G125" s="13"/>
      <c r="H125" s="14">
        <v>0</v>
      </c>
      <c r="I125" s="13"/>
      <c r="J125" s="14">
        <v>0</v>
      </c>
      <c r="K125" s="13"/>
      <c r="L125" s="14">
        <v>0</v>
      </c>
      <c r="M125" s="13"/>
      <c r="N125" s="14">
        <v>0</v>
      </c>
      <c r="O125" s="13"/>
      <c r="P125" s="14">
        <v>0</v>
      </c>
      <c r="Q125" s="13"/>
      <c r="R125" s="14">
        <f t="shared" si="5"/>
        <v>-5477535.1900000013</v>
      </c>
    </row>
    <row r="126" spans="1:18" outlineLevel="1" x14ac:dyDescent="0.2">
      <c r="A126" s="3" t="s">
        <v>3537</v>
      </c>
      <c r="B126" s="14">
        <v>-192270.80000000002</v>
      </c>
      <c r="C126" s="13"/>
      <c r="D126" s="14">
        <v>-48439.32</v>
      </c>
      <c r="E126" s="13"/>
      <c r="F126" s="14">
        <v>0</v>
      </c>
      <c r="G126" s="13"/>
      <c r="H126" s="14">
        <v>0</v>
      </c>
      <c r="I126" s="13"/>
      <c r="J126" s="14">
        <v>0</v>
      </c>
      <c r="K126" s="13"/>
      <c r="L126" s="14">
        <v>0</v>
      </c>
      <c r="M126" s="13"/>
      <c r="N126" s="14">
        <v>0</v>
      </c>
      <c r="O126" s="13"/>
      <c r="P126" s="14">
        <v>0</v>
      </c>
      <c r="Q126" s="13"/>
      <c r="R126" s="14">
        <f t="shared" si="5"/>
        <v>-240710.12000000002</v>
      </c>
    </row>
    <row r="127" spans="1:18" outlineLevel="1" x14ac:dyDescent="0.2">
      <c r="A127" s="3" t="s">
        <v>3538</v>
      </c>
      <c r="B127" s="14">
        <v>-975254.99000000011</v>
      </c>
      <c r="C127" s="13"/>
      <c r="D127" s="14">
        <v>-102969.7</v>
      </c>
      <c r="E127" s="13"/>
      <c r="F127" s="14">
        <v>0</v>
      </c>
      <c r="G127" s="13"/>
      <c r="H127" s="14">
        <v>0</v>
      </c>
      <c r="I127" s="13"/>
      <c r="J127" s="14">
        <v>0</v>
      </c>
      <c r="K127" s="13"/>
      <c r="L127" s="14">
        <v>0</v>
      </c>
      <c r="M127" s="13"/>
      <c r="N127" s="14">
        <v>0</v>
      </c>
      <c r="O127" s="13"/>
      <c r="P127" s="14">
        <v>0</v>
      </c>
      <c r="Q127" s="13"/>
      <c r="R127" s="14">
        <f t="shared" si="5"/>
        <v>-1078224.6900000002</v>
      </c>
    </row>
    <row r="128" spans="1:18" outlineLevel="1" x14ac:dyDescent="0.2">
      <c r="A128" s="3" t="s">
        <v>3539</v>
      </c>
      <c r="B128" s="14">
        <v>-246640.91999999998</v>
      </c>
      <c r="C128" s="13"/>
      <c r="D128" s="14">
        <v>-22734.84</v>
      </c>
      <c r="E128" s="13"/>
      <c r="F128" s="14">
        <v>0</v>
      </c>
      <c r="G128" s="13"/>
      <c r="H128" s="14">
        <v>0</v>
      </c>
      <c r="I128" s="13"/>
      <c r="J128" s="14">
        <v>0</v>
      </c>
      <c r="K128" s="13"/>
      <c r="L128" s="14">
        <v>0</v>
      </c>
      <c r="M128" s="13"/>
      <c r="N128" s="14">
        <v>0</v>
      </c>
      <c r="O128" s="13"/>
      <c r="P128" s="14">
        <v>0</v>
      </c>
      <c r="Q128" s="13"/>
      <c r="R128" s="14">
        <f t="shared" si="5"/>
        <v>-269375.76</v>
      </c>
    </row>
    <row r="129" spans="1:18" outlineLevel="1" x14ac:dyDescent="0.2">
      <c r="A129" s="3" t="s">
        <v>3540</v>
      </c>
      <c r="B129" s="14">
        <v>-110150.07</v>
      </c>
      <c r="C129" s="13"/>
      <c r="D129" s="14">
        <v>-8792.76</v>
      </c>
      <c r="E129" s="13"/>
      <c r="F129" s="14">
        <v>0</v>
      </c>
      <c r="G129" s="13"/>
      <c r="H129" s="14">
        <v>0</v>
      </c>
      <c r="I129" s="13"/>
      <c r="J129" s="14">
        <v>0</v>
      </c>
      <c r="K129" s="13"/>
      <c r="L129" s="14">
        <v>0</v>
      </c>
      <c r="M129" s="13"/>
      <c r="N129" s="14">
        <v>0</v>
      </c>
      <c r="O129" s="13"/>
      <c r="P129" s="14">
        <v>0</v>
      </c>
      <c r="Q129" s="13"/>
      <c r="R129" s="14">
        <f t="shared" si="5"/>
        <v>-118942.83</v>
      </c>
    </row>
    <row r="130" spans="1:18" outlineLevel="1" x14ac:dyDescent="0.2">
      <c r="A130" s="3" t="s">
        <v>3541</v>
      </c>
      <c r="B130" s="14">
        <v>-110006.41999999998</v>
      </c>
      <c r="C130" s="13"/>
      <c r="D130" s="14">
        <v>-8780.2800000000007</v>
      </c>
      <c r="E130" s="13"/>
      <c r="F130" s="14">
        <v>0</v>
      </c>
      <c r="G130" s="13"/>
      <c r="H130" s="14">
        <v>0</v>
      </c>
      <c r="I130" s="13"/>
      <c r="J130" s="14">
        <v>0</v>
      </c>
      <c r="K130" s="13"/>
      <c r="L130" s="14">
        <v>0</v>
      </c>
      <c r="M130" s="13"/>
      <c r="N130" s="14">
        <v>0</v>
      </c>
      <c r="O130" s="13"/>
      <c r="P130" s="14">
        <v>0</v>
      </c>
      <c r="Q130" s="13"/>
      <c r="R130" s="14">
        <f t="shared" si="5"/>
        <v>-118786.69999999998</v>
      </c>
    </row>
    <row r="131" spans="1:18" outlineLevel="1" x14ac:dyDescent="0.2">
      <c r="A131" s="3" t="s">
        <v>3542</v>
      </c>
      <c r="B131" s="14">
        <v>-231910.34</v>
      </c>
      <c r="C131" s="13"/>
      <c r="D131" s="14">
        <v>-20925.72</v>
      </c>
      <c r="E131" s="13"/>
      <c r="F131" s="14">
        <v>0</v>
      </c>
      <c r="G131" s="13"/>
      <c r="H131" s="14">
        <v>0</v>
      </c>
      <c r="I131" s="13"/>
      <c r="J131" s="14">
        <v>0</v>
      </c>
      <c r="K131" s="13"/>
      <c r="L131" s="14">
        <v>0</v>
      </c>
      <c r="M131" s="13"/>
      <c r="N131" s="14">
        <v>0</v>
      </c>
      <c r="O131" s="13"/>
      <c r="P131" s="14">
        <v>0</v>
      </c>
      <c r="Q131" s="13"/>
      <c r="R131" s="14">
        <f t="shared" si="5"/>
        <v>-252836.06</v>
      </c>
    </row>
    <row r="132" spans="1:18" outlineLevel="1" x14ac:dyDescent="0.2">
      <c r="A132" s="3" t="s">
        <v>3543</v>
      </c>
      <c r="B132" s="14">
        <v>-231238.86999999997</v>
      </c>
      <c r="C132" s="13"/>
      <c r="D132" s="14">
        <v>-20865.240000000002</v>
      </c>
      <c r="E132" s="13"/>
      <c r="F132" s="14">
        <v>0</v>
      </c>
      <c r="G132" s="13"/>
      <c r="H132" s="14">
        <v>0</v>
      </c>
      <c r="I132" s="13"/>
      <c r="J132" s="14">
        <v>0</v>
      </c>
      <c r="K132" s="13"/>
      <c r="L132" s="14">
        <v>0</v>
      </c>
      <c r="M132" s="13"/>
      <c r="N132" s="14">
        <v>0</v>
      </c>
      <c r="O132" s="13"/>
      <c r="P132" s="14">
        <v>0</v>
      </c>
      <c r="Q132" s="13"/>
      <c r="R132" s="14">
        <f t="shared" si="5"/>
        <v>-252104.10999999996</v>
      </c>
    </row>
    <row r="133" spans="1:18" outlineLevel="1" x14ac:dyDescent="0.2">
      <c r="A133" s="3" t="s">
        <v>3544</v>
      </c>
      <c r="B133" s="14">
        <v>-236878.61</v>
      </c>
      <c r="C133" s="13"/>
      <c r="D133" s="14">
        <v>-21613.8</v>
      </c>
      <c r="E133" s="13"/>
      <c r="F133" s="14">
        <v>0</v>
      </c>
      <c r="G133" s="13"/>
      <c r="H133" s="14">
        <v>0</v>
      </c>
      <c r="I133" s="13"/>
      <c r="J133" s="14">
        <v>0</v>
      </c>
      <c r="K133" s="13"/>
      <c r="L133" s="14">
        <v>0</v>
      </c>
      <c r="M133" s="13"/>
      <c r="N133" s="14">
        <v>0</v>
      </c>
      <c r="O133" s="13"/>
      <c r="P133" s="14">
        <v>0</v>
      </c>
      <c r="Q133" s="13"/>
      <c r="R133" s="14">
        <f t="shared" si="5"/>
        <v>-258492.40999999997</v>
      </c>
    </row>
    <row r="134" spans="1:18" outlineLevel="1" x14ac:dyDescent="0.2">
      <c r="A134" s="3" t="s">
        <v>3545</v>
      </c>
      <c r="B134" s="14">
        <v>-2216038.84</v>
      </c>
      <c r="C134" s="13"/>
      <c r="D134" s="14">
        <v>-162194.88</v>
      </c>
      <c r="E134" s="13"/>
      <c r="F134" s="14">
        <v>0</v>
      </c>
      <c r="G134" s="13"/>
      <c r="H134" s="14">
        <v>0</v>
      </c>
      <c r="I134" s="13"/>
      <c r="J134" s="14">
        <v>0</v>
      </c>
      <c r="K134" s="13"/>
      <c r="L134" s="14">
        <v>0</v>
      </c>
      <c r="M134" s="13"/>
      <c r="N134" s="14">
        <v>0</v>
      </c>
      <c r="O134" s="13"/>
      <c r="P134" s="14">
        <v>0</v>
      </c>
      <c r="Q134" s="13"/>
      <c r="R134" s="14">
        <f t="shared" si="5"/>
        <v>-2378233.7199999997</v>
      </c>
    </row>
    <row r="135" spans="1:18" x14ac:dyDescent="0.2">
      <c r="A135" s="3" t="s">
        <v>3546</v>
      </c>
      <c r="B135" s="14">
        <f>SUM(B116:B134)</f>
        <v>-13826547.57</v>
      </c>
      <c r="C135" s="13"/>
      <c r="D135" s="14">
        <f>SUM(D116:D134)</f>
        <v>-3305140.2099999986</v>
      </c>
      <c r="E135" s="13"/>
      <c r="F135" s="14">
        <f>SUM(F116:F134)</f>
        <v>0</v>
      </c>
      <c r="G135" s="13"/>
      <c r="H135" s="14">
        <f>SUM(H116:H134)</f>
        <v>0</v>
      </c>
      <c r="I135" s="13"/>
      <c r="J135" s="14">
        <f>SUM(J116:J134)</f>
        <v>0</v>
      </c>
      <c r="K135" s="13"/>
      <c r="L135" s="14">
        <f>SUM(L116:L134)</f>
        <v>0</v>
      </c>
      <c r="M135" s="13"/>
      <c r="N135" s="14">
        <f>SUM(N116:N134)</f>
        <v>0</v>
      </c>
      <c r="O135" s="13"/>
      <c r="P135" s="14">
        <f>SUM(P116:P134)</f>
        <v>0</v>
      </c>
      <c r="Q135" s="13"/>
      <c r="R135" s="14">
        <f>SUM(R116:R134)</f>
        <v>-17131687.779999997</v>
      </c>
    </row>
    <row r="136" spans="1:18" x14ac:dyDescent="0.2">
      <c r="A136" s="3" t="s">
        <v>3547</v>
      </c>
      <c r="B136" s="14">
        <v>2.9103830456733704E-11</v>
      </c>
      <c r="C136" s="13"/>
      <c r="D136" s="74">
        <v>0</v>
      </c>
      <c r="E136" s="13"/>
      <c r="F136" s="74">
        <v>0</v>
      </c>
      <c r="G136" s="13"/>
      <c r="H136" s="74">
        <v>0</v>
      </c>
      <c r="I136" s="13"/>
      <c r="J136" s="14">
        <v>0</v>
      </c>
      <c r="K136" s="13"/>
      <c r="L136" s="74">
        <v>0</v>
      </c>
      <c r="M136" s="13"/>
      <c r="N136" s="74">
        <v>0</v>
      </c>
      <c r="O136" s="13"/>
      <c r="P136" s="100">
        <v>0</v>
      </c>
      <c r="Q136" s="13"/>
      <c r="R136" s="14">
        <f>SUM(B136:P136)</f>
        <v>2.9103830456733704E-11</v>
      </c>
    </row>
    <row r="137" spans="1:18" outlineLevel="1" x14ac:dyDescent="0.2">
      <c r="A137" s="3" t="s">
        <v>3548</v>
      </c>
      <c r="B137" s="14">
        <v>-1353523.58</v>
      </c>
      <c r="C137" s="13"/>
      <c r="D137" s="14">
        <v>-4623805.3600000003</v>
      </c>
      <c r="E137" s="13"/>
      <c r="F137" s="14">
        <v>0</v>
      </c>
      <c r="G137" s="13"/>
      <c r="H137" s="14">
        <v>0</v>
      </c>
      <c r="I137" s="13"/>
      <c r="J137" s="14">
        <v>0</v>
      </c>
      <c r="K137" s="13"/>
      <c r="L137" s="14">
        <v>0</v>
      </c>
      <c r="M137" s="13"/>
      <c r="N137" s="14">
        <v>0</v>
      </c>
      <c r="O137" s="13"/>
      <c r="P137" s="14">
        <v>0</v>
      </c>
      <c r="Q137" s="13"/>
      <c r="R137" s="14">
        <f>SUM(B137:P137)</f>
        <v>-5977328.9400000004</v>
      </c>
    </row>
    <row r="138" spans="1:18" outlineLevel="1" x14ac:dyDescent="0.2">
      <c r="A138" s="3" t="s">
        <v>3549</v>
      </c>
      <c r="B138" s="14">
        <v>-10072719.619999997</v>
      </c>
      <c r="C138" s="13"/>
      <c r="D138" s="14">
        <v>-855587.28</v>
      </c>
      <c r="E138" s="13"/>
      <c r="F138" s="14">
        <v>0</v>
      </c>
      <c r="G138" s="13"/>
      <c r="H138" s="14">
        <v>0</v>
      </c>
      <c r="I138" s="13"/>
      <c r="J138" s="14">
        <v>0</v>
      </c>
      <c r="K138" s="13"/>
      <c r="L138" s="14">
        <v>232764.75</v>
      </c>
      <c r="M138" s="13"/>
      <c r="N138" s="14">
        <v>0</v>
      </c>
      <c r="O138" s="13"/>
      <c r="P138" s="14">
        <v>0</v>
      </c>
      <c r="Q138" s="13"/>
      <c r="R138" s="14">
        <f t="shared" ref="R138:R151" si="6">SUM(B138:P138)</f>
        <v>-10695542.149999997</v>
      </c>
    </row>
    <row r="139" spans="1:18" outlineLevel="1" x14ac:dyDescent="0.2">
      <c r="A139" s="3" t="s">
        <v>3550</v>
      </c>
      <c r="B139" s="14">
        <v>-21054696.039999999</v>
      </c>
      <c r="C139" s="13"/>
      <c r="D139" s="14">
        <v>-1534183.2</v>
      </c>
      <c r="E139" s="13"/>
      <c r="F139" s="14">
        <v>37337.79</v>
      </c>
      <c r="G139" s="13"/>
      <c r="H139" s="14">
        <v>0</v>
      </c>
      <c r="I139" s="13"/>
      <c r="J139" s="14">
        <v>0</v>
      </c>
      <c r="K139" s="13"/>
      <c r="L139" s="14">
        <v>2846.75</v>
      </c>
      <c r="M139" s="13"/>
      <c r="N139" s="14">
        <v>0</v>
      </c>
      <c r="O139" s="13"/>
      <c r="P139" s="14">
        <v>0</v>
      </c>
      <c r="Q139" s="13"/>
      <c r="R139" s="14">
        <f t="shared" si="6"/>
        <v>-22548694.699999999</v>
      </c>
    </row>
    <row r="140" spans="1:18" outlineLevel="1" x14ac:dyDescent="0.2">
      <c r="A140" s="3" t="s">
        <v>3551</v>
      </c>
      <c r="B140" s="14">
        <v>-6777304.4399999995</v>
      </c>
      <c r="C140" s="13"/>
      <c r="D140" s="14">
        <v>-612463.07999999996</v>
      </c>
      <c r="E140" s="13"/>
      <c r="F140" s="14">
        <v>0</v>
      </c>
      <c r="G140" s="13"/>
      <c r="H140" s="14">
        <v>0</v>
      </c>
      <c r="I140" s="13"/>
      <c r="J140" s="14">
        <v>0</v>
      </c>
      <c r="K140" s="13"/>
      <c r="L140" s="14">
        <v>0</v>
      </c>
      <c r="M140" s="13"/>
      <c r="N140" s="14">
        <v>0</v>
      </c>
      <c r="O140" s="13"/>
      <c r="P140" s="14">
        <v>0</v>
      </c>
      <c r="Q140" s="13"/>
      <c r="R140" s="14">
        <f t="shared" si="6"/>
        <v>-7389767.5199999996</v>
      </c>
    </row>
    <row r="141" spans="1:18" outlineLevel="1" x14ac:dyDescent="0.2">
      <c r="A141" s="3" t="s">
        <v>3552</v>
      </c>
      <c r="B141" s="14">
        <v>-14206645.290000001</v>
      </c>
      <c r="C141" s="13"/>
      <c r="D141" s="14">
        <v>-1752242.49</v>
      </c>
      <c r="E141" s="13"/>
      <c r="F141" s="14">
        <v>22084.78</v>
      </c>
      <c r="G141" s="13"/>
      <c r="H141" s="14">
        <v>0</v>
      </c>
      <c r="I141" s="13"/>
      <c r="J141" s="14">
        <v>0</v>
      </c>
      <c r="K141" s="13"/>
      <c r="L141" s="14">
        <v>962.1</v>
      </c>
      <c r="M141" s="13"/>
      <c r="N141" s="14">
        <v>0</v>
      </c>
      <c r="O141" s="13"/>
      <c r="P141" s="14">
        <v>0</v>
      </c>
      <c r="Q141" s="13"/>
      <c r="R141" s="14">
        <f t="shared" si="6"/>
        <v>-15935840.900000002</v>
      </c>
    </row>
    <row r="142" spans="1:18" outlineLevel="1" x14ac:dyDescent="0.2">
      <c r="A142" s="3" t="s">
        <v>3553</v>
      </c>
      <c r="B142" s="14">
        <v>-13616279.57</v>
      </c>
      <c r="C142" s="13"/>
      <c r="D142" s="14">
        <v>-1577663.29</v>
      </c>
      <c r="E142" s="13"/>
      <c r="F142" s="14">
        <v>22084.78</v>
      </c>
      <c r="G142" s="13"/>
      <c r="H142" s="14">
        <v>0</v>
      </c>
      <c r="I142" s="13"/>
      <c r="J142" s="14">
        <v>0</v>
      </c>
      <c r="K142" s="13"/>
      <c r="L142" s="14">
        <v>962.1</v>
      </c>
      <c r="M142" s="13"/>
      <c r="N142" s="14">
        <v>0</v>
      </c>
      <c r="O142" s="13"/>
      <c r="P142" s="14">
        <v>0</v>
      </c>
      <c r="Q142" s="13"/>
      <c r="R142" s="14">
        <f t="shared" si="6"/>
        <v>-15170895.98</v>
      </c>
    </row>
    <row r="143" spans="1:18" outlineLevel="1" x14ac:dyDescent="0.2">
      <c r="A143" s="3" t="s">
        <v>3554</v>
      </c>
      <c r="B143" s="14">
        <v>-14860849.270000003</v>
      </c>
      <c r="C143" s="13"/>
      <c r="D143" s="14">
        <v>-1387356.12</v>
      </c>
      <c r="E143" s="13"/>
      <c r="F143" s="14">
        <v>0</v>
      </c>
      <c r="G143" s="13"/>
      <c r="H143" s="14">
        <v>0</v>
      </c>
      <c r="I143" s="13"/>
      <c r="J143" s="14">
        <v>0</v>
      </c>
      <c r="K143" s="13"/>
      <c r="L143" s="14">
        <v>0</v>
      </c>
      <c r="M143" s="13"/>
      <c r="N143" s="14">
        <v>0</v>
      </c>
      <c r="O143" s="13"/>
      <c r="P143" s="14">
        <v>0</v>
      </c>
      <c r="Q143" s="13"/>
      <c r="R143" s="14">
        <f t="shared" si="6"/>
        <v>-16248205.390000004</v>
      </c>
    </row>
    <row r="144" spans="1:18" outlineLevel="1" x14ac:dyDescent="0.2">
      <c r="A144" s="3" t="s">
        <v>3555</v>
      </c>
      <c r="B144" s="14">
        <v>-12156038.130000001</v>
      </c>
      <c r="C144" s="13"/>
      <c r="D144" s="14">
        <v>-933371.93</v>
      </c>
      <c r="E144" s="13"/>
      <c r="F144" s="14">
        <v>4311.63</v>
      </c>
      <c r="G144" s="13"/>
      <c r="H144" s="14">
        <v>0</v>
      </c>
      <c r="I144" s="13"/>
      <c r="J144" s="14">
        <v>0</v>
      </c>
      <c r="K144" s="13"/>
      <c r="L144" s="14">
        <v>0</v>
      </c>
      <c r="M144" s="13"/>
      <c r="N144" s="14">
        <v>0</v>
      </c>
      <c r="O144" s="13"/>
      <c r="P144" s="14">
        <v>0</v>
      </c>
      <c r="Q144" s="13"/>
      <c r="R144" s="14">
        <f t="shared" si="6"/>
        <v>-13085098.43</v>
      </c>
    </row>
    <row r="145" spans="1:18" outlineLevel="1" x14ac:dyDescent="0.2">
      <c r="A145" s="3" t="s">
        <v>3556</v>
      </c>
      <c r="B145" s="14">
        <v>-5651831.9100000001</v>
      </c>
      <c r="C145" s="13"/>
      <c r="D145" s="14">
        <v>-850811.16</v>
      </c>
      <c r="E145" s="13"/>
      <c r="F145" s="14">
        <v>0</v>
      </c>
      <c r="G145" s="13"/>
      <c r="H145" s="14">
        <v>0</v>
      </c>
      <c r="I145" s="13"/>
      <c r="J145" s="14">
        <v>0</v>
      </c>
      <c r="K145" s="13"/>
      <c r="L145" s="14">
        <v>0</v>
      </c>
      <c r="M145" s="13"/>
      <c r="N145" s="14">
        <v>0</v>
      </c>
      <c r="O145" s="13"/>
      <c r="P145" s="14">
        <v>0</v>
      </c>
      <c r="Q145" s="13"/>
      <c r="R145" s="14">
        <f t="shared" si="6"/>
        <v>-6502643.0700000003</v>
      </c>
    </row>
    <row r="146" spans="1:18" outlineLevel="1" x14ac:dyDescent="0.2">
      <c r="A146" s="3" t="s">
        <v>3557</v>
      </c>
      <c r="B146" s="14">
        <v>-8285715.4299999997</v>
      </c>
      <c r="C146" s="13"/>
      <c r="D146" s="14">
        <v>-978150.87</v>
      </c>
      <c r="E146" s="13"/>
      <c r="F146" s="14">
        <v>0</v>
      </c>
      <c r="G146" s="13"/>
      <c r="H146" s="14">
        <v>0</v>
      </c>
      <c r="I146" s="13"/>
      <c r="J146" s="14">
        <v>0</v>
      </c>
      <c r="K146" s="13"/>
      <c r="L146" s="14">
        <v>0</v>
      </c>
      <c r="M146" s="13"/>
      <c r="N146" s="14">
        <v>0</v>
      </c>
      <c r="O146" s="13"/>
      <c r="P146" s="14">
        <v>0</v>
      </c>
      <c r="Q146" s="13"/>
      <c r="R146" s="14">
        <f t="shared" si="6"/>
        <v>-9263866.2999999989</v>
      </c>
    </row>
    <row r="147" spans="1:18" outlineLevel="1" x14ac:dyDescent="0.2">
      <c r="A147" s="3" t="s">
        <v>3558</v>
      </c>
      <c r="B147" s="14">
        <v>-13187243.049999999</v>
      </c>
      <c r="C147" s="13"/>
      <c r="D147" s="14">
        <v>-1299461.1399999999</v>
      </c>
      <c r="E147" s="13"/>
      <c r="F147" s="14">
        <v>0</v>
      </c>
      <c r="G147" s="13"/>
      <c r="H147" s="14">
        <v>0</v>
      </c>
      <c r="I147" s="13"/>
      <c r="J147" s="14">
        <v>0</v>
      </c>
      <c r="K147" s="13"/>
      <c r="L147" s="14">
        <v>0</v>
      </c>
      <c r="M147" s="13"/>
      <c r="N147" s="14">
        <v>0</v>
      </c>
      <c r="O147" s="13"/>
      <c r="P147" s="14">
        <v>0</v>
      </c>
      <c r="Q147" s="13"/>
      <c r="R147" s="14">
        <f t="shared" si="6"/>
        <v>-14486704.189999999</v>
      </c>
    </row>
    <row r="148" spans="1:18" outlineLevel="1" x14ac:dyDescent="0.2">
      <c r="A148" s="3" t="s">
        <v>3559</v>
      </c>
      <c r="B148" s="14">
        <v>-13527496.110000003</v>
      </c>
      <c r="C148" s="13"/>
      <c r="D148" s="14">
        <v>-1429075.3</v>
      </c>
      <c r="E148" s="13"/>
      <c r="F148" s="14">
        <v>0</v>
      </c>
      <c r="G148" s="13"/>
      <c r="H148" s="14">
        <v>0</v>
      </c>
      <c r="I148" s="13"/>
      <c r="J148" s="14">
        <v>0</v>
      </c>
      <c r="K148" s="13"/>
      <c r="L148" s="14">
        <v>0</v>
      </c>
      <c r="M148" s="13"/>
      <c r="N148" s="14">
        <v>0</v>
      </c>
      <c r="O148" s="13"/>
      <c r="P148" s="14">
        <v>0</v>
      </c>
      <c r="Q148" s="13"/>
      <c r="R148" s="14">
        <f t="shared" si="6"/>
        <v>-14956571.410000004</v>
      </c>
    </row>
    <row r="149" spans="1:18" outlineLevel="1" x14ac:dyDescent="0.2">
      <c r="A149" s="3" t="s">
        <v>3560</v>
      </c>
      <c r="B149" s="14">
        <v>-8647623.6999999993</v>
      </c>
      <c r="C149" s="13"/>
      <c r="D149" s="14">
        <v>-1022703.12</v>
      </c>
      <c r="E149" s="13"/>
      <c r="F149" s="14">
        <v>0</v>
      </c>
      <c r="G149" s="13"/>
      <c r="H149" s="14">
        <v>0</v>
      </c>
      <c r="I149" s="13"/>
      <c r="J149" s="14">
        <v>0</v>
      </c>
      <c r="K149" s="13"/>
      <c r="L149" s="14">
        <v>0</v>
      </c>
      <c r="M149" s="13"/>
      <c r="N149" s="14">
        <v>0</v>
      </c>
      <c r="O149" s="13"/>
      <c r="P149" s="14">
        <v>0</v>
      </c>
      <c r="Q149" s="13"/>
      <c r="R149" s="14">
        <f t="shared" si="6"/>
        <v>-9670326.8199999984</v>
      </c>
    </row>
    <row r="150" spans="1:18" outlineLevel="1" x14ac:dyDescent="0.2">
      <c r="A150" s="3" t="s">
        <v>3561</v>
      </c>
      <c r="B150" s="14">
        <v>-8098853.5999999996</v>
      </c>
      <c r="C150" s="13"/>
      <c r="D150" s="14">
        <v>-978664.08</v>
      </c>
      <c r="E150" s="13"/>
      <c r="F150" s="14">
        <v>0</v>
      </c>
      <c r="G150" s="13"/>
      <c r="H150" s="14">
        <v>0</v>
      </c>
      <c r="I150" s="13"/>
      <c r="J150" s="14">
        <v>0</v>
      </c>
      <c r="K150" s="13"/>
      <c r="L150" s="14">
        <v>0</v>
      </c>
      <c r="M150" s="13"/>
      <c r="N150" s="14">
        <v>0</v>
      </c>
      <c r="O150" s="13"/>
      <c r="P150" s="14">
        <v>0</v>
      </c>
      <c r="Q150" s="13"/>
      <c r="R150" s="14">
        <f t="shared" si="6"/>
        <v>-9077517.6799999997</v>
      </c>
    </row>
    <row r="151" spans="1:18" outlineLevel="1" x14ac:dyDescent="0.2">
      <c r="A151" s="3" t="s">
        <v>3562</v>
      </c>
      <c r="B151" s="14">
        <v>-8411415.9100000001</v>
      </c>
      <c r="C151" s="13"/>
      <c r="D151" s="14">
        <v>-980638.8</v>
      </c>
      <c r="E151" s="13"/>
      <c r="F151" s="14">
        <v>0</v>
      </c>
      <c r="G151" s="13"/>
      <c r="H151" s="14">
        <v>0</v>
      </c>
      <c r="I151" s="13"/>
      <c r="J151" s="14">
        <v>0</v>
      </c>
      <c r="K151" s="13"/>
      <c r="L151" s="14">
        <v>0</v>
      </c>
      <c r="M151" s="13"/>
      <c r="N151" s="14">
        <v>0</v>
      </c>
      <c r="O151" s="13"/>
      <c r="P151" s="14">
        <v>0</v>
      </c>
      <c r="Q151" s="13"/>
      <c r="R151" s="14">
        <f t="shared" si="6"/>
        <v>-9392054.7100000009</v>
      </c>
    </row>
    <row r="152" spans="1:18" x14ac:dyDescent="0.2">
      <c r="A152" s="3" t="s">
        <v>3563</v>
      </c>
      <c r="B152" s="14">
        <f>SUM(B137:B151)</f>
        <v>-159908235.64999998</v>
      </c>
      <c r="C152" s="13"/>
      <c r="D152" s="14">
        <f>SUM(D137:D151)</f>
        <v>-20816177.219999999</v>
      </c>
      <c r="E152" s="13"/>
      <c r="F152" s="14">
        <f>SUM(F137:F151)</f>
        <v>85818.98000000001</v>
      </c>
      <c r="G152" s="13"/>
      <c r="H152" s="14">
        <f>SUM(H137:H151)</f>
        <v>0</v>
      </c>
      <c r="I152" s="13"/>
      <c r="J152" s="14">
        <f>SUM(J137:J151)</f>
        <v>0</v>
      </c>
      <c r="K152" s="13"/>
      <c r="L152" s="14">
        <f>SUM(L137:L151)</f>
        <v>237535.7</v>
      </c>
      <c r="M152" s="13"/>
      <c r="N152" s="14">
        <f>SUM(N137:N151)</f>
        <v>0</v>
      </c>
      <c r="O152" s="13"/>
      <c r="P152" s="14">
        <f>SUM(P137:P151)</f>
        <v>0</v>
      </c>
      <c r="Q152" s="13"/>
      <c r="R152" s="14">
        <f>SUM(R137:R151)</f>
        <v>-180401058.19</v>
      </c>
    </row>
    <row r="153" spans="1:18" outlineLevel="1" x14ac:dyDescent="0.2">
      <c r="A153" s="3" t="s">
        <v>3564</v>
      </c>
      <c r="B153" s="14">
        <v>-1903560.49</v>
      </c>
      <c r="C153" s="13"/>
      <c r="D153" s="14">
        <v>-2735264.22</v>
      </c>
      <c r="E153" s="13"/>
      <c r="F153" s="14">
        <v>0</v>
      </c>
      <c r="G153" s="13"/>
      <c r="H153" s="14">
        <v>0</v>
      </c>
      <c r="I153" s="13"/>
      <c r="J153" s="14">
        <v>0</v>
      </c>
      <c r="K153" s="13"/>
      <c r="L153" s="14">
        <v>0</v>
      </c>
      <c r="M153" s="13"/>
      <c r="N153" s="14">
        <v>0</v>
      </c>
      <c r="O153" s="13"/>
      <c r="P153" s="14">
        <v>0</v>
      </c>
      <c r="Q153" s="13"/>
      <c r="R153" s="14">
        <f>SUM(B153:P153)</f>
        <v>-4638824.71</v>
      </c>
    </row>
    <row r="154" spans="1:18" outlineLevel="1" x14ac:dyDescent="0.2">
      <c r="A154" s="3" t="s">
        <v>3565</v>
      </c>
      <c r="B154" s="14">
        <v>-3129053.9100000006</v>
      </c>
      <c r="C154" s="13"/>
      <c r="D154" s="14">
        <v>-126799.32</v>
      </c>
      <c r="E154" s="13"/>
      <c r="F154" s="14">
        <v>0</v>
      </c>
      <c r="G154" s="13"/>
      <c r="H154" s="14">
        <v>0</v>
      </c>
      <c r="I154" s="13"/>
      <c r="J154" s="14">
        <v>0</v>
      </c>
      <c r="K154" s="13"/>
      <c r="L154" s="14">
        <v>0</v>
      </c>
      <c r="M154" s="13"/>
      <c r="N154" s="14">
        <v>0</v>
      </c>
      <c r="O154" s="13"/>
      <c r="P154" s="14">
        <v>0</v>
      </c>
      <c r="Q154" s="13"/>
      <c r="R154" s="14">
        <f t="shared" ref="R154:R169" si="7">SUM(B154:P154)</f>
        <v>-3255853.2300000004</v>
      </c>
    </row>
    <row r="155" spans="1:18" outlineLevel="1" x14ac:dyDescent="0.2">
      <c r="A155" s="3" t="s">
        <v>3566</v>
      </c>
      <c r="B155" s="14">
        <v>-2847510.32</v>
      </c>
      <c r="C155" s="13"/>
      <c r="D155" s="14">
        <v>-198243.6</v>
      </c>
      <c r="E155" s="13"/>
      <c r="F155" s="14">
        <v>0</v>
      </c>
      <c r="G155" s="13"/>
      <c r="H155" s="14">
        <v>0</v>
      </c>
      <c r="I155" s="13"/>
      <c r="J155" s="14">
        <v>0</v>
      </c>
      <c r="K155" s="13"/>
      <c r="L155" s="14">
        <v>0</v>
      </c>
      <c r="M155" s="13"/>
      <c r="N155" s="14">
        <v>0</v>
      </c>
      <c r="O155" s="13"/>
      <c r="P155" s="14">
        <v>0</v>
      </c>
      <c r="Q155" s="13"/>
      <c r="R155" s="14">
        <f t="shared" si="7"/>
        <v>-3045753.92</v>
      </c>
    </row>
    <row r="156" spans="1:18" outlineLevel="1" x14ac:dyDescent="0.2">
      <c r="A156" s="3" t="s">
        <v>3567</v>
      </c>
      <c r="B156" s="14">
        <v>-1327386.1399999999</v>
      </c>
      <c r="C156" s="13"/>
      <c r="D156" s="14">
        <v>-102632.16</v>
      </c>
      <c r="E156" s="13"/>
      <c r="F156" s="14">
        <v>0</v>
      </c>
      <c r="G156" s="13"/>
      <c r="H156" s="14">
        <v>0</v>
      </c>
      <c r="I156" s="13"/>
      <c r="J156" s="14">
        <v>0</v>
      </c>
      <c r="K156" s="13"/>
      <c r="L156" s="14">
        <v>0</v>
      </c>
      <c r="M156" s="13"/>
      <c r="N156" s="14">
        <v>0</v>
      </c>
      <c r="O156" s="13"/>
      <c r="P156" s="14">
        <v>0</v>
      </c>
      <c r="Q156" s="13"/>
      <c r="R156" s="14">
        <f t="shared" si="7"/>
        <v>-1430018.2999999998</v>
      </c>
    </row>
    <row r="157" spans="1:18" outlineLevel="1" x14ac:dyDescent="0.2">
      <c r="A157" s="3" t="s">
        <v>3568</v>
      </c>
      <c r="B157" s="14">
        <v>-1994405.28</v>
      </c>
      <c r="C157" s="13"/>
      <c r="D157" s="14">
        <v>-132478.07999999999</v>
      </c>
      <c r="E157" s="13"/>
      <c r="F157" s="14">
        <v>0</v>
      </c>
      <c r="G157" s="13"/>
      <c r="H157" s="14">
        <v>0</v>
      </c>
      <c r="I157" s="13"/>
      <c r="J157" s="14">
        <v>0</v>
      </c>
      <c r="K157" s="13"/>
      <c r="L157" s="14">
        <v>0</v>
      </c>
      <c r="M157" s="13"/>
      <c r="N157" s="14">
        <v>0</v>
      </c>
      <c r="O157" s="13"/>
      <c r="P157" s="14">
        <v>0</v>
      </c>
      <c r="Q157" s="13"/>
      <c r="R157" s="14">
        <f t="shared" si="7"/>
        <v>-2126883.36</v>
      </c>
    </row>
    <row r="158" spans="1:18" outlineLevel="1" x14ac:dyDescent="0.2">
      <c r="A158" s="3" t="s">
        <v>3569</v>
      </c>
      <c r="B158" s="14">
        <v>-1971762.9500000002</v>
      </c>
      <c r="C158" s="13"/>
      <c r="D158" s="14">
        <v>-134705.76</v>
      </c>
      <c r="E158" s="13"/>
      <c r="F158" s="14">
        <v>0</v>
      </c>
      <c r="G158" s="13"/>
      <c r="H158" s="14">
        <v>0</v>
      </c>
      <c r="I158" s="13"/>
      <c r="J158" s="14">
        <v>0</v>
      </c>
      <c r="K158" s="13"/>
      <c r="L158" s="14">
        <v>0</v>
      </c>
      <c r="M158" s="13"/>
      <c r="N158" s="14">
        <v>0</v>
      </c>
      <c r="O158" s="13"/>
      <c r="P158" s="14">
        <v>0</v>
      </c>
      <c r="Q158" s="13"/>
      <c r="R158" s="14">
        <f t="shared" si="7"/>
        <v>-2106468.71</v>
      </c>
    </row>
    <row r="159" spans="1:18" outlineLevel="1" x14ac:dyDescent="0.2">
      <c r="A159" s="3" t="s">
        <v>3570</v>
      </c>
      <c r="B159" s="14">
        <v>-3437474.2699999996</v>
      </c>
      <c r="C159" s="13"/>
      <c r="D159" s="14">
        <v>-167736.95999999999</v>
      </c>
      <c r="E159" s="13"/>
      <c r="F159" s="14">
        <v>0</v>
      </c>
      <c r="G159" s="13"/>
      <c r="H159" s="14">
        <v>0</v>
      </c>
      <c r="I159" s="13"/>
      <c r="J159" s="14">
        <v>0</v>
      </c>
      <c r="K159" s="13"/>
      <c r="L159" s="14">
        <v>0</v>
      </c>
      <c r="M159" s="13"/>
      <c r="N159" s="14">
        <v>0</v>
      </c>
      <c r="O159" s="13"/>
      <c r="P159" s="14">
        <v>0</v>
      </c>
      <c r="Q159" s="13"/>
      <c r="R159" s="14">
        <f t="shared" si="7"/>
        <v>-3605211.2299999995</v>
      </c>
    </row>
    <row r="160" spans="1:18" outlineLevel="1" x14ac:dyDescent="0.2">
      <c r="A160" s="3" t="s">
        <v>3571</v>
      </c>
      <c r="B160" s="14">
        <v>-3599862.6100000003</v>
      </c>
      <c r="C160" s="13"/>
      <c r="D160" s="14">
        <v>-130511.03999999999</v>
      </c>
      <c r="E160" s="13"/>
      <c r="F160" s="14">
        <v>0</v>
      </c>
      <c r="G160" s="13"/>
      <c r="H160" s="14">
        <v>0</v>
      </c>
      <c r="I160" s="13"/>
      <c r="J160" s="14">
        <v>0</v>
      </c>
      <c r="K160" s="13"/>
      <c r="L160" s="14">
        <v>0</v>
      </c>
      <c r="M160" s="13"/>
      <c r="N160" s="14">
        <v>0</v>
      </c>
      <c r="O160" s="13"/>
      <c r="P160" s="14">
        <v>0</v>
      </c>
      <c r="Q160" s="13"/>
      <c r="R160" s="14">
        <f>SUM(B160:P160)</f>
        <v>-3730373.6500000004</v>
      </c>
    </row>
    <row r="161" spans="1:18" outlineLevel="1" x14ac:dyDescent="0.2">
      <c r="A161" s="43" t="s">
        <v>3572</v>
      </c>
      <c r="B161" s="14">
        <v>0</v>
      </c>
      <c r="C161" s="13"/>
      <c r="D161" s="14">
        <v>-327054.75</v>
      </c>
      <c r="E161" s="13"/>
      <c r="F161" s="14">
        <v>0</v>
      </c>
      <c r="G161" s="13"/>
      <c r="H161" s="14">
        <v>0</v>
      </c>
      <c r="I161" s="13"/>
      <c r="J161" s="14">
        <v>0</v>
      </c>
      <c r="K161" s="13"/>
      <c r="L161" s="14">
        <v>0</v>
      </c>
      <c r="M161" s="13"/>
      <c r="N161" s="14">
        <v>0</v>
      </c>
      <c r="O161" s="13"/>
      <c r="P161" s="14">
        <v>0</v>
      </c>
      <c r="Q161" s="13"/>
      <c r="R161" s="14">
        <f>SUM(B161:P161)</f>
        <v>-327054.75</v>
      </c>
    </row>
    <row r="162" spans="1:18" outlineLevel="1" x14ac:dyDescent="0.2">
      <c r="A162" s="3" t="s">
        <v>3573</v>
      </c>
      <c r="B162" s="14">
        <v>-2341530.61</v>
      </c>
      <c r="C162" s="13"/>
      <c r="D162" s="14">
        <v>-51228.84</v>
      </c>
      <c r="E162" s="13"/>
      <c r="F162" s="14">
        <v>0</v>
      </c>
      <c r="G162" s="13"/>
      <c r="H162" s="14">
        <v>0</v>
      </c>
      <c r="I162" s="13"/>
      <c r="J162" s="14">
        <v>0</v>
      </c>
      <c r="K162" s="13"/>
      <c r="L162" s="14">
        <v>0</v>
      </c>
      <c r="M162" s="13"/>
      <c r="N162" s="14">
        <v>0</v>
      </c>
      <c r="O162" s="13"/>
      <c r="P162" s="14">
        <v>0</v>
      </c>
      <c r="Q162" s="13"/>
      <c r="R162" s="14">
        <f t="shared" si="7"/>
        <v>-2392759.4499999997</v>
      </c>
    </row>
    <row r="163" spans="1:18" outlineLevel="1" x14ac:dyDescent="0.2">
      <c r="A163" s="3" t="s">
        <v>3574</v>
      </c>
      <c r="B163" s="14">
        <v>-2269180.6399999997</v>
      </c>
      <c r="C163" s="13"/>
      <c r="D163" s="14">
        <v>-189679.08</v>
      </c>
      <c r="E163" s="13"/>
      <c r="F163" s="14">
        <v>0</v>
      </c>
      <c r="G163" s="13"/>
      <c r="H163" s="14">
        <v>0</v>
      </c>
      <c r="I163" s="13"/>
      <c r="J163" s="14">
        <v>0</v>
      </c>
      <c r="K163" s="13"/>
      <c r="L163" s="14">
        <v>0</v>
      </c>
      <c r="M163" s="13"/>
      <c r="N163" s="14">
        <v>0</v>
      </c>
      <c r="O163" s="13"/>
      <c r="P163" s="14">
        <v>0</v>
      </c>
      <c r="Q163" s="13"/>
      <c r="R163" s="14">
        <f t="shared" si="7"/>
        <v>-2458859.7199999997</v>
      </c>
    </row>
    <row r="164" spans="1:18" outlineLevel="1" x14ac:dyDescent="0.2">
      <c r="A164" s="3" t="s">
        <v>3575</v>
      </c>
      <c r="B164" s="14">
        <v>-1149085.9399999997</v>
      </c>
      <c r="C164" s="13"/>
      <c r="D164" s="14">
        <v>-103950.72</v>
      </c>
      <c r="E164" s="13"/>
      <c r="F164" s="14">
        <v>0</v>
      </c>
      <c r="G164" s="13"/>
      <c r="H164" s="14">
        <v>0</v>
      </c>
      <c r="I164" s="13"/>
      <c r="J164" s="14">
        <v>0</v>
      </c>
      <c r="K164" s="13"/>
      <c r="L164" s="14">
        <v>0</v>
      </c>
      <c r="M164" s="13"/>
      <c r="N164" s="14">
        <v>0</v>
      </c>
      <c r="O164" s="13"/>
      <c r="P164" s="14">
        <v>0</v>
      </c>
      <c r="Q164" s="13"/>
      <c r="R164" s="14">
        <f t="shared" si="7"/>
        <v>-1253036.6599999997</v>
      </c>
    </row>
    <row r="165" spans="1:18" outlineLevel="1" x14ac:dyDescent="0.2">
      <c r="A165" s="3" t="s">
        <v>3576</v>
      </c>
      <c r="B165" s="14">
        <v>-1691733.11</v>
      </c>
      <c r="C165" s="13"/>
      <c r="D165" s="14">
        <v>-134032.13</v>
      </c>
      <c r="E165" s="13"/>
      <c r="F165" s="14">
        <v>0</v>
      </c>
      <c r="G165" s="13"/>
      <c r="H165" s="14">
        <v>0</v>
      </c>
      <c r="I165" s="13"/>
      <c r="J165" s="14">
        <v>0</v>
      </c>
      <c r="K165" s="13"/>
      <c r="L165" s="14">
        <v>0</v>
      </c>
      <c r="M165" s="13"/>
      <c r="N165" s="14">
        <v>0</v>
      </c>
      <c r="O165" s="13"/>
      <c r="P165" s="14">
        <v>0</v>
      </c>
      <c r="Q165" s="13"/>
      <c r="R165" s="14">
        <f t="shared" si="7"/>
        <v>-1825765.2400000002</v>
      </c>
    </row>
    <row r="166" spans="1:18" outlineLevel="1" x14ac:dyDescent="0.2">
      <c r="A166" s="3" t="s">
        <v>3577</v>
      </c>
      <c r="B166" s="14">
        <v>-1689538.4599999997</v>
      </c>
      <c r="C166" s="13"/>
      <c r="D166" s="14">
        <v>-133586.51999999999</v>
      </c>
      <c r="E166" s="13"/>
      <c r="F166" s="14">
        <v>0</v>
      </c>
      <c r="G166" s="13"/>
      <c r="H166" s="14">
        <v>0</v>
      </c>
      <c r="I166" s="13"/>
      <c r="J166" s="14">
        <v>0</v>
      </c>
      <c r="K166" s="13"/>
      <c r="L166" s="14">
        <v>0</v>
      </c>
      <c r="M166" s="13"/>
      <c r="N166" s="14">
        <v>0</v>
      </c>
      <c r="O166" s="13"/>
      <c r="P166" s="14">
        <v>0</v>
      </c>
      <c r="Q166" s="13"/>
      <c r="R166" s="14">
        <f t="shared" si="7"/>
        <v>-1823124.9799999997</v>
      </c>
    </row>
    <row r="167" spans="1:18" outlineLevel="1" x14ac:dyDescent="0.2">
      <c r="A167" s="3" t="s">
        <v>3578</v>
      </c>
      <c r="B167" s="14">
        <v>-1154958.17</v>
      </c>
      <c r="C167" s="13"/>
      <c r="D167" s="14">
        <v>-103517.88</v>
      </c>
      <c r="E167" s="13"/>
      <c r="F167" s="14">
        <v>0</v>
      </c>
      <c r="G167" s="13"/>
      <c r="H167" s="14">
        <v>0</v>
      </c>
      <c r="I167" s="13"/>
      <c r="J167" s="14">
        <v>0</v>
      </c>
      <c r="K167" s="13"/>
      <c r="L167" s="14">
        <v>0</v>
      </c>
      <c r="M167" s="13"/>
      <c r="N167" s="14">
        <v>0</v>
      </c>
      <c r="O167" s="13"/>
      <c r="P167" s="14">
        <v>0</v>
      </c>
      <c r="Q167" s="13"/>
      <c r="R167" s="14">
        <f t="shared" si="7"/>
        <v>-1258476.0499999998</v>
      </c>
    </row>
    <row r="168" spans="1:18" outlineLevel="1" x14ac:dyDescent="0.2">
      <c r="A168" s="3" t="s">
        <v>3579</v>
      </c>
      <c r="B168" s="14">
        <v>-1150135.4200000002</v>
      </c>
      <c r="C168" s="13"/>
      <c r="D168" s="14">
        <v>-103089.24</v>
      </c>
      <c r="E168" s="13"/>
      <c r="F168" s="14">
        <v>0</v>
      </c>
      <c r="G168" s="13"/>
      <c r="H168" s="14">
        <v>0</v>
      </c>
      <c r="I168" s="13"/>
      <c r="J168" s="14">
        <v>0</v>
      </c>
      <c r="K168" s="13"/>
      <c r="L168" s="14">
        <v>0</v>
      </c>
      <c r="M168" s="13"/>
      <c r="N168" s="14">
        <v>0</v>
      </c>
      <c r="O168" s="13"/>
      <c r="P168" s="14">
        <v>0</v>
      </c>
      <c r="Q168" s="13"/>
      <c r="R168" s="14">
        <f t="shared" si="7"/>
        <v>-1253224.6600000001</v>
      </c>
    </row>
    <row r="169" spans="1:18" outlineLevel="1" x14ac:dyDescent="0.2">
      <c r="A169" s="3" t="s">
        <v>3580</v>
      </c>
      <c r="B169" s="14">
        <v>-1150226.0299999998</v>
      </c>
      <c r="C169" s="13"/>
      <c r="D169" s="14">
        <v>-113078.87</v>
      </c>
      <c r="E169" s="13"/>
      <c r="F169" s="14">
        <v>432616.31</v>
      </c>
      <c r="G169" s="13"/>
      <c r="H169" s="14">
        <v>0</v>
      </c>
      <c r="I169" s="13"/>
      <c r="J169" s="14">
        <v>0</v>
      </c>
      <c r="K169" s="13"/>
      <c r="L169" s="14">
        <v>0</v>
      </c>
      <c r="M169" s="13"/>
      <c r="N169" s="14">
        <v>0</v>
      </c>
      <c r="O169" s="13"/>
      <c r="P169" s="14">
        <v>0</v>
      </c>
      <c r="Q169" s="13"/>
      <c r="R169" s="14">
        <f t="shared" si="7"/>
        <v>-830688.58999999985</v>
      </c>
    </row>
    <row r="170" spans="1:18" x14ac:dyDescent="0.2">
      <c r="A170" s="3" t="s">
        <v>3581</v>
      </c>
      <c r="B170" s="14">
        <f>SUM(B153:B169)</f>
        <v>-32807404.350000001</v>
      </c>
      <c r="C170" s="13"/>
      <c r="D170" s="14">
        <f>SUM(D153:D169)</f>
        <v>-4987589.17</v>
      </c>
      <c r="E170" s="13"/>
      <c r="F170" s="14">
        <f>SUM(F153:F169)</f>
        <v>432616.31</v>
      </c>
      <c r="G170" s="13"/>
      <c r="H170" s="14">
        <f>SUM(H153:H169)</f>
        <v>0</v>
      </c>
      <c r="I170" s="13"/>
      <c r="J170" s="14">
        <f>SUM(J153:J169)</f>
        <v>0</v>
      </c>
      <c r="K170" s="13"/>
      <c r="L170" s="14">
        <f>SUM(L153:L169)</f>
        <v>0</v>
      </c>
      <c r="M170" s="13"/>
      <c r="N170" s="14">
        <f>SUM(N153:N169)</f>
        <v>0</v>
      </c>
      <c r="O170" s="13"/>
      <c r="P170" s="14">
        <f>SUM(P153:P169)</f>
        <v>0</v>
      </c>
      <c r="Q170" s="13"/>
      <c r="R170" s="14">
        <f>SUM(R153:R169)</f>
        <v>-37362377.209999993</v>
      </c>
    </row>
    <row r="171" spans="1:18" outlineLevel="1" x14ac:dyDescent="0.2">
      <c r="A171" s="3" t="s">
        <v>3582</v>
      </c>
      <c r="B171" s="14">
        <v>-421423.9</v>
      </c>
      <c r="C171" s="13"/>
      <c r="D171" s="14">
        <v>-669864.13</v>
      </c>
      <c r="E171" s="13"/>
      <c r="F171" s="14">
        <v>0</v>
      </c>
      <c r="G171" s="13"/>
      <c r="H171" s="14">
        <v>0</v>
      </c>
      <c r="I171" s="13"/>
      <c r="J171" s="14">
        <v>0</v>
      </c>
      <c r="K171" s="13"/>
      <c r="L171" s="14">
        <v>0</v>
      </c>
      <c r="M171" s="13"/>
      <c r="N171" s="14">
        <v>0</v>
      </c>
      <c r="O171" s="13"/>
      <c r="P171" s="14">
        <v>0</v>
      </c>
      <c r="Q171" s="13"/>
      <c r="R171" s="14">
        <f>SUM(B171:P171)</f>
        <v>-1091288.03</v>
      </c>
    </row>
    <row r="172" spans="1:18" outlineLevel="1" x14ac:dyDescent="0.2">
      <c r="A172" s="3" t="s">
        <v>3583</v>
      </c>
      <c r="B172" s="14">
        <v>-1659632.9700000002</v>
      </c>
      <c r="C172" s="13"/>
      <c r="D172" s="14">
        <v>-97376.76</v>
      </c>
      <c r="E172" s="13"/>
      <c r="F172" s="14">
        <v>0</v>
      </c>
      <c r="G172" s="13"/>
      <c r="H172" s="14">
        <v>0</v>
      </c>
      <c r="I172" s="13"/>
      <c r="J172" s="14">
        <v>0</v>
      </c>
      <c r="K172" s="13"/>
      <c r="L172" s="14">
        <v>0</v>
      </c>
      <c r="M172" s="13"/>
      <c r="N172" s="14">
        <v>0</v>
      </c>
      <c r="O172" s="13"/>
      <c r="P172" s="14">
        <v>0</v>
      </c>
      <c r="Q172" s="13"/>
      <c r="R172" s="14">
        <f t="shared" ref="R172:R187" si="8">SUM(B172:P172)</f>
        <v>-1757009.7300000002</v>
      </c>
    </row>
    <row r="173" spans="1:18" outlineLevel="1" x14ac:dyDescent="0.2">
      <c r="A173" s="3" t="s">
        <v>3584</v>
      </c>
      <c r="B173" s="14">
        <v>-1381238.0999999999</v>
      </c>
      <c r="C173" s="13"/>
      <c r="D173" s="14">
        <v>-106269.48</v>
      </c>
      <c r="E173" s="13"/>
      <c r="F173" s="14">
        <v>0</v>
      </c>
      <c r="G173" s="13"/>
      <c r="H173" s="14">
        <v>0</v>
      </c>
      <c r="I173" s="13"/>
      <c r="J173" s="14">
        <v>0</v>
      </c>
      <c r="K173" s="13"/>
      <c r="L173" s="14">
        <v>0</v>
      </c>
      <c r="M173" s="13"/>
      <c r="N173" s="14">
        <v>0</v>
      </c>
      <c r="O173" s="13"/>
      <c r="P173" s="14">
        <v>0</v>
      </c>
      <c r="Q173" s="13"/>
      <c r="R173" s="14">
        <f t="shared" si="8"/>
        <v>-1487507.5799999998</v>
      </c>
    </row>
    <row r="174" spans="1:18" outlineLevel="1" x14ac:dyDescent="0.2">
      <c r="A174" s="3" t="s">
        <v>3585</v>
      </c>
      <c r="B174" s="14">
        <v>-1003516.0499999999</v>
      </c>
      <c r="C174" s="13"/>
      <c r="D174" s="14">
        <v>-90099.12</v>
      </c>
      <c r="E174" s="13"/>
      <c r="F174" s="14">
        <v>0</v>
      </c>
      <c r="G174" s="13"/>
      <c r="H174" s="14">
        <v>0</v>
      </c>
      <c r="I174" s="13"/>
      <c r="J174" s="14">
        <v>0</v>
      </c>
      <c r="K174" s="13"/>
      <c r="L174" s="14">
        <v>0</v>
      </c>
      <c r="M174" s="13"/>
      <c r="N174" s="14">
        <v>0</v>
      </c>
      <c r="O174" s="13"/>
      <c r="P174" s="14">
        <v>0</v>
      </c>
      <c r="Q174" s="13"/>
      <c r="R174" s="14">
        <f t="shared" si="8"/>
        <v>-1093615.17</v>
      </c>
    </row>
    <row r="175" spans="1:18" outlineLevel="1" x14ac:dyDescent="0.2">
      <c r="A175" s="3" t="s">
        <v>3586</v>
      </c>
      <c r="B175" s="14">
        <v>-987424.86999999988</v>
      </c>
      <c r="C175" s="13"/>
      <c r="D175" s="14">
        <v>-80863.08</v>
      </c>
      <c r="E175" s="13"/>
      <c r="F175" s="14">
        <v>0</v>
      </c>
      <c r="G175" s="13"/>
      <c r="H175" s="14">
        <v>0</v>
      </c>
      <c r="I175" s="13"/>
      <c r="J175" s="14">
        <v>0</v>
      </c>
      <c r="K175" s="13"/>
      <c r="L175" s="14">
        <v>0</v>
      </c>
      <c r="M175" s="13"/>
      <c r="N175" s="14">
        <v>0</v>
      </c>
      <c r="O175" s="13"/>
      <c r="P175" s="14">
        <v>0</v>
      </c>
      <c r="Q175" s="13"/>
      <c r="R175" s="14">
        <f t="shared" si="8"/>
        <v>-1068287.95</v>
      </c>
    </row>
    <row r="176" spans="1:18" outlineLevel="1" x14ac:dyDescent="0.2">
      <c r="A176" s="3" t="s">
        <v>3587</v>
      </c>
      <c r="B176" s="14">
        <v>-966000.32</v>
      </c>
      <c r="C176" s="13"/>
      <c r="D176" s="14">
        <v>-79488.36</v>
      </c>
      <c r="E176" s="13"/>
      <c r="F176" s="14">
        <v>0</v>
      </c>
      <c r="G176" s="13"/>
      <c r="H176" s="14">
        <v>0</v>
      </c>
      <c r="I176" s="13"/>
      <c r="J176" s="14">
        <v>0</v>
      </c>
      <c r="K176" s="13"/>
      <c r="L176" s="14">
        <v>0</v>
      </c>
      <c r="M176" s="13"/>
      <c r="N176" s="14">
        <v>0</v>
      </c>
      <c r="O176" s="13"/>
      <c r="P176" s="14">
        <v>0</v>
      </c>
      <c r="Q176" s="13"/>
      <c r="R176" s="14">
        <f t="shared" si="8"/>
        <v>-1045488.6799999999</v>
      </c>
    </row>
    <row r="177" spans="1:18" outlineLevel="1" x14ac:dyDescent="0.2">
      <c r="A177" s="3" t="s">
        <v>3588</v>
      </c>
      <c r="B177" s="14">
        <v>-1750768.7099999997</v>
      </c>
      <c r="C177" s="13"/>
      <c r="D177" s="14">
        <v>-134051.4</v>
      </c>
      <c r="E177" s="13"/>
      <c r="F177" s="14">
        <v>0</v>
      </c>
      <c r="G177" s="13"/>
      <c r="H177" s="14">
        <v>0</v>
      </c>
      <c r="I177" s="13"/>
      <c r="J177" s="14">
        <v>0</v>
      </c>
      <c r="K177" s="13"/>
      <c r="L177" s="14">
        <v>0</v>
      </c>
      <c r="M177" s="13"/>
      <c r="N177" s="14">
        <v>0</v>
      </c>
      <c r="O177" s="13"/>
      <c r="P177" s="14">
        <v>0</v>
      </c>
      <c r="Q177" s="13"/>
      <c r="R177" s="14">
        <f t="shared" si="8"/>
        <v>-1884820.1099999996</v>
      </c>
    </row>
    <row r="178" spans="1:18" outlineLevel="1" x14ac:dyDescent="0.2">
      <c r="A178" s="3" t="s">
        <v>3589</v>
      </c>
      <c r="B178" s="14">
        <v>-2494754.1</v>
      </c>
      <c r="C178" s="13"/>
      <c r="D178" s="14">
        <v>-142156.20000000001</v>
      </c>
      <c r="E178" s="13"/>
      <c r="F178" s="14">
        <v>0</v>
      </c>
      <c r="G178" s="13"/>
      <c r="H178" s="14">
        <v>0</v>
      </c>
      <c r="I178" s="13"/>
      <c r="J178" s="14">
        <v>0</v>
      </c>
      <c r="K178" s="13"/>
      <c r="L178" s="14">
        <v>0</v>
      </c>
      <c r="M178" s="13"/>
      <c r="N178" s="14">
        <v>0</v>
      </c>
      <c r="O178" s="13"/>
      <c r="P178" s="14">
        <v>0</v>
      </c>
      <c r="Q178" s="13"/>
      <c r="R178" s="14">
        <f t="shared" si="8"/>
        <v>-2636910.3000000003</v>
      </c>
    </row>
    <row r="179" spans="1:18" outlineLevel="1" x14ac:dyDescent="0.2">
      <c r="A179" s="43" t="s">
        <v>3590</v>
      </c>
      <c r="B179" s="14">
        <v>0</v>
      </c>
      <c r="C179" s="13"/>
      <c r="D179" s="14">
        <v>-15968.27</v>
      </c>
      <c r="E179" s="13"/>
      <c r="F179" s="14">
        <v>0</v>
      </c>
      <c r="G179" s="13"/>
      <c r="H179" s="14">
        <v>0</v>
      </c>
      <c r="I179" s="13"/>
      <c r="J179" s="14">
        <v>0</v>
      </c>
      <c r="K179" s="13"/>
      <c r="L179" s="14">
        <v>0</v>
      </c>
      <c r="M179" s="13"/>
      <c r="N179" s="14">
        <v>0</v>
      </c>
      <c r="O179" s="13"/>
      <c r="P179" s="14">
        <v>0</v>
      </c>
      <c r="Q179" s="13"/>
      <c r="R179" s="14">
        <f t="shared" si="8"/>
        <v>-15968.27</v>
      </c>
    </row>
    <row r="180" spans="1:18" outlineLevel="1" x14ac:dyDescent="0.2">
      <c r="A180" s="3" t="s">
        <v>3591</v>
      </c>
      <c r="B180" s="14">
        <v>-105619.12000000002</v>
      </c>
      <c r="C180" s="13"/>
      <c r="D180" s="14">
        <v>-62525.760000000002</v>
      </c>
      <c r="E180" s="13"/>
      <c r="F180" s="14">
        <v>0</v>
      </c>
      <c r="G180" s="13"/>
      <c r="H180" s="14">
        <v>0</v>
      </c>
      <c r="I180" s="13"/>
      <c r="J180" s="14">
        <v>0</v>
      </c>
      <c r="K180" s="13"/>
      <c r="L180" s="14">
        <v>0</v>
      </c>
      <c r="M180" s="13"/>
      <c r="N180" s="14">
        <v>0</v>
      </c>
      <c r="O180" s="13"/>
      <c r="P180" s="14">
        <v>0</v>
      </c>
      <c r="Q180" s="13"/>
      <c r="R180" s="14">
        <f t="shared" si="8"/>
        <v>-168144.88000000003</v>
      </c>
    </row>
    <row r="181" spans="1:18" outlineLevel="1" x14ac:dyDescent="0.2">
      <c r="A181" s="3" t="s">
        <v>3592</v>
      </c>
      <c r="B181" s="14">
        <v>-1141301.55</v>
      </c>
      <c r="C181" s="13"/>
      <c r="D181" s="14">
        <v>-90487.32</v>
      </c>
      <c r="E181" s="13"/>
      <c r="F181" s="14">
        <v>0</v>
      </c>
      <c r="G181" s="13"/>
      <c r="H181" s="14">
        <v>0</v>
      </c>
      <c r="I181" s="13"/>
      <c r="J181" s="14">
        <v>0</v>
      </c>
      <c r="K181" s="13"/>
      <c r="L181" s="14">
        <v>0</v>
      </c>
      <c r="M181" s="13"/>
      <c r="N181" s="14">
        <v>0</v>
      </c>
      <c r="O181" s="13"/>
      <c r="P181" s="14">
        <v>0</v>
      </c>
      <c r="Q181" s="13"/>
      <c r="R181" s="14">
        <f t="shared" si="8"/>
        <v>-1231788.8700000001</v>
      </c>
    </row>
    <row r="182" spans="1:18" outlineLevel="1" x14ac:dyDescent="0.2">
      <c r="A182" s="3" t="s">
        <v>3593</v>
      </c>
      <c r="B182" s="14">
        <v>-2513401.3900000006</v>
      </c>
      <c r="C182" s="13"/>
      <c r="D182" s="14">
        <v>-283045.27</v>
      </c>
      <c r="E182" s="13"/>
      <c r="F182" s="14">
        <v>0</v>
      </c>
      <c r="G182" s="13"/>
      <c r="H182" s="14">
        <v>0</v>
      </c>
      <c r="I182" s="13"/>
      <c r="J182" s="14">
        <v>0</v>
      </c>
      <c r="K182" s="13"/>
      <c r="L182" s="14">
        <v>0</v>
      </c>
      <c r="M182" s="13"/>
      <c r="N182" s="14">
        <v>0</v>
      </c>
      <c r="O182" s="13"/>
      <c r="P182" s="14">
        <v>0</v>
      </c>
      <c r="Q182" s="13"/>
      <c r="R182" s="14">
        <f t="shared" si="8"/>
        <v>-2796446.6600000006</v>
      </c>
    </row>
    <row r="183" spans="1:18" outlineLevel="1" x14ac:dyDescent="0.2">
      <c r="A183" s="3" t="s">
        <v>3594</v>
      </c>
      <c r="B183" s="14">
        <v>-754635.43</v>
      </c>
      <c r="C183" s="13"/>
      <c r="D183" s="14">
        <v>-68863.61</v>
      </c>
      <c r="E183" s="13"/>
      <c r="F183" s="14">
        <v>39736.089999999997</v>
      </c>
      <c r="G183" s="13"/>
      <c r="H183" s="14">
        <v>0</v>
      </c>
      <c r="I183" s="13"/>
      <c r="J183" s="14">
        <v>0</v>
      </c>
      <c r="K183" s="13"/>
      <c r="L183" s="14">
        <v>0</v>
      </c>
      <c r="M183" s="13"/>
      <c r="N183" s="14">
        <v>0</v>
      </c>
      <c r="O183" s="13"/>
      <c r="P183" s="14">
        <v>0</v>
      </c>
      <c r="Q183" s="13"/>
      <c r="R183" s="14">
        <f t="shared" si="8"/>
        <v>-783762.95000000007</v>
      </c>
    </row>
    <row r="184" spans="1:18" outlineLevel="1" x14ac:dyDescent="0.2">
      <c r="A184" s="3" t="s">
        <v>3595</v>
      </c>
      <c r="B184" s="14">
        <v>-1688232.24</v>
      </c>
      <c r="C184" s="13"/>
      <c r="D184" s="14">
        <v>-180502.59</v>
      </c>
      <c r="E184" s="13"/>
      <c r="F184" s="14">
        <v>39736.089999999997</v>
      </c>
      <c r="G184" s="13"/>
      <c r="H184" s="14">
        <v>0</v>
      </c>
      <c r="I184" s="13"/>
      <c r="J184" s="14">
        <v>0</v>
      </c>
      <c r="K184" s="13"/>
      <c r="L184" s="14">
        <v>0</v>
      </c>
      <c r="M184" s="13"/>
      <c r="N184" s="14">
        <v>0</v>
      </c>
      <c r="O184" s="13"/>
      <c r="P184" s="14">
        <v>0</v>
      </c>
      <c r="Q184" s="13"/>
      <c r="R184" s="14">
        <f t="shared" si="8"/>
        <v>-1828998.74</v>
      </c>
    </row>
    <row r="185" spans="1:18" outlineLevel="1" x14ac:dyDescent="0.2">
      <c r="A185" s="3" t="s">
        <v>3596</v>
      </c>
      <c r="B185" s="14">
        <v>-1250888.4300000002</v>
      </c>
      <c r="C185" s="13"/>
      <c r="D185" s="14">
        <v>-136222.51999999999</v>
      </c>
      <c r="E185" s="13"/>
      <c r="F185" s="14">
        <v>36029</v>
      </c>
      <c r="G185" s="13"/>
      <c r="H185" s="14">
        <v>0</v>
      </c>
      <c r="I185" s="13"/>
      <c r="J185" s="14">
        <v>0</v>
      </c>
      <c r="K185" s="13"/>
      <c r="L185" s="14">
        <v>0</v>
      </c>
      <c r="M185" s="13"/>
      <c r="N185" s="14">
        <v>0</v>
      </c>
      <c r="O185" s="13"/>
      <c r="P185" s="14">
        <v>0</v>
      </c>
      <c r="Q185" s="13"/>
      <c r="R185" s="14">
        <f t="shared" si="8"/>
        <v>-1351081.9500000002</v>
      </c>
    </row>
    <row r="186" spans="1:18" outlineLevel="1" x14ac:dyDescent="0.2">
      <c r="A186" s="3" t="s">
        <v>3597</v>
      </c>
      <c r="B186" s="14">
        <v>-1229820.04</v>
      </c>
      <c r="C186" s="13"/>
      <c r="D186" s="14">
        <v>-116678.86</v>
      </c>
      <c r="E186" s="13"/>
      <c r="F186" s="14">
        <v>0</v>
      </c>
      <c r="G186" s="13"/>
      <c r="H186" s="14">
        <v>0</v>
      </c>
      <c r="I186" s="13"/>
      <c r="J186" s="14">
        <v>0</v>
      </c>
      <c r="K186" s="13"/>
      <c r="L186" s="14">
        <v>0</v>
      </c>
      <c r="M186" s="13"/>
      <c r="N186" s="14">
        <v>0</v>
      </c>
      <c r="O186" s="13"/>
      <c r="P186" s="14">
        <v>0</v>
      </c>
      <c r="Q186" s="13"/>
      <c r="R186" s="14">
        <f t="shared" si="8"/>
        <v>-1346498.9000000001</v>
      </c>
    </row>
    <row r="187" spans="1:18" outlineLevel="1" x14ac:dyDescent="0.2">
      <c r="A187" s="3" t="s">
        <v>3598</v>
      </c>
      <c r="B187" s="14">
        <v>-1257225.4400000002</v>
      </c>
      <c r="C187" s="13"/>
      <c r="D187" s="14">
        <v>-120609.46</v>
      </c>
      <c r="E187" s="13"/>
      <c r="F187" s="14">
        <v>0</v>
      </c>
      <c r="G187" s="13"/>
      <c r="H187" s="14">
        <v>0</v>
      </c>
      <c r="I187" s="13"/>
      <c r="J187" s="14">
        <v>0</v>
      </c>
      <c r="K187" s="13"/>
      <c r="L187" s="14">
        <v>0</v>
      </c>
      <c r="M187" s="13"/>
      <c r="N187" s="14">
        <v>0</v>
      </c>
      <c r="O187" s="13"/>
      <c r="P187" s="14">
        <v>0</v>
      </c>
      <c r="Q187" s="13"/>
      <c r="R187" s="14">
        <f t="shared" si="8"/>
        <v>-1377834.9000000001</v>
      </c>
    </row>
    <row r="188" spans="1:18" x14ac:dyDescent="0.2">
      <c r="A188" s="3" t="s">
        <v>3599</v>
      </c>
      <c r="B188" s="14">
        <f>SUM(B171:B187)</f>
        <v>-20605882.66</v>
      </c>
      <c r="C188" s="13"/>
      <c r="D188" s="14">
        <f>SUM(D171:D187)</f>
        <v>-2475072.19</v>
      </c>
      <c r="E188" s="13"/>
      <c r="F188" s="14">
        <f>SUM(F171:F187)</f>
        <v>115501.18</v>
      </c>
      <c r="G188" s="13"/>
      <c r="H188" s="14">
        <f>SUM(H171:H187)</f>
        <v>0</v>
      </c>
      <c r="I188" s="13"/>
      <c r="J188" s="14">
        <f>SUM(J171:J187)</f>
        <v>0</v>
      </c>
      <c r="K188" s="13"/>
      <c r="L188" s="14">
        <f>SUM(L171:L187)</f>
        <v>0</v>
      </c>
      <c r="M188" s="13"/>
      <c r="N188" s="14">
        <f>SUM(N171:N187)</f>
        <v>0</v>
      </c>
      <c r="O188" s="13"/>
      <c r="P188" s="14">
        <f>SUM(P171:P187)</f>
        <v>0</v>
      </c>
      <c r="Q188" s="13"/>
      <c r="R188" s="14">
        <f>SUM(R171:R187)</f>
        <v>-22965453.669999994</v>
      </c>
    </row>
    <row r="189" spans="1:18" outlineLevel="1" x14ac:dyDescent="0.2">
      <c r="A189" s="3" t="s">
        <v>3600</v>
      </c>
      <c r="B189" s="14">
        <v>0</v>
      </c>
      <c r="C189" s="13"/>
      <c r="D189" s="14">
        <v>0</v>
      </c>
      <c r="E189" s="13"/>
      <c r="F189" s="14">
        <v>0</v>
      </c>
      <c r="G189" s="13"/>
      <c r="H189" s="14">
        <v>0</v>
      </c>
      <c r="I189" s="13"/>
      <c r="J189" s="14">
        <v>0</v>
      </c>
      <c r="K189" s="13"/>
      <c r="L189" s="14">
        <v>0</v>
      </c>
      <c r="M189" s="13"/>
      <c r="N189" s="14">
        <v>0</v>
      </c>
      <c r="O189" s="13"/>
      <c r="P189" s="14">
        <v>0</v>
      </c>
      <c r="Q189" s="13"/>
      <c r="R189" s="14">
        <f t="shared" ref="R189:R197" si="9">SUM(B189:P189)</f>
        <v>0</v>
      </c>
    </row>
    <row r="190" spans="1:18" outlineLevel="1" x14ac:dyDescent="0.2">
      <c r="A190" s="3" t="s">
        <v>3601</v>
      </c>
      <c r="B190" s="14">
        <v>0</v>
      </c>
      <c r="C190" s="13"/>
      <c r="D190" s="14">
        <v>0</v>
      </c>
      <c r="E190" s="13"/>
      <c r="F190" s="14">
        <v>0</v>
      </c>
      <c r="G190" s="13"/>
      <c r="H190" s="14">
        <v>0</v>
      </c>
      <c r="I190" s="13"/>
      <c r="J190" s="14">
        <v>0</v>
      </c>
      <c r="K190" s="13"/>
      <c r="L190" s="14">
        <v>0</v>
      </c>
      <c r="M190" s="13"/>
      <c r="N190" s="14">
        <v>0</v>
      </c>
      <c r="O190" s="13"/>
      <c r="P190" s="14">
        <v>0</v>
      </c>
      <c r="Q190" s="13"/>
      <c r="R190" s="14">
        <f t="shared" si="9"/>
        <v>0</v>
      </c>
    </row>
    <row r="191" spans="1:18" outlineLevel="1" x14ac:dyDescent="0.2">
      <c r="A191" s="3" t="s">
        <v>3602</v>
      </c>
      <c r="B191" s="14">
        <v>0</v>
      </c>
      <c r="C191" s="13"/>
      <c r="D191" s="14">
        <v>0</v>
      </c>
      <c r="E191" s="13"/>
      <c r="F191" s="14">
        <v>0</v>
      </c>
      <c r="G191" s="13"/>
      <c r="H191" s="14">
        <v>0</v>
      </c>
      <c r="I191" s="13"/>
      <c r="J191" s="14">
        <v>0</v>
      </c>
      <c r="K191" s="13"/>
      <c r="L191" s="14">
        <v>0</v>
      </c>
      <c r="M191" s="13"/>
      <c r="N191" s="14">
        <v>0</v>
      </c>
      <c r="O191" s="13"/>
      <c r="P191" s="14">
        <v>0</v>
      </c>
      <c r="Q191" s="13"/>
      <c r="R191" s="14">
        <f t="shared" si="9"/>
        <v>0</v>
      </c>
    </row>
    <row r="192" spans="1:18" outlineLevel="1" x14ac:dyDescent="0.2">
      <c r="A192" s="3" t="s">
        <v>3603</v>
      </c>
      <c r="B192" s="14">
        <v>0</v>
      </c>
      <c r="C192" s="13"/>
      <c r="D192" s="14">
        <v>0</v>
      </c>
      <c r="E192" s="13"/>
      <c r="F192" s="14">
        <v>0</v>
      </c>
      <c r="G192" s="13"/>
      <c r="H192" s="14">
        <v>0</v>
      </c>
      <c r="I192" s="13"/>
      <c r="J192" s="14">
        <v>0</v>
      </c>
      <c r="K192" s="13"/>
      <c r="L192" s="14">
        <v>0</v>
      </c>
      <c r="M192" s="13"/>
      <c r="N192" s="14">
        <v>0</v>
      </c>
      <c r="O192" s="13"/>
      <c r="P192" s="14">
        <v>0</v>
      </c>
      <c r="Q192" s="13"/>
      <c r="R192" s="14">
        <f t="shared" si="9"/>
        <v>0</v>
      </c>
    </row>
    <row r="193" spans="1:18" outlineLevel="1" x14ac:dyDescent="0.2">
      <c r="A193" s="3" t="s">
        <v>3604</v>
      </c>
      <c r="B193" s="14">
        <v>0</v>
      </c>
      <c r="C193" s="13"/>
      <c r="D193" s="14">
        <v>0</v>
      </c>
      <c r="E193" s="13"/>
      <c r="F193" s="14">
        <v>0</v>
      </c>
      <c r="G193" s="13"/>
      <c r="H193" s="14">
        <v>0</v>
      </c>
      <c r="I193" s="13"/>
      <c r="J193" s="14">
        <v>0</v>
      </c>
      <c r="K193" s="13"/>
      <c r="L193" s="14">
        <v>0</v>
      </c>
      <c r="M193" s="13"/>
      <c r="N193" s="14">
        <v>0</v>
      </c>
      <c r="O193" s="13"/>
      <c r="P193" s="14">
        <v>0</v>
      </c>
      <c r="Q193" s="13"/>
      <c r="R193" s="14">
        <f t="shared" si="9"/>
        <v>0</v>
      </c>
    </row>
    <row r="194" spans="1:18" outlineLevel="1" x14ac:dyDescent="0.2">
      <c r="A194" s="3" t="s">
        <v>3605</v>
      </c>
      <c r="B194" s="14">
        <v>0</v>
      </c>
      <c r="C194" s="13"/>
      <c r="D194" s="14">
        <v>0</v>
      </c>
      <c r="E194" s="13"/>
      <c r="F194" s="14">
        <v>0</v>
      </c>
      <c r="G194" s="13"/>
      <c r="H194" s="14">
        <v>0</v>
      </c>
      <c r="I194" s="13"/>
      <c r="J194" s="14">
        <v>0</v>
      </c>
      <c r="K194" s="13"/>
      <c r="L194" s="14">
        <v>0</v>
      </c>
      <c r="M194" s="13"/>
      <c r="N194" s="14">
        <v>0</v>
      </c>
      <c r="O194" s="13"/>
      <c r="P194" s="14">
        <v>0</v>
      </c>
      <c r="Q194" s="13"/>
      <c r="R194" s="14">
        <f t="shared" si="9"/>
        <v>0</v>
      </c>
    </row>
    <row r="195" spans="1:18" outlineLevel="1" x14ac:dyDescent="0.2">
      <c r="A195" s="3" t="s">
        <v>3606</v>
      </c>
      <c r="B195" s="14">
        <v>0</v>
      </c>
      <c r="C195" s="13"/>
      <c r="D195" s="14">
        <v>0</v>
      </c>
      <c r="E195" s="13"/>
      <c r="F195" s="14">
        <v>0</v>
      </c>
      <c r="G195" s="13"/>
      <c r="H195" s="14">
        <v>0</v>
      </c>
      <c r="I195" s="13"/>
      <c r="J195" s="14">
        <v>0</v>
      </c>
      <c r="K195" s="13"/>
      <c r="L195" s="14">
        <v>0</v>
      </c>
      <c r="M195" s="13"/>
      <c r="N195" s="14">
        <v>0</v>
      </c>
      <c r="O195" s="13"/>
      <c r="P195" s="14">
        <v>0</v>
      </c>
      <c r="Q195" s="13"/>
      <c r="R195" s="14">
        <f t="shared" si="9"/>
        <v>0</v>
      </c>
    </row>
    <row r="196" spans="1:18" outlineLevel="1" x14ac:dyDescent="0.2">
      <c r="A196" s="3" t="s">
        <v>3607</v>
      </c>
      <c r="B196" s="14">
        <v>0</v>
      </c>
      <c r="C196" s="13"/>
      <c r="D196" s="14">
        <v>0</v>
      </c>
      <c r="E196" s="13"/>
      <c r="F196" s="14">
        <v>0</v>
      </c>
      <c r="G196" s="13"/>
      <c r="H196" s="14">
        <v>0</v>
      </c>
      <c r="I196" s="13"/>
      <c r="J196" s="14">
        <v>0</v>
      </c>
      <c r="K196" s="13"/>
      <c r="L196" s="14">
        <v>0</v>
      </c>
      <c r="M196" s="13"/>
      <c r="N196" s="14">
        <v>0</v>
      </c>
      <c r="O196" s="13"/>
      <c r="P196" s="14">
        <v>0</v>
      </c>
      <c r="Q196" s="13"/>
      <c r="R196" s="14">
        <f t="shared" si="9"/>
        <v>0</v>
      </c>
    </row>
    <row r="197" spans="1:18" outlineLevel="1" x14ac:dyDescent="0.2">
      <c r="A197" s="3" t="s">
        <v>3608</v>
      </c>
      <c r="B197" s="14">
        <v>0</v>
      </c>
      <c r="C197" s="13"/>
      <c r="D197" s="14">
        <v>0</v>
      </c>
      <c r="E197" s="13"/>
      <c r="F197" s="14">
        <v>0</v>
      </c>
      <c r="G197" s="13"/>
      <c r="H197" s="14">
        <v>0</v>
      </c>
      <c r="I197" s="13"/>
      <c r="J197" s="14">
        <v>0</v>
      </c>
      <c r="K197" s="13"/>
      <c r="L197" s="14">
        <v>0</v>
      </c>
      <c r="M197" s="13"/>
      <c r="N197" s="14">
        <v>0</v>
      </c>
      <c r="O197" s="13"/>
      <c r="P197" s="14">
        <v>0</v>
      </c>
      <c r="Q197" s="13"/>
      <c r="R197" s="14">
        <f t="shared" si="9"/>
        <v>0</v>
      </c>
    </row>
    <row r="198" spans="1:18" x14ac:dyDescent="0.2">
      <c r="A198" s="3" t="s">
        <v>3609</v>
      </c>
      <c r="B198" s="14">
        <f>SUM(B189:B197)</f>
        <v>0</v>
      </c>
      <c r="D198" s="14">
        <f>SUM(D189:D197)</f>
        <v>0</v>
      </c>
      <c r="F198" s="14">
        <f>SUM(F189:F197)</f>
        <v>0</v>
      </c>
      <c r="H198" s="14">
        <f>SUM(H189:H197)</f>
        <v>0</v>
      </c>
      <c r="J198" s="14">
        <f>SUM(J189:J197)</f>
        <v>0</v>
      </c>
      <c r="L198" s="14">
        <f>SUM(L189:L197)</f>
        <v>0</v>
      </c>
      <c r="N198" s="14">
        <f>SUM(N189:N197)</f>
        <v>0</v>
      </c>
      <c r="P198" s="14">
        <f>SUM(P189:P197)</f>
        <v>0</v>
      </c>
      <c r="R198" s="14">
        <f>SUM(R189:R197)</f>
        <v>0</v>
      </c>
    </row>
    <row r="199" spans="1:18" outlineLevel="1" x14ac:dyDescent="0.2">
      <c r="A199" s="3" t="s">
        <v>3610</v>
      </c>
      <c r="B199" s="14">
        <v>-88.23</v>
      </c>
      <c r="C199" s="13"/>
      <c r="D199" s="14">
        <v>-39951.82</v>
      </c>
      <c r="E199" s="13"/>
      <c r="F199" s="14">
        <v>0</v>
      </c>
      <c r="G199" s="13"/>
      <c r="H199" s="14">
        <v>0</v>
      </c>
      <c r="I199" s="13"/>
      <c r="J199" s="14">
        <v>0</v>
      </c>
      <c r="K199" s="13"/>
      <c r="L199" s="14">
        <v>0</v>
      </c>
      <c r="M199" s="13"/>
      <c r="N199" s="14">
        <v>0</v>
      </c>
      <c r="O199" s="13"/>
      <c r="P199" s="14">
        <v>0</v>
      </c>
      <c r="Q199" s="13"/>
      <c r="R199" s="14">
        <f t="shared" ref="R199:R214" si="10">SUM(B199:P199)</f>
        <v>-40040.050000000003</v>
      </c>
    </row>
    <row r="200" spans="1:18" outlineLevel="1" x14ac:dyDescent="0.2">
      <c r="A200" s="3" t="s">
        <v>3611</v>
      </c>
      <c r="B200" s="14">
        <v>-170710.92</v>
      </c>
      <c r="C200" s="13"/>
      <c r="D200" s="14">
        <v>-8460.7900000000009</v>
      </c>
      <c r="E200" s="13"/>
      <c r="F200" s="14">
        <v>37083.75</v>
      </c>
      <c r="G200" s="13"/>
      <c r="H200" s="14">
        <v>0</v>
      </c>
      <c r="I200" s="13"/>
      <c r="J200" s="14">
        <v>0</v>
      </c>
      <c r="K200" s="13"/>
      <c r="L200" s="14">
        <v>0</v>
      </c>
      <c r="M200" s="13"/>
      <c r="N200" s="14">
        <v>0</v>
      </c>
      <c r="O200" s="13"/>
      <c r="P200" s="14">
        <v>0</v>
      </c>
      <c r="Q200" s="13"/>
      <c r="R200" s="14">
        <f t="shared" si="10"/>
        <v>-142087.96000000002</v>
      </c>
    </row>
    <row r="201" spans="1:18" outlineLevel="1" x14ac:dyDescent="0.2">
      <c r="A201" s="3" t="s">
        <v>3612</v>
      </c>
      <c r="B201" s="14">
        <v>-323815.61000000004</v>
      </c>
      <c r="C201" s="13"/>
      <c r="D201" s="14">
        <v>-28196.9</v>
      </c>
      <c r="E201" s="13"/>
      <c r="F201" s="14">
        <v>14789.08</v>
      </c>
      <c r="G201" s="13"/>
      <c r="H201" s="14">
        <v>0</v>
      </c>
      <c r="I201" s="13"/>
      <c r="J201" s="14">
        <v>0</v>
      </c>
      <c r="K201" s="13"/>
      <c r="L201" s="14">
        <v>0</v>
      </c>
      <c r="M201" s="13"/>
      <c r="N201" s="14">
        <v>0</v>
      </c>
      <c r="O201" s="13"/>
      <c r="P201" s="14">
        <v>0</v>
      </c>
      <c r="Q201" s="13"/>
      <c r="R201" s="14">
        <f t="shared" si="10"/>
        <v>-337223.43000000005</v>
      </c>
    </row>
    <row r="202" spans="1:18" outlineLevel="1" x14ac:dyDescent="0.2">
      <c r="A202" s="3" t="s">
        <v>3613</v>
      </c>
      <c r="B202" s="14">
        <v>-1067229.48</v>
      </c>
      <c r="C202" s="13"/>
      <c r="D202" s="14">
        <v>-83006.880000000005</v>
      </c>
      <c r="E202" s="13"/>
      <c r="F202" s="14">
        <v>0</v>
      </c>
      <c r="G202" s="13"/>
      <c r="H202" s="14">
        <v>0</v>
      </c>
      <c r="I202" s="13"/>
      <c r="J202" s="14">
        <v>0</v>
      </c>
      <c r="K202" s="13"/>
      <c r="L202" s="14">
        <v>0</v>
      </c>
      <c r="M202" s="13"/>
      <c r="N202" s="14">
        <v>0</v>
      </c>
      <c r="O202" s="13"/>
      <c r="P202" s="14">
        <v>0</v>
      </c>
      <c r="Q202" s="13"/>
      <c r="R202" s="14">
        <f t="shared" si="10"/>
        <v>-1150236.3599999999</v>
      </c>
    </row>
    <row r="203" spans="1:18" outlineLevel="1" x14ac:dyDescent="0.2">
      <c r="A203" s="3" t="s">
        <v>3614</v>
      </c>
      <c r="B203" s="14">
        <v>-26854.180000000004</v>
      </c>
      <c r="C203" s="13"/>
      <c r="D203" s="14">
        <v>-4359.76</v>
      </c>
      <c r="E203" s="13"/>
      <c r="F203" s="14">
        <v>0</v>
      </c>
      <c r="G203" s="13"/>
      <c r="H203" s="14">
        <v>0</v>
      </c>
      <c r="I203" s="13"/>
      <c r="J203" s="14">
        <v>0</v>
      </c>
      <c r="K203" s="13"/>
      <c r="L203" s="14">
        <v>0</v>
      </c>
      <c r="M203" s="13"/>
      <c r="N203" s="14">
        <v>0</v>
      </c>
      <c r="O203" s="13"/>
      <c r="P203" s="14">
        <v>0</v>
      </c>
      <c r="Q203" s="13"/>
      <c r="R203" s="14">
        <f t="shared" si="10"/>
        <v>-31213.940000000002</v>
      </c>
    </row>
    <row r="204" spans="1:18" outlineLevel="1" x14ac:dyDescent="0.2">
      <c r="A204" s="3" t="s">
        <v>3615</v>
      </c>
      <c r="B204" s="14">
        <v>-21717.21</v>
      </c>
      <c r="C204" s="13"/>
      <c r="D204" s="14">
        <v>-3400.77</v>
      </c>
      <c r="E204" s="13"/>
      <c r="F204" s="14">
        <v>0</v>
      </c>
      <c r="G204" s="13"/>
      <c r="H204" s="14">
        <v>0</v>
      </c>
      <c r="I204" s="13"/>
      <c r="J204" s="14">
        <v>0</v>
      </c>
      <c r="K204" s="13"/>
      <c r="L204" s="14">
        <v>0</v>
      </c>
      <c r="M204" s="13"/>
      <c r="N204" s="14">
        <v>0</v>
      </c>
      <c r="O204" s="13"/>
      <c r="P204" s="14">
        <v>0</v>
      </c>
      <c r="Q204" s="13"/>
      <c r="R204" s="14">
        <f t="shared" si="10"/>
        <v>-25117.98</v>
      </c>
    </row>
    <row r="205" spans="1:18" outlineLevel="1" x14ac:dyDescent="0.2">
      <c r="A205" s="3" t="s">
        <v>3616</v>
      </c>
      <c r="B205" s="14">
        <v>-180824.95999999999</v>
      </c>
      <c r="C205" s="13"/>
      <c r="D205" s="14">
        <v>-13205.34</v>
      </c>
      <c r="E205" s="13"/>
      <c r="F205" s="14">
        <v>0</v>
      </c>
      <c r="G205" s="13"/>
      <c r="H205" s="14">
        <v>0</v>
      </c>
      <c r="I205" s="13"/>
      <c r="J205" s="14">
        <v>0</v>
      </c>
      <c r="K205" s="13"/>
      <c r="L205" s="14">
        <v>0</v>
      </c>
      <c r="M205" s="13"/>
      <c r="N205" s="14">
        <v>0</v>
      </c>
      <c r="O205" s="13"/>
      <c r="P205" s="14">
        <v>0</v>
      </c>
      <c r="Q205" s="13"/>
      <c r="R205" s="14">
        <f t="shared" si="10"/>
        <v>-194030.3</v>
      </c>
    </row>
    <row r="206" spans="1:18" outlineLevel="1" x14ac:dyDescent="0.2">
      <c r="A206" s="3" t="s">
        <v>3617</v>
      </c>
      <c r="B206" s="14">
        <v>-524836.0199999999</v>
      </c>
      <c r="C206" s="13"/>
      <c r="D206" s="14">
        <v>-23629.09</v>
      </c>
      <c r="E206" s="13"/>
      <c r="F206" s="14">
        <v>62982.25</v>
      </c>
      <c r="G206" s="13"/>
      <c r="H206" s="14">
        <v>0</v>
      </c>
      <c r="I206" s="13"/>
      <c r="J206" s="14">
        <v>0</v>
      </c>
      <c r="K206" s="13"/>
      <c r="L206" s="14">
        <v>0</v>
      </c>
      <c r="M206" s="13"/>
      <c r="N206" s="14">
        <v>0</v>
      </c>
      <c r="O206" s="13"/>
      <c r="P206" s="14">
        <v>0</v>
      </c>
      <c r="Q206" s="13"/>
      <c r="R206" s="14">
        <f t="shared" si="10"/>
        <v>-485482.85999999987</v>
      </c>
    </row>
    <row r="207" spans="1:18" outlineLevel="1" x14ac:dyDescent="0.2">
      <c r="A207" s="3" t="s">
        <v>3618</v>
      </c>
      <c r="B207" s="14">
        <v>0</v>
      </c>
      <c r="C207" s="13"/>
      <c r="D207" s="14">
        <v>-6862.08</v>
      </c>
      <c r="E207" s="13"/>
      <c r="F207" s="14">
        <v>0</v>
      </c>
      <c r="G207" s="13"/>
      <c r="H207" s="14">
        <v>0</v>
      </c>
      <c r="I207" s="13"/>
      <c r="J207" s="14">
        <v>0</v>
      </c>
      <c r="K207" s="13"/>
      <c r="L207" s="14">
        <v>0</v>
      </c>
      <c r="M207" s="13"/>
      <c r="N207" s="14">
        <v>0</v>
      </c>
      <c r="O207" s="13"/>
      <c r="P207" s="14">
        <v>0</v>
      </c>
      <c r="Q207" s="13"/>
      <c r="R207" s="14">
        <f t="shared" si="10"/>
        <v>-6862.08</v>
      </c>
    </row>
    <row r="208" spans="1:18" outlineLevel="1" x14ac:dyDescent="0.2">
      <c r="A208" s="3" t="s">
        <v>3619</v>
      </c>
      <c r="B208" s="14">
        <v>-35538.300000000003</v>
      </c>
      <c r="C208" s="13"/>
      <c r="D208" s="14">
        <v>-1186.44</v>
      </c>
      <c r="E208" s="13"/>
      <c r="F208" s="14">
        <v>0</v>
      </c>
      <c r="G208" s="13"/>
      <c r="H208" s="14">
        <v>0</v>
      </c>
      <c r="I208" s="13"/>
      <c r="J208" s="14">
        <v>0</v>
      </c>
      <c r="K208" s="13"/>
      <c r="L208" s="14">
        <v>0</v>
      </c>
      <c r="M208" s="13"/>
      <c r="N208" s="14">
        <v>0</v>
      </c>
      <c r="O208" s="13"/>
      <c r="P208" s="14">
        <v>0</v>
      </c>
      <c r="Q208" s="13"/>
      <c r="R208" s="14">
        <f t="shared" si="10"/>
        <v>-36724.740000000005</v>
      </c>
    </row>
    <row r="209" spans="1:18" outlineLevel="1" x14ac:dyDescent="0.2">
      <c r="A209" s="3" t="s">
        <v>3620</v>
      </c>
      <c r="B209" s="14">
        <v>-546300.44999999995</v>
      </c>
      <c r="C209" s="13"/>
      <c r="D209" s="14">
        <v>-42234.29</v>
      </c>
      <c r="E209" s="13"/>
      <c r="F209" s="14">
        <v>0</v>
      </c>
      <c r="G209" s="13"/>
      <c r="H209" s="14">
        <v>0</v>
      </c>
      <c r="I209" s="13"/>
      <c r="J209" s="14">
        <v>0</v>
      </c>
      <c r="K209" s="13"/>
      <c r="L209" s="14">
        <v>0</v>
      </c>
      <c r="M209" s="13"/>
      <c r="N209" s="14">
        <v>0</v>
      </c>
      <c r="O209" s="13"/>
      <c r="P209" s="14">
        <v>0</v>
      </c>
      <c r="Q209" s="13"/>
      <c r="R209" s="14">
        <f t="shared" si="10"/>
        <v>-588534.74</v>
      </c>
    </row>
    <row r="210" spans="1:18" outlineLevel="1" x14ac:dyDescent="0.2">
      <c r="A210" s="3" t="s">
        <v>3621</v>
      </c>
      <c r="B210" s="14">
        <v>-11270.559999999998</v>
      </c>
      <c r="C210" s="13"/>
      <c r="D210" s="14">
        <v>-1884.12</v>
      </c>
      <c r="E210" s="13"/>
      <c r="F210" s="14">
        <v>0</v>
      </c>
      <c r="G210" s="13"/>
      <c r="H210" s="14">
        <v>0</v>
      </c>
      <c r="I210" s="13"/>
      <c r="J210" s="14">
        <v>0</v>
      </c>
      <c r="K210" s="13"/>
      <c r="L210" s="14">
        <v>0</v>
      </c>
      <c r="M210" s="13"/>
      <c r="N210" s="14">
        <v>0</v>
      </c>
      <c r="O210" s="13"/>
      <c r="P210" s="14">
        <v>0</v>
      </c>
      <c r="Q210" s="13"/>
      <c r="R210" s="14">
        <f t="shared" si="10"/>
        <v>-13154.679999999997</v>
      </c>
    </row>
    <row r="211" spans="1:18" outlineLevel="1" x14ac:dyDescent="0.2">
      <c r="A211" s="3" t="s">
        <v>3622</v>
      </c>
      <c r="B211" s="14">
        <v>-12880.1</v>
      </c>
      <c r="C211" s="13"/>
      <c r="D211" s="14">
        <v>-1141.08</v>
      </c>
      <c r="E211" s="13"/>
      <c r="F211" s="14">
        <v>0</v>
      </c>
      <c r="G211" s="13"/>
      <c r="H211" s="14">
        <v>0</v>
      </c>
      <c r="I211" s="13"/>
      <c r="J211" s="14">
        <v>0</v>
      </c>
      <c r="K211" s="13"/>
      <c r="L211" s="14">
        <v>0</v>
      </c>
      <c r="M211" s="13"/>
      <c r="N211" s="14">
        <v>0</v>
      </c>
      <c r="O211" s="13"/>
      <c r="P211" s="14">
        <v>0</v>
      </c>
      <c r="Q211" s="13"/>
      <c r="R211" s="14">
        <f t="shared" si="10"/>
        <v>-14021.18</v>
      </c>
    </row>
    <row r="212" spans="1:18" outlineLevel="1" x14ac:dyDescent="0.2">
      <c r="A212" s="3" t="s">
        <v>3623</v>
      </c>
      <c r="B212" s="14">
        <v>-3660.7200000000003</v>
      </c>
      <c r="C212" s="13"/>
      <c r="D212" s="14">
        <v>-343.92</v>
      </c>
      <c r="E212" s="13"/>
      <c r="F212" s="14">
        <v>0</v>
      </c>
      <c r="G212" s="13"/>
      <c r="H212" s="14">
        <v>0</v>
      </c>
      <c r="I212" s="13"/>
      <c r="J212" s="14">
        <v>0</v>
      </c>
      <c r="K212" s="13"/>
      <c r="L212" s="14">
        <v>0</v>
      </c>
      <c r="M212" s="13"/>
      <c r="N212" s="14">
        <v>0</v>
      </c>
      <c r="O212" s="13"/>
      <c r="P212" s="14">
        <v>0</v>
      </c>
      <c r="Q212" s="13"/>
      <c r="R212" s="14">
        <f t="shared" si="10"/>
        <v>-4004.6400000000003</v>
      </c>
    </row>
    <row r="213" spans="1:18" outlineLevel="1" x14ac:dyDescent="0.2">
      <c r="A213" s="3" t="s">
        <v>3624</v>
      </c>
      <c r="B213" s="14">
        <v>-3648.8100000000004</v>
      </c>
      <c r="C213" s="13"/>
      <c r="D213" s="14">
        <v>-342.84</v>
      </c>
      <c r="E213" s="13"/>
      <c r="F213" s="14">
        <v>0</v>
      </c>
      <c r="G213" s="13"/>
      <c r="H213" s="14">
        <v>0</v>
      </c>
      <c r="I213" s="13"/>
      <c r="J213" s="14">
        <v>0</v>
      </c>
      <c r="K213" s="13"/>
      <c r="L213" s="14">
        <v>0</v>
      </c>
      <c r="M213" s="13"/>
      <c r="N213" s="14">
        <v>0</v>
      </c>
      <c r="O213" s="13"/>
      <c r="P213" s="14">
        <v>0</v>
      </c>
      <c r="Q213" s="13"/>
      <c r="R213" s="14">
        <f t="shared" si="10"/>
        <v>-3991.6500000000005</v>
      </c>
    </row>
    <row r="214" spans="1:18" outlineLevel="1" x14ac:dyDescent="0.2">
      <c r="A214" s="3" t="s">
        <v>3625</v>
      </c>
      <c r="B214" s="14">
        <v>-3729.9</v>
      </c>
      <c r="C214" s="13"/>
      <c r="D214" s="14">
        <v>-353.64</v>
      </c>
      <c r="E214" s="13"/>
      <c r="F214" s="14">
        <v>0</v>
      </c>
      <c r="G214" s="13"/>
      <c r="H214" s="14">
        <v>0</v>
      </c>
      <c r="I214" s="13"/>
      <c r="J214" s="14">
        <v>0</v>
      </c>
      <c r="K214" s="13"/>
      <c r="L214" s="14">
        <v>0</v>
      </c>
      <c r="M214" s="13"/>
      <c r="N214" s="14">
        <v>0</v>
      </c>
      <c r="O214" s="13"/>
      <c r="P214" s="14">
        <v>0</v>
      </c>
      <c r="Q214" s="13"/>
      <c r="R214" s="14">
        <f t="shared" si="10"/>
        <v>-4083.54</v>
      </c>
    </row>
    <row r="215" spans="1:18" x14ac:dyDescent="0.2">
      <c r="A215" s="3" t="s">
        <v>3626</v>
      </c>
      <c r="B215" s="14">
        <f>SUM(B199:B214)</f>
        <v>-2933105.4499999997</v>
      </c>
      <c r="C215" s="13"/>
      <c r="D215" s="14">
        <f>SUM(D199:D214)</f>
        <v>-258559.76</v>
      </c>
      <c r="E215" s="13"/>
      <c r="F215" s="14">
        <f>SUM(F199:F214)</f>
        <v>114855.08</v>
      </c>
      <c r="G215" s="13"/>
      <c r="H215" s="14">
        <f>SUM(H199:H214)</f>
        <v>0</v>
      </c>
      <c r="I215" s="13"/>
      <c r="J215" s="14">
        <f>SUM(J199:J214)</f>
        <v>0</v>
      </c>
      <c r="K215" s="13"/>
      <c r="L215" s="14">
        <f>SUM(L199:L214)</f>
        <v>0</v>
      </c>
      <c r="M215" s="13"/>
      <c r="N215" s="14">
        <f>SUM(N199:N214)</f>
        <v>0</v>
      </c>
      <c r="O215" s="13"/>
      <c r="P215" s="14">
        <f>SUM(P199:P214)</f>
        <v>0</v>
      </c>
      <c r="Q215" s="13"/>
      <c r="R215" s="14">
        <f>SUM(R199:R214)</f>
        <v>-3076810.1300000008</v>
      </c>
    </row>
    <row r="216" spans="1:18" x14ac:dyDescent="0.2">
      <c r="A216" s="3" t="s">
        <v>3627</v>
      </c>
      <c r="B216" s="16">
        <v>-12147.94</v>
      </c>
      <c r="C216" s="13"/>
      <c r="D216" s="74">
        <v>-20825.04</v>
      </c>
      <c r="E216" s="13"/>
      <c r="F216" s="74">
        <v>0</v>
      </c>
      <c r="G216" s="13"/>
      <c r="H216" s="74">
        <v>0</v>
      </c>
      <c r="I216" s="13"/>
      <c r="J216" s="16">
        <v>0</v>
      </c>
      <c r="K216" s="13"/>
      <c r="L216" s="74">
        <v>0</v>
      </c>
      <c r="M216" s="13"/>
      <c r="N216" s="74">
        <v>0</v>
      </c>
      <c r="O216" s="13"/>
      <c r="P216" s="100">
        <v>0</v>
      </c>
      <c r="Q216" s="13"/>
      <c r="R216" s="16">
        <f>SUM(B216:P216)</f>
        <v>-32972.980000000003</v>
      </c>
    </row>
    <row r="217" spans="1:18" x14ac:dyDescent="0.2">
      <c r="A217" s="3" t="s">
        <v>3628</v>
      </c>
      <c r="B217" s="17">
        <f>B216+B215+B188+B170+B152+B136+B135+B115+B97+B95+B94+B198</f>
        <v>-248697741.02999997</v>
      </c>
      <c r="C217" s="13"/>
      <c r="D217" s="18">
        <f>D216+D215+D188+D170+D152+D136+D135+D115+D97+D95+D94+D198</f>
        <v>-34432621.659999996</v>
      </c>
      <c r="E217" s="13"/>
      <c r="F217" s="18">
        <f>F216+F215+F188+F170+F152+F136+F135+F115+F97+F95+F94+F198</f>
        <v>844434.41</v>
      </c>
      <c r="G217" s="13"/>
      <c r="H217" s="18">
        <f>H216+H215+H188+H170+H152+H136+H135+H115+H97+H95+H94+H198</f>
        <v>0</v>
      </c>
      <c r="I217" s="13"/>
      <c r="J217" s="17">
        <f>J216+J215+J188+J170+J152+J136+J135+J115+J97+J95+J94+J198</f>
        <v>0</v>
      </c>
      <c r="K217" s="13"/>
      <c r="L217" s="18">
        <f>L216+L215+L188+L170+L152+L136+L135+L115+L97+L95+L94+L198</f>
        <v>245309.94</v>
      </c>
      <c r="M217" s="13"/>
      <c r="N217" s="18">
        <f>N216+N215+N188+N170+N152+N136+N135+N115+N97+N95+N94+N198</f>
        <v>0</v>
      </c>
      <c r="O217" s="13"/>
      <c r="P217" s="18">
        <f>P216+P215+P188+P170+P152+P136+P135+P115+P97+P95+P94+P198</f>
        <v>0</v>
      </c>
      <c r="Q217" s="13"/>
      <c r="R217" s="17">
        <f>R216+R215+R188+R170+R152+R136+R135+R115+R97+R95+R94+R198</f>
        <v>-282040618.33999997</v>
      </c>
    </row>
    <row r="218" spans="1:18" x14ac:dyDescent="0.2">
      <c r="C218" s="13"/>
      <c r="E218" s="13"/>
      <c r="G218" s="13"/>
      <c r="I218" s="13"/>
      <c r="K218" s="13"/>
      <c r="M218" s="13"/>
      <c r="O218" s="13"/>
      <c r="Q218" s="13"/>
    </row>
    <row r="219" spans="1:18" x14ac:dyDescent="0.2">
      <c r="A219" s="12" t="s">
        <v>17</v>
      </c>
      <c r="C219" s="13"/>
      <c r="E219" s="13"/>
      <c r="G219" s="13"/>
      <c r="I219" s="13"/>
      <c r="K219" s="13"/>
      <c r="M219" s="13"/>
      <c r="O219" s="13"/>
      <c r="Q219" s="13"/>
    </row>
    <row r="220" spans="1:18" outlineLevel="1" x14ac:dyDescent="0.2">
      <c r="A220" s="3" t="s">
        <v>3629</v>
      </c>
      <c r="B220" s="14">
        <v>0</v>
      </c>
      <c r="C220" s="13"/>
      <c r="D220" s="14">
        <v>0</v>
      </c>
      <c r="E220" s="13"/>
      <c r="F220" s="14">
        <v>0</v>
      </c>
      <c r="G220" s="13"/>
      <c r="H220" s="14">
        <v>0</v>
      </c>
      <c r="I220" s="13"/>
      <c r="J220" s="14">
        <v>0</v>
      </c>
      <c r="K220" s="13"/>
      <c r="L220" s="14">
        <v>0</v>
      </c>
      <c r="M220" s="13"/>
      <c r="N220" s="14">
        <v>0</v>
      </c>
      <c r="O220" s="13"/>
      <c r="P220" s="14">
        <v>0</v>
      </c>
      <c r="Q220" s="13"/>
      <c r="R220" s="14">
        <f t="shared" ref="R220:R227" si="11">SUM(B220:P220)</f>
        <v>0</v>
      </c>
    </row>
    <row r="221" spans="1:18" outlineLevel="1" x14ac:dyDescent="0.2">
      <c r="A221" s="3" t="s">
        <v>3630</v>
      </c>
      <c r="B221" s="14">
        <v>0</v>
      </c>
      <c r="C221" s="13"/>
      <c r="D221" s="14">
        <v>0</v>
      </c>
      <c r="E221" s="13"/>
      <c r="F221" s="14">
        <v>0</v>
      </c>
      <c r="G221" s="13"/>
      <c r="H221" s="14">
        <v>0</v>
      </c>
      <c r="I221" s="13"/>
      <c r="J221" s="14">
        <v>0</v>
      </c>
      <c r="K221" s="13"/>
      <c r="L221" s="14">
        <v>0</v>
      </c>
      <c r="M221" s="13"/>
      <c r="N221" s="14">
        <v>0</v>
      </c>
      <c r="O221" s="13"/>
      <c r="P221" s="14">
        <v>0</v>
      </c>
      <c r="Q221" s="13"/>
      <c r="R221" s="14">
        <f t="shared" si="11"/>
        <v>0</v>
      </c>
    </row>
    <row r="222" spans="1:18" outlineLevel="1" x14ac:dyDescent="0.2">
      <c r="A222" s="3" t="s">
        <v>3631</v>
      </c>
      <c r="B222" s="14">
        <v>0</v>
      </c>
      <c r="C222" s="13"/>
      <c r="D222" s="14">
        <v>0</v>
      </c>
      <c r="E222" s="13"/>
      <c r="F222" s="14">
        <v>0</v>
      </c>
      <c r="G222" s="13"/>
      <c r="H222" s="14">
        <v>0</v>
      </c>
      <c r="I222" s="13"/>
      <c r="J222" s="14">
        <v>0</v>
      </c>
      <c r="K222" s="13"/>
      <c r="L222" s="14">
        <v>0</v>
      </c>
      <c r="M222" s="13"/>
      <c r="N222" s="14">
        <v>0</v>
      </c>
      <c r="O222" s="13"/>
      <c r="P222" s="14">
        <v>0</v>
      </c>
      <c r="Q222" s="13"/>
      <c r="R222" s="14">
        <f t="shared" si="11"/>
        <v>0</v>
      </c>
    </row>
    <row r="223" spans="1:18" outlineLevel="1" x14ac:dyDescent="0.2">
      <c r="A223" s="43" t="s">
        <v>3632</v>
      </c>
      <c r="B223" s="14">
        <v>0</v>
      </c>
      <c r="C223" s="13"/>
      <c r="D223" s="14">
        <v>0</v>
      </c>
      <c r="E223" s="13"/>
      <c r="F223" s="14">
        <v>0</v>
      </c>
      <c r="G223" s="13"/>
      <c r="H223" s="14">
        <v>0</v>
      </c>
      <c r="I223" s="13"/>
      <c r="J223" s="14">
        <v>0</v>
      </c>
      <c r="K223" s="13"/>
      <c r="L223" s="14">
        <v>0</v>
      </c>
      <c r="M223" s="13"/>
      <c r="N223" s="14">
        <v>0</v>
      </c>
      <c r="O223" s="13"/>
      <c r="P223" s="14">
        <v>0</v>
      </c>
      <c r="Q223" s="13"/>
      <c r="R223" s="14">
        <f>SUM(B223:P223)</f>
        <v>0</v>
      </c>
    </row>
    <row r="224" spans="1:18" outlineLevel="1" x14ac:dyDescent="0.2">
      <c r="A224" s="3" t="s">
        <v>3633</v>
      </c>
      <c r="B224" s="14">
        <v>0</v>
      </c>
      <c r="C224" s="13"/>
      <c r="D224" s="14">
        <v>0</v>
      </c>
      <c r="E224" s="13"/>
      <c r="F224" s="14">
        <v>0</v>
      </c>
      <c r="G224" s="13"/>
      <c r="H224" s="14">
        <v>0</v>
      </c>
      <c r="I224" s="13"/>
      <c r="J224" s="14">
        <v>0</v>
      </c>
      <c r="K224" s="13"/>
      <c r="L224" s="14">
        <v>0</v>
      </c>
      <c r="M224" s="13"/>
      <c r="N224" s="14">
        <v>0</v>
      </c>
      <c r="O224" s="13"/>
      <c r="P224" s="14">
        <v>0</v>
      </c>
      <c r="Q224" s="13"/>
      <c r="R224" s="14">
        <f t="shared" si="11"/>
        <v>0</v>
      </c>
    </row>
    <row r="225" spans="1:20" outlineLevel="1" x14ac:dyDescent="0.2">
      <c r="A225" s="3" t="s">
        <v>3634</v>
      </c>
      <c r="B225" s="14">
        <v>0</v>
      </c>
      <c r="C225" s="13"/>
      <c r="D225" s="14">
        <v>0</v>
      </c>
      <c r="E225" s="13"/>
      <c r="F225" s="14">
        <v>0</v>
      </c>
      <c r="G225" s="13"/>
      <c r="H225" s="14">
        <v>0</v>
      </c>
      <c r="I225" s="13"/>
      <c r="J225" s="14">
        <v>0</v>
      </c>
      <c r="K225" s="13"/>
      <c r="L225" s="14">
        <v>0</v>
      </c>
      <c r="M225" s="13"/>
      <c r="N225" s="14">
        <v>0</v>
      </c>
      <c r="O225" s="13"/>
      <c r="P225" s="14">
        <v>0</v>
      </c>
      <c r="Q225" s="13"/>
      <c r="R225" s="14">
        <f t="shared" si="11"/>
        <v>0</v>
      </c>
    </row>
    <row r="226" spans="1:20" outlineLevel="1" x14ac:dyDescent="0.2">
      <c r="A226" s="3" t="s">
        <v>3635</v>
      </c>
      <c r="B226" s="14">
        <v>0</v>
      </c>
      <c r="C226" s="13"/>
      <c r="D226" s="14">
        <v>0</v>
      </c>
      <c r="E226" s="13"/>
      <c r="F226" s="14">
        <v>0</v>
      </c>
      <c r="G226" s="13"/>
      <c r="H226" s="14">
        <v>0</v>
      </c>
      <c r="I226" s="13"/>
      <c r="J226" s="14">
        <v>0</v>
      </c>
      <c r="K226" s="13"/>
      <c r="L226" s="14">
        <v>0</v>
      </c>
      <c r="M226" s="13"/>
      <c r="N226" s="14">
        <v>0</v>
      </c>
      <c r="O226" s="13"/>
      <c r="P226" s="14">
        <v>0</v>
      </c>
      <c r="Q226" s="13"/>
      <c r="R226" s="14">
        <f t="shared" si="11"/>
        <v>0</v>
      </c>
    </row>
    <row r="227" spans="1:20" outlineLevel="1" x14ac:dyDescent="0.2">
      <c r="A227" s="3" t="s">
        <v>3636</v>
      </c>
      <c r="B227" s="14">
        <v>0</v>
      </c>
      <c r="C227" s="13"/>
      <c r="D227" s="14">
        <v>0</v>
      </c>
      <c r="E227" s="13"/>
      <c r="F227" s="14">
        <v>0</v>
      </c>
      <c r="G227" s="13"/>
      <c r="H227" s="14">
        <v>0</v>
      </c>
      <c r="I227" s="13"/>
      <c r="J227" s="14">
        <v>0</v>
      </c>
      <c r="K227" s="13"/>
      <c r="L227" s="14">
        <v>0</v>
      </c>
      <c r="M227" s="13"/>
      <c r="N227" s="14">
        <v>0</v>
      </c>
      <c r="O227" s="13"/>
      <c r="P227" s="14">
        <v>0</v>
      </c>
      <c r="Q227" s="13"/>
      <c r="R227" s="14">
        <f t="shared" si="11"/>
        <v>0</v>
      </c>
    </row>
    <row r="228" spans="1:20" x14ac:dyDescent="0.2">
      <c r="A228" s="3" t="s">
        <v>3637</v>
      </c>
      <c r="B228" s="14">
        <f>SUM(B220:B227)</f>
        <v>0</v>
      </c>
      <c r="C228" s="13"/>
      <c r="D228" s="14">
        <f>SUM(D220:D227)</f>
        <v>0</v>
      </c>
      <c r="E228" s="13"/>
      <c r="F228" s="14">
        <f>SUM(F220:F227)</f>
        <v>0</v>
      </c>
      <c r="G228" s="13"/>
      <c r="H228" s="14">
        <f>SUM(H220:H227)</f>
        <v>0</v>
      </c>
      <c r="I228" s="13"/>
      <c r="J228" s="14">
        <f>SUM(J220:J227)</f>
        <v>0</v>
      </c>
      <c r="K228" s="13"/>
      <c r="L228" s="14">
        <f>SUM(L220:L227)</f>
        <v>0</v>
      </c>
      <c r="M228" s="13"/>
      <c r="N228" s="14">
        <f>SUM(N220:N227)</f>
        <v>0</v>
      </c>
      <c r="O228" s="13"/>
      <c r="P228" s="14">
        <f>SUM(P220:P227)</f>
        <v>0</v>
      </c>
      <c r="Q228" s="13"/>
      <c r="R228" s="14">
        <f>SUM(R220:R227)</f>
        <v>0</v>
      </c>
      <c r="T228" s="13"/>
    </row>
    <row r="229" spans="1:20" outlineLevel="1" x14ac:dyDescent="0.2">
      <c r="A229" s="3" t="s">
        <v>3638</v>
      </c>
      <c r="B229" s="14">
        <v>-4858758.629999999</v>
      </c>
      <c r="C229" s="13"/>
      <c r="D229" s="14">
        <v>-1875.42</v>
      </c>
      <c r="E229" s="13"/>
      <c r="F229" s="14">
        <v>12926.67</v>
      </c>
      <c r="G229" s="13"/>
      <c r="H229" s="14">
        <v>0</v>
      </c>
      <c r="I229" s="13"/>
      <c r="J229" s="14">
        <v>0</v>
      </c>
      <c r="K229" s="13"/>
      <c r="L229" s="14">
        <v>0</v>
      </c>
      <c r="M229" s="13"/>
      <c r="N229" s="14">
        <v>0</v>
      </c>
      <c r="O229" s="13"/>
      <c r="P229" s="14">
        <v>0</v>
      </c>
      <c r="Q229" s="13"/>
      <c r="R229" s="14">
        <f t="shared" ref="R229:R262" si="12">SUM(B229:P229)</f>
        <v>-4847707.379999999</v>
      </c>
    </row>
    <row r="230" spans="1:20" outlineLevel="1" x14ac:dyDescent="0.2">
      <c r="A230" s="3" t="s">
        <v>3639</v>
      </c>
      <c r="B230" s="14">
        <v>-2008650.9100000001</v>
      </c>
      <c r="C230" s="13"/>
      <c r="D230" s="14">
        <v>-13575.07</v>
      </c>
      <c r="E230" s="13"/>
      <c r="F230" s="14">
        <v>0</v>
      </c>
      <c r="G230" s="13"/>
      <c r="H230" s="14">
        <v>0</v>
      </c>
      <c r="I230" s="13"/>
      <c r="J230" s="14">
        <v>0</v>
      </c>
      <c r="K230" s="13"/>
      <c r="L230" s="14">
        <v>0</v>
      </c>
      <c r="M230" s="13"/>
      <c r="N230" s="14">
        <v>0</v>
      </c>
      <c r="O230" s="13"/>
      <c r="P230" s="14">
        <v>0</v>
      </c>
      <c r="Q230" s="13"/>
      <c r="R230" s="14">
        <f t="shared" si="12"/>
        <v>-2022225.9800000002</v>
      </c>
    </row>
    <row r="231" spans="1:20" outlineLevel="1" x14ac:dyDescent="0.2">
      <c r="A231" s="3" t="s">
        <v>3640</v>
      </c>
      <c r="B231" s="14">
        <v>-14080779.73</v>
      </c>
      <c r="C231" s="13"/>
      <c r="D231" s="14">
        <v>-369822.39</v>
      </c>
      <c r="E231" s="13"/>
      <c r="F231" s="14">
        <v>34806.76</v>
      </c>
      <c r="G231" s="13"/>
      <c r="H231" s="14">
        <v>0</v>
      </c>
      <c r="I231" s="13"/>
      <c r="J231" s="14">
        <v>0</v>
      </c>
      <c r="K231" s="13"/>
      <c r="L231" s="14">
        <v>-3.75</v>
      </c>
      <c r="M231" s="13"/>
      <c r="N231" s="14">
        <v>-708.09</v>
      </c>
      <c r="O231" s="13"/>
      <c r="P231" s="14">
        <v>0</v>
      </c>
      <c r="Q231" s="13"/>
      <c r="R231" s="14">
        <f t="shared" si="12"/>
        <v>-14416507.200000001</v>
      </c>
    </row>
    <row r="232" spans="1:20" outlineLevel="1" x14ac:dyDescent="0.2">
      <c r="A232" s="3" t="s">
        <v>3641</v>
      </c>
      <c r="B232" s="14">
        <v>0</v>
      </c>
      <c r="C232" s="13"/>
      <c r="D232" s="14">
        <v>0</v>
      </c>
      <c r="E232" s="13"/>
      <c r="F232" s="14">
        <v>0</v>
      </c>
      <c r="G232" s="13"/>
      <c r="H232" s="14">
        <v>0</v>
      </c>
      <c r="I232" s="13"/>
      <c r="J232" s="14">
        <v>0</v>
      </c>
      <c r="K232" s="13"/>
      <c r="L232" s="14">
        <v>0</v>
      </c>
      <c r="M232" s="13"/>
      <c r="N232" s="14">
        <v>0</v>
      </c>
      <c r="O232" s="13"/>
      <c r="P232" s="14">
        <v>0</v>
      </c>
      <c r="Q232" s="13"/>
      <c r="R232" s="14">
        <f t="shared" si="12"/>
        <v>0</v>
      </c>
    </row>
    <row r="233" spans="1:20" outlineLevel="1" x14ac:dyDescent="0.2">
      <c r="A233" s="3" t="s">
        <v>3642</v>
      </c>
      <c r="B233" s="14">
        <v>-2344.5299999999997</v>
      </c>
      <c r="C233" s="13"/>
      <c r="D233" s="14">
        <v>-752.64</v>
      </c>
      <c r="E233" s="13"/>
      <c r="F233" s="14">
        <v>0</v>
      </c>
      <c r="G233" s="13"/>
      <c r="H233" s="14">
        <v>0</v>
      </c>
      <c r="I233" s="13"/>
      <c r="J233" s="14">
        <v>0</v>
      </c>
      <c r="K233" s="13"/>
      <c r="L233" s="14">
        <v>0</v>
      </c>
      <c r="M233" s="13"/>
      <c r="N233" s="14">
        <v>0</v>
      </c>
      <c r="O233" s="13"/>
      <c r="P233" s="14">
        <v>0</v>
      </c>
      <c r="Q233" s="13"/>
      <c r="R233" s="14">
        <f t="shared" si="12"/>
        <v>-3097.1699999999996</v>
      </c>
    </row>
    <row r="234" spans="1:20" outlineLevel="1" x14ac:dyDescent="0.2">
      <c r="A234" s="3" t="s">
        <v>3643</v>
      </c>
      <c r="B234" s="14">
        <v>0</v>
      </c>
      <c r="C234" s="13"/>
      <c r="E234" s="13"/>
      <c r="G234" s="13"/>
      <c r="I234" s="13"/>
      <c r="J234" s="14">
        <v>0</v>
      </c>
      <c r="K234" s="13"/>
      <c r="M234" s="13"/>
      <c r="O234" s="13"/>
      <c r="Q234" s="13"/>
      <c r="R234" s="14">
        <f t="shared" si="12"/>
        <v>0</v>
      </c>
    </row>
    <row r="235" spans="1:20" outlineLevel="1" x14ac:dyDescent="0.2">
      <c r="A235" s="3" t="s">
        <v>3644</v>
      </c>
      <c r="B235" s="14">
        <v>-8775717.5999999996</v>
      </c>
      <c r="C235" s="13"/>
      <c r="D235" s="14">
        <v>-1943744.12</v>
      </c>
      <c r="E235" s="13"/>
      <c r="F235" s="14">
        <v>125178.56</v>
      </c>
      <c r="G235" s="13"/>
      <c r="H235" s="14">
        <v>0</v>
      </c>
      <c r="I235" s="13"/>
      <c r="J235" s="14">
        <v>0</v>
      </c>
      <c r="K235" s="13"/>
      <c r="L235" s="14">
        <v>0</v>
      </c>
      <c r="M235" s="13"/>
      <c r="N235" s="14">
        <v>0</v>
      </c>
      <c r="O235" s="13"/>
      <c r="P235" s="14">
        <v>0</v>
      </c>
      <c r="Q235" s="13"/>
      <c r="R235" s="14">
        <f t="shared" si="12"/>
        <v>-10594283.159999998</v>
      </c>
    </row>
    <row r="236" spans="1:20" outlineLevel="1" x14ac:dyDescent="0.2">
      <c r="A236" s="3" t="s">
        <v>3645</v>
      </c>
      <c r="B236" s="14">
        <v>-4.6566128730773926E-10</v>
      </c>
      <c r="C236" s="13"/>
      <c r="D236" s="14">
        <v>0</v>
      </c>
      <c r="E236" s="13"/>
      <c r="F236" s="14">
        <v>0</v>
      </c>
      <c r="G236" s="13"/>
      <c r="H236" s="14">
        <v>0</v>
      </c>
      <c r="I236" s="13"/>
      <c r="J236" s="14">
        <v>0</v>
      </c>
      <c r="K236" s="13"/>
      <c r="L236" s="14">
        <v>0</v>
      </c>
      <c r="M236" s="13"/>
      <c r="N236" s="14">
        <v>0</v>
      </c>
      <c r="O236" s="13"/>
      <c r="P236" s="14">
        <v>0</v>
      </c>
      <c r="Q236" s="13"/>
      <c r="R236" s="14">
        <f t="shared" si="12"/>
        <v>-4.6566128730773926E-10</v>
      </c>
    </row>
    <row r="237" spans="1:20" outlineLevel="1" x14ac:dyDescent="0.2">
      <c r="A237" s="3" t="s">
        <v>3646</v>
      </c>
      <c r="B237" s="14">
        <v>-18420140.840000007</v>
      </c>
      <c r="C237" s="13"/>
      <c r="D237" s="14">
        <v>-56552.75</v>
      </c>
      <c r="E237" s="13"/>
      <c r="F237" s="14">
        <v>469359.75</v>
      </c>
      <c r="G237" s="13"/>
      <c r="H237" s="14">
        <v>296619.25</v>
      </c>
      <c r="I237" s="13"/>
      <c r="J237" s="14">
        <v>0</v>
      </c>
      <c r="K237" s="13"/>
      <c r="L237" s="14">
        <v>223445.08</v>
      </c>
      <c r="M237" s="13"/>
      <c r="N237" s="14">
        <v>0</v>
      </c>
      <c r="O237" s="13"/>
      <c r="P237" s="14">
        <v>0</v>
      </c>
      <c r="Q237" s="13"/>
      <c r="R237" s="14">
        <f t="shared" si="12"/>
        <v>-17487269.510000009</v>
      </c>
    </row>
    <row r="238" spans="1:20" outlineLevel="1" x14ac:dyDescent="0.2">
      <c r="A238" s="3" t="s">
        <v>3647</v>
      </c>
      <c r="B238" s="14">
        <v>1.8189894035458565E-12</v>
      </c>
      <c r="C238" s="13"/>
      <c r="D238" s="14">
        <v>0</v>
      </c>
      <c r="E238" s="13"/>
      <c r="F238" s="14">
        <v>0</v>
      </c>
      <c r="G238" s="13"/>
      <c r="H238" s="14">
        <v>0</v>
      </c>
      <c r="I238" s="13"/>
      <c r="J238" s="14">
        <v>0</v>
      </c>
      <c r="K238" s="13"/>
      <c r="L238" s="14">
        <v>0</v>
      </c>
      <c r="M238" s="13"/>
      <c r="N238" s="14">
        <v>0</v>
      </c>
      <c r="O238" s="13"/>
      <c r="P238" s="14">
        <v>0</v>
      </c>
      <c r="Q238" s="13"/>
      <c r="R238" s="14">
        <f t="shared" si="12"/>
        <v>1.8189894035458565E-12</v>
      </c>
    </row>
    <row r="239" spans="1:20" outlineLevel="1" x14ac:dyDescent="0.2">
      <c r="A239" s="3" t="s">
        <v>3648</v>
      </c>
      <c r="B239" s="14">
        <v>-7365523.2700000005</v>
      </c>
      <c r="C239" s="13"/>
      <c r="D239" s="14">
        <v>-86643.59</v>
      </c>
      <c r="E239" s="13"/>
      <c r="F239" s="14">
        <v>0</v>
      </c>
      <c r="G239" s="13"/>
      <c r="H239" s="14">
        <v>34603.51</v>
      </c>
      <c r="I239" s="13"/>
      <c r="J239" s="14">
        <v>0</v>
      </c>
      <c r="K239" s="13"/>
      <c r="L239" s="14">
        <v>0</v>
      </c>
      <c r="M239" s="13"/>
      <c r="N239" s="14">
        <v>0</v>
      </c>
      <c r="O239" s="13"/>
      <c r="P239" s="14">
        <v>0</v>
      </c>
      <c r="Q239" s="13"/>
      <c r="R239" s="14">
        <f t="shared" si="12"/>
        <v>-7417563.3500000006</v>
      </c>
    </row>
    <row r="240" spans="1:20" outlineLevel="1" x14ac:dyDescent="0.2">
      <c r="A240" s="3" t="s">
        <v>3649</v>
      </c>
      <c r="B240" s="14">
        <v>-14507970.379999997</v>
      </c>
      <c r="C240" s="13"/>
      <c r="D240" s="14">
        <v>-127928.21</v>
      </c>
      <c r="E240" s="13"/>
      <c r="F240" s="14">
        <v>198173.43</v>
      </c>
      <c r="G240" s="13"/>
      <c r="H240" s="14">
        <v>0</v>
      </c>
      <c r="I240" s="13"/>
      <c r="J240" s="14">
        <v>0</v>
      </c>
      <c r="K240" s="13"/>
      <c r="L240" s="14">
        <v>122280.8</v>
      </c>
      <c r="M240" s="13"/>
      <c r="N240" s="14">
        <v>0</v>
      </c>
      <c r="O240" s="13"/>
      <c r="P240" s="14">
        <v>0</v>
      </c>
      <c r="Q240" s="13"/>
      <c r="R240" s="14">
        <f t="shared" si="12"/>
        <v>-14315444.359999998</v>
      </c>
    </row>
    <row r="241" spans="1:18" outlineLevel="1" x14ac:dyDescent="0.2">
      <c r="A241" s="3" t="s">
        <v>3650</v>
      </c>
      <c r="B241" s="14">
        <v>-32886158.099999998</v>
      </c>
      <c r="C241" s="13"/>
      <c r="D241" s="14">
        <v>-547033.32999999996</v>
      </c>
      <c r="E241" s="13"/>
      <c r="F241" s="14">
        <v>0</v>
      </c>
      <c r="G241" s="13"/>
      <c r="H241" s="14">
        <v>0</v>
      </c>
      <c r="I241" s="13"/>
      <c r="J241" s="14">
        <v>0</v>
      </c>
      <c r="K241" s="13"/>
      <c r="L241" s="14">
        <v>0</v>
      </c>
      <c r="M241" s="13"/>
      <c r="N241" s="14">
        <v>0</v>
      </c>
      <c r="O241" s="13"/>
      <c r="P241" s="14">
        <v>0</v>
      </c>
      <c r="Q241" s="13"/>
      <c r="R241" s="14">
        <f t="shared" si="12"/>
        <v>-33433191.429999996</v>
      </c>
    </row>
    <row r="242" spans="1:18" outlineLevel="1" x14ac:dyDescent="0.2">
      <c r="A242" s="3" t="s">
        <v>3651</v>
      </c>
      <c r="B242" s="14">
        <v>0</v>
      </c>
      <c r="C242" s="13"/>
      <c r="D242" s="14">
        <v>0</v>
      </c>
      <c r="E242" s="13"/>
      <c r="F242" s="14">
        <v>0</v>
      </c>
      <c r="G242" s="13"/>
      <c r="H242" s="14">
        <v>0</v>
      </c>
      <c r="I242" s="13"/>
      <c r="J242" s="14">
        <v>0</v>
      </c>
      <c r="K242" s="13"/>
      <c r="L242" s="14">
        <v>0</v>
      </c>
      <c r="M242" s="13"/>
      <c r="N242" s="14">
        <v>0</v>
      </c>
      <c r="O242" s="13"/>
      <c r="P242" s="14">
        <v>0</v>
      </c>
      <c r="Q242" s="13"/>
      <c r="R242" s="14">
        <f t="shared" si="12"/>
        <v>0</v>
      </c>
    </row>
    <row r="243" spans="1:18" outlineLevel="1" x14ac:dyDescent="0.2">
      <c r="A243" s="73" t="s">
        <v>3652</v>
      </c>
      <c r="B243" s="14">
        <v>-95109.54</v>
      </c>
      <c r="C243" s="13"/>
      <c r="D243" s="14">
        <v>-116997.48</v>
      </c>
      <c r="E243" s="13"/>
      <c r="F243" s="14">
        <v>0</v>
      </c>
      <c r="G243" s="13"/>
      <c r="H243" s="14">
        <v>0</v>
      </c>
      <c r="I243" s="13"/>
      <c r="J243" s="14">
        <v>0</v>
      </c>
      <c r="K243" s="13"/>
      <c r="L243" s="14">
        <v>0</v>
      </c>
      <c r="M243" s="13"/>
      <c r="N243" s="14">
        <v>0</v>
      </c>
      <c r="O243" s="13"/>
      <c r="P243" s="14">
        <v>0</v>
      </c>
      <c r="Q243" s="13"/>
      <c r="R243" s="14">
        <f t="shared" si="12"/>
        <v>-212107.02</v>
      </c>
    </row>
    <row r="244" spans="1:18" outlineLevel="1" x14ac:dyDescent="0.2">
      <c r="A244" s="3" t="s">
        <v>3653</v>
      </c>
      <c r="B244" s="14">
        <v>-15556805.119999997</v>
      </c>
      <c r="C244" s="13"/>
      <c r="D244" s="14">
        <v>-687619.02</v>
      </c>
      <c r="E244" s="13"/>
      <c r="F244" s="14">
        <v>7964.74</v>
      </c>
      <c r="G244" s="13"/>
      <c r="H244" s="14">
        <v>0</v>
      </c>
      <c r="I244" s="13"/>
      <c r="J244" s="14">
        <v>0</v>
      </c>
      <c r="K244" s="13"/>
      <c r="L244" s="14">
        <v>267.54000000000002</v>
      </c>
      <c r="M244" s="13"/>
      <c r="N244" s="14">
        <v>0</v>
      </c>
      <c r="O244" s="13"/>
      <c r="P244" s="14">
        <v>0</v>
      </c>
      <c r="Q244" s="13"/>
      <c r="R244" s="14">
        <f t="shared" si="12"/>
        <v>-16236191.859999998</v>
      </c>
    </row>
    <row r="245" spans="1:18" outlineLevel="1" x14ac:dyDescent="0.2">
      <c r="A245" s="3" t="s">
        <v>3654</v>
      </c>
      <c r="B245" s="14">
        <v>0</v>
      </c>
      <c r="C245" s="13"/>
      <c r="D245" s="14">
        <v>0</v>
      </c>
      <c r="E245" s="13"/>
      <c r="F245" s="14">
        <v>0</v>
      </c>
      <c r="G245" s="13"/>
      <c r="H245" s="14">
        <v>0</v>
      </c>
      <c r="I245" s="13"/>
      <c r="J245" s="14">
        <v>0</v>
      </c>
      <c r="K245" s="13"/>
      <c r="L245" s="14">
        <v>0</v>
      </c>
      <c r="M245" s="13"/>
      <c r="N245" s="14">
        <v>0</v>
      </c>
      <c r="O245" s="13"/>
      <c r="P245" s="14">
        <v>0</v>
      </c>
      <c r="Q245" s="13"/>
      <c r="R245" s="14">
        <f t="shared" si="12"/>
        <v>0</v>
      </c>
    </row>
    <row r="246" spans="1:18" outlineLevel="1" x14ac:dyDescent="0.2">
      <c r="A246" s="3" t="s">
        <v>3655</v>
      </c>
      <c r="B246" s="14">
        <v>3.637978807091713E-12</v>
      </c>
      <c r="C246" s="13"/>
      <c r="D246" s="14">
        <v>0</v>
      </c>
      <c r="E246" s="13"/>
      <c r="F246" s="14">
        <v>0</v>
      </c>
      <c r="G246" s="13"/>
      <c r="H246" s="14">
        <v>0</v>
      </c>
      <c r="I246" s="13"/>
      <c r="J246" s="14">
        <v>0</v>
      </c>
      <c r="K246" s="13"/>
      <c r="L246" s="14">
        <v>0</v>
      </c>
      <c r="M246" s="13"/>
      <c r="N246" s="14">
        <v>0</v>
      </c>
      <c r="O246" s="13"/>
      <c r="P246" s="14">
        <v>0</v>
      </c>
      <c r="Q246" s="13"/>
      <c r="R246" s="14">
        <f t="shared" si="12"/>
        <v>3.637978807091713E-12</v>
      </c>
    </row>
    <row r="247" spans="1:18" outlineLevel="1" x14ac:dyDescent="0.2">
      <c r="A247" s="43" t="s">
        <v>3656</v>
      </c>
      <c r="B247" s="14">
        <v>-82352.100000000006</v>
      </c>
      <c r="C247" s="13"/>
      <c r="D247" s="14">
        <v>-55402.8</v>
      </c>
      <c r="E247" s="13"/>
      <c r="F247" s="14">
        <v>0</v>
      </c>
      <c r="G247" s="13"/>
      <c r="H247" s="14">
        <v>0</v>
      </c>
      <c r="I247" s="13"/>
      <c r="J247" s="14">
        <v>0</v>
      </c>
      <c r="K247" s="13"/>
      <c r="L247" s="14">
        <v>0</v>
      </c>
      <c r="M247" s="13"/>
      <c r="N247" s="14">
        <v>0</v>
      </c>
      <c r="O247" s="13"/>
      <c r="P247" s="14">
        <v>0</v>
      </c>
      <c r="Q247" s="13"/>
      <c r="R247" s="14">
        <f>SUM(B247:P247)</f>
        <v>-137754.90000000002</v>
      </c>
    </row>
    <row r="248" spans="1:18" outlineLevel="1" x14ac:dyDescent="0.2">
      <c r="A248" s="3" t="s">
        <v>3657</v>
      </c>
      <c r="B248" s="14">
        <v>-13742095.550000004</v>
      </c>
      <c r="C248" s="13"/>
      <c r="D248" s="14">
        <v>-167657.20000000001</v>
      </c>
      <c r="E248" s="13"/>
      <c r="F248" s="14">
        <v>998.02</v>
      </c>
      <c r="G248" s="13"/>
      <c r="H248" s="14">
        <v>0</v>
      </c>
      <c r="I248" s="13"/>
      <c r="J248" s="14">
        <v>0</v>
      </c>
      <c r="K248" s="13"/>
      <c r="L248" s="14">
        <v>2531.7399999999998</v>
      </c>
      <c r="M248" s="13"/>
      <c r="N248" s="14">
        <v>0</v>
      </c>
      <c r="O248" s="13"/>
      <c r="P248" s="14">
        <v>0</v>
      </c>
      <c r="Q248" s="13"/>
      <c r="R248" s="14">
        <f t="shared" si="12"/>
        <v>-13906222.990000004</v>
      </c>
    </row>
    <row r="249" spans="1:18" outlineLevel="1" x14ac:dyDescent="0.2">
      <c r="A249" s="3" t="s">
        <v>3658</v>
      </c>
      <c r="B249" s="14">
        <v>0</v>
      </c>
      <c r="C249" s="13"/>
      <c r="D249" s="14">
        <v>0</v>
      </c>
      <c r="E249" s="13"/>
      <c r="F249" s="14">
        <v>0</v>
      </c>
      <c r="G249" s="13"/>
      <c r="H249" s="14">
        <v>0</v>
      </c>
      <c r="I249" s="13"/>
      <c r="J249" s="14">
        <v>0</v>
      </c>
      <c r="K249" s="13"/>
      <c r="L249" s="14">
        <v>0</v>
      </c>
      <c r="M249" s="13"/>
      <c r="N249" s="14">
        <v>0</v>
      </c>
      <c r="O249" s="13"/>
      <c r="P249" s="14">
        <v>0</v>
      </c>
      <c r="Q249" s="13"/>
      <c r="R249" s="14">
        <f t="shared" si="12"/>
        <v>0</v>
      </c>
    </row>
    <row r="250" spans="1:18" outlineLevel="1" x14ac:dyDescent="0.2">
      <c r="A250" s="3" t="s">
        <v>3659</v>
      </c>
      <c r="B250" s="14">
        <v>0</v>
      </c>
      <c r="C250" s="13"/>
      <c r="D250" s="14">
        <v>0</v>
      </c>
      <c r="E250" s="13"/>
      <c r="F250" s="14">
        <v>0</v>
      </c>
      <c r="G250" s="13"/>
      <c r="H250" s="14">
        <v>0</v>
      </c>
      <c r="I250" s="13"/>
      <c r="J250" s="14">
        <v>0</v>
      </c>
      <c r="K250" s="13"/>
      <c r="L250" s="14">
        <v>0</v>
      </c>
      <c r="M250" s="13"/>
      <c r="N250" s="14">
        <v>0</v>
      </c>
      <c r="O250" s="13"/>
      <c r="P250" s="14">
        <v>0</v>
      </c>
      <c r="Q250" s="13"/>
      <c r="R250" s="14">
        <f t="shared" si="12"/>
        <v>0</v>
      </c>
    </row>
    <row r="251" spans="1:18" outlineLevel="1" x14ac:dyDescent="0.2">
      <c r="A251" s="3" t="s">
        <v>3660</v>
      </c>
      <c r="B251" s="14">
        <v>-1746255.1999999995</v>
      </c>
      <c r="C251" s="13"/>
      <c r="D251" s="14">
        <v>0</v>
      </c>
      <c r="E251" s="13"/>
      <c r="F251" s="14">
        <v>0</v>
      </c>
      <c r="G251" s="13"/>
      <c r="H251" s="14">
        <v>0</v>
      </c>
      <c r="I251" s="13"/>
      <c r="J251" s="14">
        <v>0</v>
      </c>
      <c r="K251" s="13"/>
      <c r="L251" s="14">
        <v>0</v>
      </c>
      <c r="M251" s="13"/>
      <c r="N251" s="14">
        <v>0</v>
      </c>
      <c r="O251" s="13"/>
      <c r="P251" s="14">
        <v>0</v>
      </c>
      <c r="Q251" s="13"/>
      <c r="R251" s="14">
        <f t="shared" si="12"/>
        <v>-1746255.1999999995</v>
      </c>
    </row>
    <row r="252" spans="1:18" outlineLevel="1" x14ac:dyDescent="0.2">
      <c r="A252" s="3" t="s">
        <v>3661</v>
      </c>
      <c r="B252" s="14">
        <v>-2808512.16</v>
      </c>
      <c r="C252" s="13"/>
      <c r="D252" s="14">
        <v>0</v>
      </c>
      <c r="E252" s="13"/>
      <c r="F252" s="14">
        <v>0</v>
      </c>
      <c r="G252" s="13"/>
      <c r="H252" s="14">
        <v>0</v>
      </c>
      <c r="I252" s="13"/>
      <c r="J252" s="14">
        <v>0</v>
      </c>
      <c r="K252" s="13"/>
      <c r="L252" s="14">
        <v>0</v>
      </c>
      <c r="M252" s="13"/>
      <c r="N252" s="14">
        <v>0</v>
      </c>
      <c r="O252" s="13"/>
      <c r="P252" s="14">
        <v>0</v>
      </c>
      <c r="Q252" s="13"/>
      <c r="R252" s="14">
        <f t="shared" si="12"/>
        <v>-2808512.16</v>
      </c>
    </row>
    <row r="253" spans="1:18" outlineLevel="1" x14ac:dyDescent="0.2">
      <c r="A253" s="3" t="s">
        <v>3662</v>
      </c>
      <c r="B253" s="14">
        <v>-3975248.0199999996</v>
      </c>
      <c r="C253" s="13"/>
      <c r="D253" s="14">
        <v>-263569.2</v>
      </c>
      <c r="E253" s="13"/>
      <c r="F253" s="14">
        <v>0</v>
      </c>
      <c r="G253" s="13"/>
      <c r="H253" s="14">
        <v>0</v>
      </c>
      <c r="I253" s="13"/>
      <c r="J253" s="14">
        <v>0</v>
      </c>
      <c r="K253" s="13"/>
      <c r="L253" s="14">
        <v>0</v>
      </c>
      <c r="M253" s="13"/>
      <c r="N253" s="14">
        <v>0</v>
      </c>
      <c r="O253" s="13"/>
      <c r="P253" s="14">
        <v>0</v>
      </c>
      <c r="Q253" s="13"/>
      <c r="R253" s="14">
        <f t="shared" si="12"/>
        <v>-4238817.22</v>
      </c>
    </row>
    <row r="254" spans="1:18" outlineLevel="1" x14ac:dyDescent="0.2">
      <c r="A254" s="3" t="s">
        <v>3663</v>
      </c>
      <c r="B254" s="14">
        <v>0</v>
      </c>
      <c r="C254" s="13"/>
      <c r="D254" s="14">
        <v>0</v>
      </c>
      <c r="E254" s="13"/>
      <c r="F254" s="14">
        <v>0</v>
      </c>
      <c r="G254" s="13"/>
      <c r="H254" s="14">
        <v>0</v>
      </c>
      <c r="I254" s="13"/>
      <c r="J254" s="14">
        <v>0</v>
      </c>
      <c r="K254" s="13"/>
      <c r="L254" s="14">
        <v>0</v>
      </c>
      <c r="M254" s="13"/>
      <c r="N254" s="14">
        <v>0</v>
      </c>
      <c r="O254" s="13"/>
      <c r="P254" s="14">
        <v>0</v>
      </c>
      <c r="Q254" s="13"/>
      <c r="R254" s="14">
        <f t="shared" si="12"/>
        <v>0</v>
      </c>
    </row>
    <row r="255" spans="1:18" outlineLevel="1" x14ac:dyDescent="0.2">
      <c r="A255" s="3" t="s">
        <v>3664</v>
      </c>
      <c r="B255" s="14">
        <v>-39691.319999999949</v>
      </c>
      <c r="C255" s="13"/>
      <c r="D255" s="14">
        <v>0</v>
      </c>
      <c r="E255" s="13"/>
      <c r="F255" s="14">
        <v>0</v>
      </c>
      <c r="G255" s="13"/>
      <c r="H255" s="14">
        <v>0</v>
      </c>
      <c r="I255" s="13"/>
      <c r="J255" s="14">
        <v>0</v>
      </c>
      <c r="K255" s="13"/>
      <c r="L255" s="14">
        <v>0</v>
      </c>
      <c r="M255" s="13"/>
      <c r="N255" s="14">
        <v>0</v>
      </c>
      <c r="O255" s="13"/>
      <c r="P255" s="14">
        <v>0</v>
      </c>
      <c r="Q255" s="13"/>
      <c r="R255" s="14">
        <f t="shared" si="12"/>
        <v>-39691.319999999949</v>
      </c>
    </row>
    <row r="256" spans="1:18" outlineLevel="1" x14ac:dyDescent="0.2">
      <c r="A256" s="3" t="s">
        <v>3665</v>
      </c>
      <c r="B256" s="14">
        <v>-713560.87000000011</v>
      </c>
      <c r="C256" s="13"/>
      <c r="D256" s="14">
        <v>-10919.28</v>
      </c>
      <c r="E256" s="13"/>
      <c r="F256" s="14">
        <v>0</v>
      </c>
      <c r="G256" s="13"/>
      <c r="H256" s="14">
        <v>0</v>
      </c>
      <c r="I256" s="13"/>
      <c r="J256" s="14">
        <v>0</v>
      </c>
      <c r="K256" s="13"/>
      <c r="L256" s="14">
        <v>0</v>
      </c>
      <c r="M256" s="13"/>
      <c r="N256" s="14">
        <v>0</v>
      </c>
      <c r="O256" s="13"/>
      <c r="P256" s="14">
        <v>0</v>
      </c>
      <c r="Q256" s="13"/>
      <c r="R256" s="14">
        <f t="shared" si="12"/>
        <v>-724480.15000000014</v>
      </c>
    </row>
    <row r="257" spans="1:20" outlineLevel="1" x14ac:dyDescent="0.2">
      <c r="A257" s="43" t="s">
        <v>3666</v>
      </c>
      <c r="B257" s="14">
        <v>-3082793.34</v>
      </c>
      <c r="C257" s="13"/>
      <c r="D257" s="14">
        <v>-71122.559999999998</v>
      </c>
      <c r="E257" s="13"/>
      <c r="F257" s="14">
        <v>0</v>
      </c>
      <c r="G257" s="13"/>
      <c r="H257" s="14">
        <v>0</v>
      </c>
      <c r="I257" s="13"/>
      <c r="J257" s="14">
        <v>0</v>
      </c>
      <c r="K257" s="13"/>
      <c r="L257" s="14">
        <v>0</v>
      </c>
      <c r="M257" s="13"/>
      <c r="N257" s="14">
        <v>0</v>
      </c>
      <c r="O257" s="13"/>
      <c r="P257" s="14">
        <v>0</v>
      </c>
      <c r="Q257" s="13"/>
      <c r="R257" s="14">
        <f t="shared" si="12"/>
        <v>-3153915.9</v>
      </c>
    </row>
    <row r="258" spans="1:20" outlineLevel="1" x14ac:dyDescent="0.2">
      <c r="A258" s="3" t="s">
        <v>3667</v>
      </c>
      <c r="B258" s="14">
        <v>-25570064.380000003</v>
      </c>
      <c r="C258" s="13"/>
      <c r="D258" s="14">
        <v>-1753903.4</v>
      </c>
      <c r="E258" s="13"/>
      <c r="F258" s="14">
        <v>6812.87</v>
      </c>
      <c r="G258" s="13"/>
      <c r="H258" s="14">
        <v>1205378.3600000001</v>
      </c>
      <c r="I258" s="13"/>
      <c r="J258" s="14">
        <v>0</v>
      </c>
      <c r="K258" s="13"/>
      <c r="L258" s="14">
        <v>2439.44</v>
      </c>
      <c r="M258" s="13"/>
      <c r="N258" s="14">
        <v>0</v>
      </c>
      <c r="O258" s="13"/>
      <c r="P258" s="14">
        <v>-599.4</v>
      </c>
      <c r="Q258" s="13"/>
      <c r="R258" s="14">
        <f t="shared" si="12"/>
        <v>-26109936.509999998</v>
      </c>
      <c r="T258" s="13"/>
    </row>
    <row r="259" spans="1:20" outlineLevel="1" x14ac:dyDescent="0.2">
      <c r="A259" s="3" t="s">
        <v>3668</v>
      </c>
      <c r="B259" s="14">
        <v>0</v>
      </c>
      <c r="C259" s="13"/>
      <c r="D259" s="14">
        <v>0</v>
      </c>
      <c r="E259" s="13"/>
      <c r="F259" s="14">
        <v>0</v>
      </c>
      <c r="G259" s="13"/>
      <c r="H259" s="14">
        <v>0</v>
      </c>
      <c r="I259" s="13"/>
      <c r="J259" s="14">
        <v>0</v>
      </c>
      <c r="K259" s="13"/>
      <c r="L259" s="14">
        <v>0</v>
      </c>
      <c r="M259" s="13"/>
      <c r="N259" s="14">
        <v>0</v>
      </c>
      <c r="O259" s="13"/>
      <c r="P259" s="14">
        <v>0</v>
      </c>
      <c r="Q259" s="13"/>
      <c r="R259" s="14">
        <f t="shared" si="12"/>
        <v>0</v>
      </c>
      <c r="T259" s="13"/>
    </row>
    <row r="260" spans="1:20" outlineLevel="1" x14ac:dyDescent="0.2">
      <c r="A260" s="73" t="s">
        <v>3669</v>
      </c>
      <c r="B260" s="14">
        <v>-23154.03</v>
      </c>
      <c r="C260" s="13"/>
      <c r="D260" s="14">
        <v>-8530.7999999999993</v>
      </c>
      <c r="E260" s="13"/>
      <c r="F260" s="14">
        <v>0</v>
      </c>
      <c r="G260" s="13"/>
      <c r="H260" s="14">
        <v>0</v>
      </c>
      <c r="I260" s="13"/>
      <c r="J260" s="14">
        <v>0</v>
      </c>
      <c r="K260" s="13"/>
      <c r="L260" s="14">
        <v>0</v>
      </c>
      <c r="M260" s="13"/>
      <c r="N260" s="14">
        <v>0</v>
      </c>
      <c r="O260" s="13"/>
      <c r="P260" s="14">
        <v>0</v>
      </c>
      <c r="Q260" s="13"/>
      <c r="R260" s="14">
        <f t="shared" si="12"/>
        <v>-31684.829999999998</v>
      </c>
      <c r="T260" s="13"/>
    </row>
    <row r="261" spans="1:20" outlineLevel="1" x14ac:dyDescent="0.2">
      <c r="A261" s="3" t="s">
        <v>3670</v>
      </c>
      <c r="B261" s="14">
        <v>-554284.6</v>
      </c>
      <c r="C261" s="13"/>
      <c r="D261" s="14">
        <v>0</v>
      </c>
      <c r="E261" s="13"/>
      <c r="F261" s="14">
        <v>0</v>
      </c>
      <c r="G261" s="13"/>
      <c r="H261" s="14">
        <v>0</v>
      </c>
      <c r="I261" s="13"/>
      <c r="J261" s="14">
        <v>0</v>
      </c>
      <c r="K261" s="13"/>
      <c r="L261" s="14">
        <v>0</v>
      </c>
      <c r="M261" s="13"/>
      <c r="N261" s="14">
        <v>0</v>
      </c>
      <c r="O261" s="13"/>
      <c r="P261" s="14">
        <v>0</v>
      </c>
      <c r="Q261" s="13"/>
      <c r="R261" s="14">
        <f t="shared" si="12"/>
        <v>-554284.6</v>
      </c>
    </row>
    <row r="262" spans="1:20" outlineLevel="1" x14ac:dyDescent="0.2">
      <c r="A262" s="3" t="s">
        <v>3671</v>
      </c>
      <c r="B262" s="14">
        <v>-1365937.5799999989</v>
      </c>
      <c r="C262" s="13"/>
      <c r="D262" s="14">
        <v>0</v>
      </c>
      <c r="E262" s="13"/>
      <c r="F262" s="14">
        <v>61718.59</v>
      </c>
      <c r="G262" s="13"/>
      <c r="H262" s="14">
        <v>0</v>
      </c>
      <c r="I262" s="13"/>
      <c r="J262" s="14">
        <v>0</v>
      </c>
      <c r="K262" s="13"/>
      <c r="L262" s="14">
        <v>0</v>
      </c>
      <c r="M262" s="13"/>
      <c r="N262" s="14">
        <v>0</v>
      </c>
      <c r="O262" s="13"/>
      <c r="P262" s="14">
        <v>0</v>
      </c>
      <c r="Q262" s="13"/>
      <c r="R262" s="14">
        <f t="shared" si="12"/>
        <v>-1304218.9899999988</v>
      </c>
    </row>
    <row r="263" spans="1:20" x14ac:dyDescent="0.2">
      <c r="A263" s="3" t="s">
        <v>3672</v>
      </c>
      <c r="B263" s="14">
        <f>SUM(B229:B262)</f>
        <v>-172261907.80000004</v>
      </c>
      <c r="C263" s="13"/>
      <c r="D263" s="14">
        <f>SUM(D229:D262)</f>
        <v>-6283649.2599999988</v>
      </c>
      <c r="E263" s="13"/>
      <c r="F263" s="14">
        <f>SUM(F229:F262)</f>
        <v>917939.3899999999</v>
      </c>
      <c r="G263" s="13"/>
      <c r="H263" s="14">
        <f>SUM(H229:H262)</f>
        <v>1536601.12</v>
      </c>
      <c r="I263" s="13"/>
      <c r="J263" s="14">
        <f>SUM(J229:J262)</f>
        <v>0</v>
      </c>
      <c r="K263" s="13"/>
      <c r="L263" s="14">
        <f>SUM(L229:L262)</f>
        <v>350960.85</v>
      </c>
      <c r="M263" s="13"/>
      <c r="N263" s="14">
        <f>SUM(N229:N262)</f>
        <v>-708.09</v>
      </c>
      <c r="O263" s="13"/>
      <c r="P263" s="14">
        <f>SUM(P229:P262)</f>
        <v>-599.4</v>
      </c>
      <c r="Q263" s="13"/>
      <c r="R263" s="14">
        <f>SUM(R229:R262)</f>
        <v>-175741363.19</v>
      </c>
    </row>
    <row r="264" spans="1:20" outlineLevel="1" x14ac:dyDescent="0.2">
      <c r="A264" s="3" t="s">
        <v>3673</v>
      </c>
      <c r="B264" s="14">
        <v>0</v>
      </c>
      <c r="C264" s="13"/>
      <c r="D264" s="14">
        <v>0</v>
      </c>
      <c r="E264" s="13"/>
      <c r="F264" s="14">
        <v>0</v>
      </c>
      <c r="G264" s="13"/>
      <c r="H264" s="14">
        <v>0</v>
      </c>
      <c r="I264" s="13"/>
      <c r="J264" s="14">
        <v>0</v>
      </c>
      <c r="K264" s="13"/>
      <c r="L264" s="14">
        <v>0</v>
      </c>
      <c r="M264" s="13"/>
      <c r="N264" s="14">
        <v>0</v>
      </c>
      <c r="O264" s="13"/>
      <c r="P264" s="14">
        <v>0</v>
      </c>
      <c r="Q264" s="13"/>
      <c r="R264" s="14">
        <f t="shared" ref="R264:R271" si="13">SUM(B264:P264)</f>
        <v>0</v>
      </c>
    </row>
    <row r="265" spans="1:20" outlineLevel="1" x14ac:dyDescent="0.2">
      <c r="A265" s="3" t="s">
        <v>3674</v>
      </c>
      <c r="B265" s="14">
        <v>0</v>
      </c>
      <c r="C265" s="13"/>
      <c r="D265" s="14">
        <v>0</v>
      </c>
      <c r="E265" s="13"/>
      <c r="F265" s="14">
        <v>0</v>
      </c>
      <c r="G265" s="13"/>
      <c r="H265" s="14">
        <v>0</v>
      </c>
      <c r="I265" s="13"/>
      <c r="J265" s="14">
        <v>0</v>
      </c>
      <c r="K265" s="13"/>
      <c r="L265" s="14">
        <v>0</v>
      </c>
      <c r="M265" s="13"/>
      <c r="N265" s="14">
        <v>0</v>
      </c>
      <c r="O265" s="13"/>
      <c r="P265" s="14">
        <v>0</v>
      </c>
      <c r="Q265" s="13"/>
      <c r="R265" s="14">
        <f>SUM(B265:P265)</f>
        <v>0</v>
      </c>
    </row>
    <row r="266" spans="1:20" outlineLevel="1" x14ac:dyDescent="0.2">
      <c r="A266" s="3" t="s">
        <v>3675</v>
      </c>
      <c r="B266" s="14">
        <v>0</v>
      </c>
      <c r="C266" s="13"/>
      <c r="D266" s="14">
        <v>0</v>
      </c>
      <c r="E266" s="13"/>
      <c r="F266" s="14">
        <v>0</v>
      </c>
      <c r="G266" s="13"/>
      <c r="H266" s="14">
        <v>0</v>
      </c>
      <c r="I266" s="13"/>
      <c r="J266" s="14">
        <v>0</v>
      </c>
      <c r="K266" s="13"/>
      <c r="L266" s="14">
        <v>0</v>
      </c>
      <c r="M266" s="13"/>
      <c r="N266" s="14">
        <v>0</v>
      </c>
      <c r="O266" s="13"/>
      <c r="P266" s="14">
        <v>0</v>
      </c>
      <c r="Q266" s="13"/>
      <c r="R266" s="14">
        <f t="shared" si="13"/>
        <v>0</v>
      </c>
    </row>
    <row r="267" spans="1:20" outlineLevel="1" x14ac:dyDescent="0.2">
      <c r="A267" s="3" t="s">
        <v>3676</v>
      </c>
      <c r="B267" s="14">
        <v>0</v>
      </c>
      <c r="C267" s="13"/>
      <c r="D267" s="14">
        <v>0</v>
      </c>
      <c r="E267" s="13"/>
      <c r="F267" s="14">
        <v>0</v>
      </c>
      <c r="G267" s="13"/>
      <c r="H267" s="14">
        <v>0</v>
      </c>
      <c r="I267" s="13"/>
      <c r="J267" s="14">
        <v>0</v>
      </c>
      <c r="K267" s="13"/>
      <c r="L267" s="14">
        <v>0</v>
      </c>
      <c r="M267" s="13"/>
      <c r="N267" s="14">
        <v>0</v>
      </c>
      <c r="O267" s="13"/>
      <c r="P267" s="14">
        <v>0</v>
      </c>
      <c r="Q267" s="13"/>
      <c r="R267" s="14">
        <f t="shared" si="13"/>
        <v>0</v>
      </c>
    </row>
    <row r="268" spans="1:20" outlineLevel="1" x14ac:dyDescent="0.2">
      <c r="A268" s="3" t="s">
        <v>3677</v>
      </c>
      <c r="B268" s="14">
        <v>0</v>
      </c>
      <c r="C268" s="13"/>
      <c r="D268" s="14">
        <v>0</v>
      </c>
      <c r="E268" s="13"/>
      <c r="F268" s="14">
        <v>0</v>
      </c>
      <c r="G268" s="13"/>
      <c r="H268" s="14">
        <v>0</v>
      </c>
      <c r="I268" s="13"/>
      <c r="J268" s="14">
        <v>0</v>
      </c>
      <c r="K268" s="13"/>
      <c r="L268" s="14">
        <v>0</v>
      </c>
      <c r="M268" s="13"/>
      <c r="N268" s="14">
        <v>0</v>
      </c>
      <c r="O268" s="13"/>
      <c r="P268" s="14">
        <v>0</v>
      </c>
      <c r="Q268" s="13"/>
      <c r="R268" s="14">
        <f t="shared" si="13"/>
        <v>0</v>
      </c>
    </row>
    <row r="269" spans="1:20" outlineLevel="1" x14ac:dyDescent="0.2">
      <c r="A269" s="3" t="s">
        <v>3678</v>
      </c>
      <c r="B269" s="14">
        <v>0</v>
      </c>
      <c r="C269" s="13"/>
      <c r="D269" s="14">
        <v>0</v>
      </c>
      <c r="E269" s="13"/>
      <c r="F269" s="14">
        <v>0</v>
      </c>
      <c r="G269" s="13"/>
      <c r="H269" s="14">
        <v>0</v>
      </c>
      <c r="I269" s="13"/>
      <c r="J269" s="14">
        <v>0</v>
      </c>
      <c r="K269" s="13"/>
      <c r="L269" s="14">
        <v>0</v>
      </c>
      <c r="M269" s="13"/>
      <c r="N269" s="14">
        <v>0</v>
      </c>
      <c r="O269" s="13"/>
      <c r="P269" s="14">
        <v>0</v>
      </c>
      <c r="Q269" s="13"/>
      <c r="R269" s="14">
        <f t="shared" si="13"/>
        <v>0</v>
      </c>
    </row>
    <row r="270" spans="1:20" outlineLevel="1" x14ac:dyDescent="0.2">
      <c r="A270" s="73" t="s">
        <v>3679</v>
      </c>
      <c r="B270" s="14">
        <v>0</v>
      </c>
      <c r="C270" s="13"/>
      <c r="D270" s="14">
        <v>0</v>
      </c>
      <c r="E270" s="13"/>
      <c r="F270" s="14">
        <v>0</v>
      </c>
      <c r="G270" s="13"/>
      <c r="H270" s="14">
        <v>0</v>
      </c>
      <c r="I270" s="13"/>
      <c r="J270" s="14">
        <v>0</v>
      </c>
      <c r="K270" s="13"/>
      <c r="L270" s="14">
        <v>0</v>
      </c>
      <c r="M270" s="13"/>
      <c r="N270" s="14">
        <v>0</v>
      </c>
      <c r="O270" s="13"/>
      <c r="P270" s="14">
        <v>0</v>
      </c>
      <c r="Q270" s="13"/>
      <c r="R270" s="14">
        <f t="shared" si="13"/>
        <v>0</v>
      </c>
    </row>
    <row r="271" spans="1:20" outlineLevel="1" x14ac:dyDescent="0.2">
      <c r="A271" s="3" t="s">
        <v>3680</v>
      </c>
      <c r="B271" s="14">
        <v>0</v>
      </c>
      <c r="C271" s="13"/>
      <c r="D271" s="14">
        <v>0</v>
      </c>
      <c r="E271" s="13"/>
      <c r="F271" s="14">
        <v>0</v>
      </c>
      <c r="G271" s="13"/>
      <c r="H271" s="14">
        <v>0</v>
      </c>
      <c r="I271" s="13"/>
      <c r="J271" s="14">
        <v>0</v>
      </c>
      <c r="K271" s="13"/>
      <c r="L271" s="14">
        <v>0</v>
      </c>
      <c r="M271" s="13"/>
      <c r="N271" s="14">
        <v>0</v>
      </c>
      <c r="O271" s="13"/>
      <c r="P271" s="14">
        <v>0</v>
      </c>
      <c r="Q271" s="13"/>
      <c r="R271" s="14">
        <f t="shared" si="13"/>
        <v>0</v>
      </c>
    </row>
    <row r="272" spans="1:20" x14ac:dyDescent="0.2">
      <c r="A272" s="3" t="s">
        <v>3681</v>
      </c>
      <c r="B272" s="14">
        <f>SUM(B264:B271)</f>
        <v>0</v>
      </c>
      <c r="C272" s="13"/>
      <c r="D272" s="14">
        <f>SUM(D264:D271)</f>
        <v>0</v>
      </c>
      <c r="E272" s="13"/>
      <c r="F272" s="14">
        <f>SUM(F264:F271)</f>
        <v>0</v>
      </c>
      <c r="G272" s="13"/>
      <c r="H272" s="14">
        <f>SUM(H264:H271)</f>
        <v>0</v>
      </c>
      <c r="I272" s="13"/>
      <c r="J272" s="14">
        <f>SUM(J264:J271)</f>
        <v>0</v>
      </c>
      <c r="K272" s="13"/>
      <c r="L272" s="14">
        <f>SUM(L264:L271)</f>
        <v>0</v>
      </c>
      <c r="M272" s="13"/>
      <c r="N272" s="14">
        <f>SUM(N264:N271)</f>
        <v>0</v>
      </c>
      <c r="O272" s="13"/>
      <c r="P272" s="14">
        <f>SUM(P264:P271)</f>
        <v>0</v>
      </c>
      <c r="Q272" s="13"/>
      <c r="R272" s="14">
        <f>SUM(R264:R271)</f>
        <v>0</v>
      </c>
    </row>
    <row r="273" spans="1:18" outlineLevel="1" x14ac:dyDescent="0.2">
      <c r="A273" s="3" t="s">
        <v>3682</v>
      </c>
      <c r="B273" s="14">
        <v>-30583487.380000003</v>
      </c>
      <c r="C273" s="13"/>
      <c r="D273" s="14">
        <v>-1348008.24</v>
      </c>
      <c r="E273" s="13"/>
      <c r="F273" s="14">
        <v>-357575.39</v>
      </c>
      <c r="G273" s="14"/>
      <c r="H273" s="14">
        <v>0</v>
      </c>
      <c r="I273" s="14">
        <v>0</v>
      </c>
      <c r="J273" s="14">
        <v>0</v>
      </c>
      <c r="K273" s="14">
        <v>0</v>
      </c>
      <c r="L273" s="14">
        <v>19685.150000000001</v>
      </c>
      <c r="M273" s="13"/>
      <c r="N273" s="14">
        <v>0</v>
      </c>
      <c r="O273" s="13"/>
      <c r="P273" s="14">
        <v>0</v>
      </c>
      <c r="Q273" s="13"/>
      <c r="R273" s="14">
        <f t="shared" ref="R273:R323" si="14">SUM(B273:P273)</f>
        <v>-32269385.860000003</v>
      </c>
    </row>
    <row r="274" spans="1:18" outlineLevel="1" x14ac:dyDescent="0.2">
      <c r="A274" s="3" t="s">
        <v>3683</v>
      </c>
      <c r="B274" s="14">
        <v>0</v>
      </c>
      <c r="C274" s="13"/>
      <c r="D274" s="14">
        <v>0</v>
      </c>
      <c r="E274" s="13"/>
      <c r="F274" s="14">
        <v>0</v>
      </c>
      <c r="G274" s="14"/>
      <c r="H274" s="14">
        <v>0</v>
      </c>
      <c r="I274" s="14">
        <v>0</v>
      </c>
      <c r="J274" s="14">
        <v>0</v>
      </c>
      <c r="K274" s="14">
        <v>0</v>
      </c>
      <c r="L274" s="14">
        <v>0</v>
      </c>
      <c r="M274" s="14"/>
      <c r="N274" s="14">
        <v>0</v>
      </c>
      <c r="O274" s="14"/>
      <c r="P274" s="14">
        <v>0</v>
      </c>
      <c r="Q274" s="13"/>
      <c r="R274" s="14">
        <f t="shared" si="14"/>
        <v>0</v>
      </c>
    </row>
    <row r="275" spans="1:18" outlineLevel="1" x14ac:dyDescent="0.2">
      <c r="A275" s="3" t="s">
        <v>3684</v>
      </c>
      <c r="B275" s="14">
        <v>-19194056.259999998</v>
      </c>
      <c r="C275" s="13"/>
      <c r="D275" s="14">
        <v>-1206495.67</v>
      </c>
      <c r="E275" s="13"/>
      <c r="F275" s="14">
        <v>336729.35</v>
      </c>
      <c r="G275" s="14"/>
      <c r="H275" s="14">
        <v>0</v>
      </c>
      <c r="I275" s="14">
        <v>0</v>
      </c>
      <c r="J275" s="14">
        <v>0</v>
      </c>
      <c r="K275" s="14">
        <v>0</v>
      </c>
      <c r="L275" s="14">
        <v>47776.97</v>
      </c>
      <c r="M275" s="14"/>
      <c r="N275" s="14">
        <v>0</v>
      </c>
      <c r="O275" s="14"/>
      <c r="P275" s="14">
        <v>0</v>
      </c>
      <c r="Q275" s="13"/>
      <c r="R275" s="14">
        <f t="shared" si="14"/>
        <v>-20016045.609999999</v>
      </c>
    </row>
    <row r="276" spans="1:18" outlineLevel="1" x14ac:dyDescent="0.2">
      <c r="A276" s="3" t="s">
        <v>3685</v>
      </c>
      <c r="B276" s="14">
        <v>0</v>
      </c>
      <c r="C276" s="13"/>
      <c r="D276" s="14">
        <v>0</v>
      </c>
      <c r="E276" s="13"/>
      <c r="F276" s="14">
        <v>0</v>
      </c>
      <c r="G276" s="14"/>
      <c r="H276" s="14">
        <v>0</v>
      </c>
      <c r="I276" s="14">
        <v>0</v>
      </c>
      <c r="J276" s="14">
        <v>0</v>
      </c>
      <c r="K276" s="14">
        <v>0</v>
      </c>
      <c r="L276" s="14">
        <v>0</v>
      </c>
      <c r="M276" s="14"/>
      <c r="N276" s="14">
        <v>0</v>
      </c>
      <c r="O276" s="14"/>
      <c r="P276" s="14">
        <v>0</v>
      </c>
      <c r="Q276" s="13"/>
      <c r="R276" s="14">
        <f t="shared" si="14"/>
        <v>0</v>
      </c>
    </row>
    <row r="277" spans="1:18" outlineLevel="1" x14ac:dyDescent="0.2">
      <c r="A277" s="3" t="s">
        <v>3686</v>
      </c>
      <c r="B277" s="14">
        <v>0</v>
      </c>
      <c r="C277" s="13"/>
      <c r="D277" s="14">
        <v>0</v>
      </c>
      <c r="E277" s="13"/>
      <c r="F277" s="14">
        <v>0</v>
      </c>
      <c r="G277" s="14"/>
      <c r="H277" s="14">
        <v>0</v>
      </c>
      <c r="I277" s="14">
        <v>0</v>
      </c>
      <c r="J277" s="14">
        <v>0</v>
      </c>
      <c r="K277" s="14">
        <v>0</v>
      </c>
      <c r="L277" s="14">
        <v>0</v>
      </c>
      <c r="M277" s="14"/>
      <c r="N277" s="14">
        <v>0</v>
      </c>
      <c r="O277" s="14"/>
      <c r="P277" s="14">
        <v>0</v>
      </c>
      <c r="Q277" s="13"/>
      <c r="R277" s="14">
        <f t="shared" si="14"/>
        <v>0</v>
      </c>
    </row>
    <row r="278" spans="1:18" outlineLevel="1" x14ac:dyDescent="0.2">
      <c r="A278" s="3" t="s">
        <v>3687</v>
      </c>
      <c r="B278" s="14">
        <v>-72723446.830000013</v>
      </c>
      <c r="C278" s="13"/>
      <c r="D278" s="14">
        <v>-3498545.2</v>
      </c>
      <c r="E278" s="13"/>
      <c r="F278" s="14">
        <v>1434525.89</v>
      </c>
      <c r="G278" s="14"/>
      <c r="H278" s="14">
        <v>-892101.64</v>
      </c>
      <c r="I278" s="14">
        <v>0</v>
      </c>
      <c r="J278" s="14">
        <v>0</v>
      </c>
      <c r="K278" s="14">
        <v>0</v>
      </c>
      <c r="L278" s="14">
        <v>711859.55</v>
      </c>
      <c r="M278" s="14"/>
      <c r="N278" s="14">
        <v>0</v>
      </c>
      <c r="O278" s="14"/>
      <c r="P278" s="14">
        <v>0</v>
      </c>
      <c r="Q278" s="13"/>
      <c r="R278" s="14">
        <f t="shared" si="14"/>
        <v>-74967708.230000019</v>
      </c>
    </row>
    <row r="279" spans="1:18" outlineLevel="1" x14ac:dyDescent="0.2">
      <c r="A279" s="3" t="s">
        <v>3688</v>
      </c>
      <c r="B279" s="14">
        <v>0</v>
      </c>
      <c r="C279" s="13"/>
      <c r="D279" s="14">
        <v>0</v>
      </c>
      <c r="E279" s="13"/>
      <c r="F279" s="14">
        <v>0</v>
      </c>
      <c r="G279" s="14"/>
      <c r="H279" s="14">
        <v>0</v>
      </c>
      <c r="I279" s="14">
        <v>0</v>
      </c>
      <c r="J279" s="14">
        <v>0</v>
      </c>
      <c r="K279" s="14">
        <v>0</v>
      </c>
      <c r="L279" s="14">
        <v>0</v>
      </c>
      <c r="M279" s="14"/>
      <c r="N279" s="14">
        <v>0</v>
      </c>
      <c r="O279" s="14"/>
      <c r="P279" s="14">
        <v>0</v>
      </c>
      <c r="Q279" s="13"/>
      <c r="R279" s="14">
        <f t="shared" si="14"/>
        <v>0</v>
      </c>
    </row>
    <row r="280" spans="1:18" outlineLevel="1" x14ac:dyDescent="0.2">
      <c r="A280" s="3" t="s">
        <v>3689</v>
      </c>
      <c r="B280" s="14">
        <v>0</v>
      </c>
      <c r="C280" s="13"/>
      <c r="D280" s="14">
        <v>0</v>
      </c>
      <c r="E280" s="13"/>
      <c r="F280" s="14">
        <v>0</v>
      </c>
      <c r="G280" s="14"/>
      <c r="H280" s="14">
        <v>0</v>
      </c>
      <c r="I280" s="14">
        <v>0</v>
      </c>
      <c r="J280" s="14">
        <v>0</v>
      </c>
      <c r="K280" s="14">
        <v>0</v>
      </c>
      <c r="L280" s="14">
        <v>0</v>
      </c>
      <c r="M280" s="14"/>
      <c r="N280" s="14">
        <v>0</v>
      </c>
      <c r="O280" s="14"/>
      <c r="P280" s="14">
        <v>0</v>
      </c>
      <c r="Q280" s="13"/>
      <c r="R280" s="14">
        <f t="shared" si="14"/>
        <v>0</v>
      </c>
    </row>
    <row r="281" spans="1:18" outlineLevel="1" x14ac:dyDescent="0.2">
      <c r="A281" s="3" t="s">
        <v>3690</v>
      </c>
      <c r="B281" s="14">
        <v>-7258198.9800000004</v>
      </c>
      <c r="C281" s="13"/>
      <c r="D281" s="14">
        <v>-2784551.06</v>
      </c>
      <c r="E281" s="13"/>
      <c r="F281" s="14">
        <v>25630.07</v>
      </c>
      <c r="G281" s="14"/>
      <c r="H281" s="14">
        <v>0</v>
      </c>
      <c r="I281" s="14">
        <v>0</v>
      </c>
      <c r="J281" s="14">
        <v>0</v>
      </c>
      <c r="K281" s="14">
        <v>0</v>
      </c>
      <c r="L281" s="14">
        <v>0</v>
      </c>
      <c r="M281" s="14"/>
      <c r="N281" s="14">
        <v>0</v>
      </c>
      <c r="O281" s="14"/>
      <c r="P281" s="14">
        <v>0</v>
      </c>
      <c r="Q281" s="13"/>
      <c r="R281" s="14">
        <f>SUM(B281:P281)</f>
        <v>-10017119.970000001</v>
      </c>
    </row>
    <row r="282" spans="1:18" outlineLevel="1" x14ac:dyDescent="0.2">
      <c r="A282" s="43" t="s">
        <v>3691</v>
      </c>
      <c r="B282" s="14">
        <v>-85802.880000000005</v>
      </c>
      <c r="C282" s="13"/>
      <c r="D282" s="14">
        <v>-2786114.53</v>
      </c>
      <c r="E282" s="13"/>
      <c r="F282" s="14">
        <v>0</v>
      </c>
      <c r="G282" s="14"/>
      <c r="H282" s="14">
        <v>0</v>
      </c>
      <c r="I282" s="14">
        <v>0</v>
      </c>
      <c r="J282" s="14">
        <v>0</v>
      </c>
      <c r="K282" s="14">
        <v>0</v>
      </c>
      <c r="L282" s="14">
        <v>0</v>
      </c>
      <c r="M282" s="14"/>
      <c r="N282" s="14">
        <v>0</v>
      </c>
      <c r="O282" s="14"/>
      <c r="P282" s="14">
        <v>0</v>
      </c>
      <c r="Q282" s="13"/>
      <c r="R282" s="14">
        <f>SUM(B282:P282)</f>
        <v>-2871917.4099999997</v>
      </c>
    </row>
    <row r="283" spans="1:18" outlineLevel="1" x14ac:dyDescent="0.2">
      <c r="A283" s="3" t="s">
        <v>3692</v>
      </c>
      <c r="B283" s="14">
        <v>-77676979.879999995</v>
      </c>
      <c r="C283" s="13"/>
      <c r="D283" s="14">
        <v>-14291294.390000001</v>
      </c>
      <c r="E283" s="13"/>
      <c r="F283" s="14">
        <v>825533.85</v>
      </c>
      <c r="G283" s="14"/>
      <c r="H283" s="14">
        <v>0</v>
      </c>
      <c r="I283" s="14">
        <v>0</v>
      </c>
      <c r="J283" s="14">
        <v>0</v>
      </c>
      <c r="K283" s="14">
        <v>0</v>
      </c>
      <c r="L283" s="14">
        <v>150152.17000000001</v>
      </c>
      <c r="M283" s="14"/>
      <c r="N283" s="14">
        <v>0</v>
      </c>
      <c r="O283" s="14"/>
      <c r="P283" s="14">
        <v>0</v>
      </c>
      <c r="Q283" s="13"/>
      <c r="R283" s="14">
        <f t="shared" si="14"/>
        <v>-90992588.25</v>
      </c>
    </row>
    <row r="284" spans="1:18" outlineLevel="1" x14ac:dyDescent="0.2">
      <c r="A284" s="3" t="s">
        <v>3693</v>
      </c>
      <c r="B284" s="14">
        <v>0</v>
      </c>
      <c r="C284" s="13"/>
      <c r="D284" s="14">
        <v>0</v>
      </c>
      <c r="E284" s="13"/>
      <c r="F284" s="14">
        <v>0</v>
      </c>
      <c r="G284" s="14"/>
      <c r="H284" s="14">
        <v>0</v>
      </c>
      <c r="I284" s="14">
        <v>0</v>
      </c>
      <c r="J284" s="14">
        <v>0</v>
      </c>
      <c r="K284" s="14">
        <v>0</v>
      </c>
      <c r="L284" s="14">
        <v>0</v>
      </c>
      <c r="M284" s="14"/>
      <c r="N284" s="14">
        <v>0</v>
      </c>
      <c r="O284" s="14"/>
      <c r="P284" s="14">
        <v>0</v>
      </c>
      <c r="Q284" s="13"/>
      <c r="R284" s="14">
        <f t="shared" si="14"/>
        <v>0</v>
      </c>
    </row>
    <row r="285" spans="1:18" outlineLevel="1" x14ac:dyDescent="0.2">
      <c r="A285" s="3" t="s">
        <v>3694</v>
      </c>
      <c r="B285" s="14">
        <v>-94932327.159999996</v>
      </c>
      <c r="C285" s="13"/>
      <c r="D285" s="14">
        <v>-4983648.55</v>
      </c>
      <c r="E285" s="13"/>
      <c r="F285" s="14">
        <v>2117026.06</v>
      </c>
      <c r="G285" s="14"/>
      <c r="H285" s="14">
        <v>-296619.25</v>
      </c>
      <c r="I285" s="14">
        <v>0</v>
      </c>
      <c r="J285" s="14">
        <v>0</v>
      </c>
      <c r="K285" s="14">
        <v>0</v>
      </c>
      <c r="L285" s="14">
        <v>1054370.1599999999</v>
      </c>
      <c r="M285" s="14"/>
      <c r="N285" s="14">
        <v>-55678.7</v>
      </c>
      <c r="O285" s="14"/>
      <c r="P285" s="14">
        <v>0</v>
      </c>
      <c r="Q285" s="13"/>
      <c r="R285" s="14">
        <f t="shared" si="14"/>
        <v>-97096877.439999998</v>
      </c>
    </row>
    <row r="286" spans="1:18" outlineLevel="1" x14ac:dyDescent="0.2">
      <c r="A286" s="3" t="s">
        <v>3695</v>
      </c>
      <c r="B286" s="14">
        <v>0</v>
      </c>
      <c r="C286" s="13"/>
      <c r="D286" s="14">
        <v>0</v>
      </c>
      <c r="E286" s="13"/>
      <c r="F286" s="14">
        <v>0</v>
      </c>
      <c r="G286" s="14"/>
      <c r="H286" s="14">
        <v>0</v>
      </c>
      <c r="I286" s="14">
        <v>0</v>
      </c>
      <c r="J286" s="14">
        <v>0</v>
      </c>
      <c r="K286" s="14">
        <v>0</v>
      </c>
      <c r="L286" s="14">
        <v>0</v>
      </c>
      <c r="M286" s="14"/>
      <c r="N286" s="14">
        <v>0</v>
      </c>
      <c r="O286" s="14"/>
      <c r="P286" s="14">
        <v>0</v>
      </c>
      <c r="Q286" s="13"/>
      <c r="R286" s="14">
        <f t="shared" si="14"/>
        <v>0</v>
      </c>
    </row>
    <row r="287" spans="1:18" outlineLevel="1" x14ac:dyDescent="0.2">
      <c r="A287" s="3" t="s">
        <v>3696</v>
      </c>
      <c r="B287" s="14">
        <v>0</v>
      </c>
      <c r="C287" s="13"/>
      <c r="D287" s="14">
        <v>0</v>
      </c>
      <c r="E287" s="13"/>
      <c r="F287" s="14">
        <v>0</v>
      </c>
      <c r="G287" s="14"/>
      <c r="H287" s="14">
        <v>0</v>
      </c>
      <c r="I287" s="14">
        <v>0</v>
      </c>
      <c r="J287" s="14">
        <v>0</v>
      </c>
      <c r="K287" s="14">
        <v>0</v>
      </c>
      <c r="L287" s="14">
        <v>0</v>
      </c>
      <c r="M287" s="14"/>
      <c r="N287" s="14">
        <v>0</v>
      </c>
      <c r="O287" s="14"/>
      <c r="P287" s="14">
        <v>0</v>
      </c>
      <c r="Q287" s="13"/>
      <c r="R287" s="14">
        <f t="shared" si="14"/>
        <v>0</v>
      </c>
    </row>
    <row r="288" spans="1:18" outlineLevel="1" x14ac:dyDescent="0.2">
      <c r="A288" s="3" t="s">
        <v>3697</v>
      </c>
      <c r="B288" s="14">
        <v>-2676760.5699999998</v>
      </c>
      <c r="C288" s="13"/>
      <c r="D288" s="14">
        <v>-4167258</v>
      </c>
      <c r="E288" s="13"/>
      <c r="F288" s="14">
        <v>0</v>
      </c>
      <c r="G288" s="14"/>
      <c r="H288" s="14">
        <v>0</v>
      </c>
      <c r="I288" s="14">
        <v>0</v>
      </c>
      <c r="J288" s="14">
        <v>0</v>
      </c>
      <c r="K288" s="14">
        <v>0</v>
      </c>
      <c r="L288" s="14">
        <v>0</v>
      </c>
      <c r="M288" s="14"/>
      <c r="N288" s="14">
        <v>0</v>
      </c>
      <c r="O288" s="14"/>
      <c r="P288" s="14">
        <v>0</v>
      </c>
      <c r="Q288" s="13"/>
      <c r="R288" s="14">
        <f t="shared" si="14"/>
        <v>-6844018.5700000003</v>
      </c>
    </row>
    <row r="289" spans="1:18" outlineLevel="1" x14ac:dyDescent="0.2">
      <c r="A289" s="3" t="s">
        <v>3698</v>
      </c>
      <c r="B289" s="14">
        <v>-47058422.269999996</v>
      </c>
      <c r="C289" s="13"/>
      <c r="D289" s="14">
        <v>-5138770.4800000004</v>
      </c>
      <c r="E289" s="13"/>
      <c r="F289" s="14">
        <v>33094.230000000003</v>
      </c>
      <c r="G289" s="14"/>
      <c r="H289" s="14">
        <v>-35578.28</v>
      </c>
      <c r="I289" s="14">
        <v>0</v>
      </c>
      <c r="J289" s="14">
        <v>0</v>
      </c>
      <c r="K289" s="14">
        <v>0</v>
      </c>
      <c r="L289" s="14">
        <v>692.93</v>
      </c>
      <c r="M289" s="14"/>
      <c r="N289" s="14">
        <v>0</v>
      </c>
      <c r="O289" s="14"/>
      <c r="P289" s="14">
        <v>0</v>
      </c>
      <c r="Q289" s="13"/>
      <c r="R289" s="14">
        <f t="shared" si="14"/>
        <v>-52198983.870000005</v>
      </c>
    </row>
    <row r="290" spans="1:18" outlineLevel="1" x14ac:dyDescent="0.2">
      <c r="A290" s="3" t="s">
        <v>3699</v>
      </c>
      <c r="B290" s="14">
        <v>0</v>
      </c>
      <c r="C290" s="13"/>
      <c r="D290" s="14">
        <v>0</v>
      </c>
      <c r="E290" s="13"/>
      <c r="F290" s="14">
        <v>0</v>
      </c>
      <c r="G290" s="14"/>
      <c r="H290" s="14">
        <v>0</v>
      </c>
      <c r="I290" s="14">
        <v>0</v>
      </c>
      <c r="J290" s="14">
        <v>0</v>
      </c>
      <c r="K290" s="14">
        <v>0</v>
      </c>
      <c r="L290" s="14">
        <v>0</v>
      </c>
      <c r="M290" s="14"/>
      <c r="N290" s="14">
        <v>0</v>
      </c>
      <c r="O290" s="14"/>
      <c r="P290" s="14">
        <v>0</v>
      </c>
      <c r="Q290" s="13"/>
      <c r="R290" s="14">
        <f t="shared" si="14"/>
        <v>0</v>
      </c>
    </row>
    <row r="291" spans="1:18" outlineLevel="1" x14ac:dyDescent="0.2">
      <c r="A291" s="3" t="s">
        <v>3700</v>
      </c>
      <c r="B291" s="14">
        <v>-67291425.519999996</v>
      </c>
      <c r="C291" s="13"/>
      <c r="D291" s="14">
        <v>-1927158.02</v>
      </c>
      <c r="E291" s="13"/>
      <c r="F291" s="14">
        <v>875963.04</v>
      </c>
      <c r="G291" s="14"/>
      <c r="H291" s="14">
        <v>0</v>
      </c>
      <c r="I291" s="14">
        <v>0</v>
      </c>
      <c r="J291" s="14">
        <v>0</v>
      </c>
      <c r="K291" s="14">
        <v>0</v>
      </c>
      <c r="L291" s="14">
        <v>217923.03</v>
      </c>
      <c r="M291" s="14"/>
      <c r="N291" s="14">
        <v>0</v>
      </c>
      <c r="O291" s="14"/>
      <c r="P291" s="14">
        <v>0</v>
      </c>
      <c r="Q291" s="13"/>
      <c r="R291" s="14">
        <f t="shared" si="14"/>
        <v>-68124697.469999984</v>
      </c>
    </row>
    <row r="292" spans="1:18" outlineLevel="1" x14ac:dyDescent="0.2">
      <c r="A292" s="3" t="s">
        <v>3701</v>
      </c>
      <c r="B292" s="14">
        <v>0</v>
      </c>
      <c r="C292" s="13"/>
      <c r="D292" s="14">
        <v>0</v>
      </c>
      <c r="E292" s="13"/>
      <c r="F292" s="14">
        <v>0</v>
      </c>
      <c r="G292" s="14"/>
      <c r="H292" s="14">
        <v>0</v>
      </c>
      <c r="I292" s="14">
        <v>0</v>
      </c>
      <c r="J292" s="14">
        <v>0</v>
      </c>
      <c r="K292" s="14">
        <v>0</v>
      </c>
      <c r="L292" s="14">
        <v>0</v>
      </c>
      <c r="M292" s="14"/>
      <c r="N292" s="14">
        <v>0</v>
      </c>
      <c r="O292" s="14"/>
      <c r="P292" s="14">
        <v>0</v>
      </c>
      <c r="Q292" s="13"/>
      <c r="R292" s="14">
        <f t="shared" si="14"/>
        <v>0</v>
      </c>
    </row>
    <row r="293" spans="1:18" outlineLevel="1" x14ac:dyDescent="0.2">
      <c r="A293" s="3" t="s">
        <v>3702</v>
      </c>
      <c r="B293" s="14">
        <v>-412933.67000000004</v>
      </c>
      <c r="C293" s="13"/>
      <c r="D293" s="14">
        <v>-2055779.86</v>
      </c>
      <c r="E293" s="13"/>
      <c r="F293" s="14">
        <v>0</v>
      </c>
      <c r="G293" s="14"/>
      <c r="H293" s="14">
        <v>0</v>
      </c>
      <c r="I293" s="14">
        <v>0</v>
      </c>
      <c r="J293" s="14">
        <v>0</v>
      </c>
      <c r="K293" s="14">
        <v>0</v>
      </c>
      <c r="L293" s="14">
        <v>0</v>
      </c>
      <c r="M293" s="14"/>
      <c r="N293" s="14">
        <v>0</v>
      </c>
      <c r="O293" s="14"/>
      <c r="P293" s="14">
        <v>0</v>
      </c>
      <c r="Q293" s="13"/>
      <c r="R293" s="14">
        <f>SUM(B293:P293)</f>
        <v>-2468713.5300000003</v>
      </c>
    </row>
    <row r="294" spans="1:18" outlineLevel="1" x14ac:dyDescent="0.2">
      <c r="A294" s="3" t="s">
        <v>3703</v>
      </c>
      <c r="B294" s="14">
        <v>-61803149.990000002</v>
      </c>
      <c r="C294" s="13"/>
      <c r="D294" s="14">
        <v>-1439844.05</v>
      </c>
      <c r="E294" s="13"/>
      <c r="F294" s="14">
        <v>418977.3</v>
      </c>
      <c r="G294" s="14"/>
      <c r="H294" s="14">
        <v>0</v>
      </c>
      <c r="I294" s="14">
        <v>0</v>
      </c>
      <c r="J294" s="14">
        <v>0</v>
      </c>
      <c r="K294" s="14">
        <v>0</v>
      </c>
      <c r="L294" s="14">
        <v>82676.08</v>
      </c>
      <c r="M294" s="14"/>
      <c r="N294" s="14">
        <v>0</v>
      </c>
      <c r="O294" s="14"/>
      <c r="P294" s="14">
        <v>0</v>
      </c>
      <c r="Q294" s="13"/>
      <c r="R294" s="14">
        <f t="shared" si="14"/>
        <v>-62741340.660000004</v>
      </c>
    </row>
    <row r="295" spans="1:18" outlineLevel="1" x14ac:dyDescent="0.2">
      <c r="A295" s="3" t="s">
        <v>3704</v>
      </c>
      <c r="B295" s="14">
        <v>0</v>
      </c>
      <c r="C295" s="13"/>
      <c r="D295" s="14">
        <v>0</v>
      </c>
      <c r="E295" s="13"/>
      <c r="F295" s="14">
        <v>0</v>
      </c>
      <c r="G295" s="14"/>
      <c r="H295" s="14">
        <v>0</v>
      </c>
      <c r="I295" s="14">
        <v>0</v>
      </c>
      <c r="J295" s="14">
        <v>0</v>
      </c>
      <c r="K295" s="14">
        <v>0</v>
      </c>
      <c r="L295" s="14">
        <v>0</v>
      </c>
      <c r="M295" s="14"/>
      <c r="N295" s="14">
        <v>0</v>
      </c>
      <c r="O295" s="14"/>
      <c r="P295" s="14">
        <v>0</v>
      </c>
      <c r="Q295" s="13"/>
      <c r="R295" s="14">
        <f t="shared" si="14"/>
        <v>0</v>
      </c>
    </row>
    <row r="296" spans="1:18" outlineLevel="1" x14ac:dyDescent="0.2">
      <c r="A296" s="3" t="s">
        <v>3705</v>
      </c>
      <c r="B296" s="14">
        <v>-163596931.43000007</v>
      </c>
      <c r="C296" s="13"/>
      <c r="D296" s="14">
        <v>-5172504.47</v>
      </c>
      <c r="E296" s="13"/>
      <c r="F296" s="14">
        <v>1826408.95</v>
      </c>
      <c r="G296" s="14"/>
      <c r="H296" s="14">
        <v>0</v>
      </c>
      <c r="I296" s="14">
        <v>0</v>
      </c>
      <c r="J296" s="14">
        <v>0</v>
      </c>
      <c r="K296" s="14">
        <v>0</v>
      </c>
      <c r="L296" s="14">
        <v>650611.89</v>
      </c>
      <c r="M296" s="14"/>
      <c r="N296" s="14">
        <v>-32173.15</v>
      </c>
      <c r="O296" s="14"/>
      <c r="P296" s="14">
        <v>-2250</v>
      </c>
      <c r="Q296" s="13"/>
      <c r="R296" s="14">
        <f t="shared" si="14"/>
        <v>-166326838.2100001</v>
      </c>
    </row>
    <row r="297" spans="1:18" outlineLevel="1" x14ac:dyDescent="0.2">
      <c r="A297" s="3" t="s">
        <v>3706</v>
      </c>
      <c r="B297" s="14">
        <v>0</v>
      </c>
      <c r="C297" s="13"/>
      <c r="D297" s="14">
        <v>0</v>
      </c>
      <c r="E297" s="13"/>
      <c r="F297" s="14">
        <v>0</v>
      </c>
      <c r="G297" s="14"/>
      <c r="H297" s="14">
        <v>0</v>
      </c>
      <c r="I297" s="14">
        <v>0</v>
      </c>
      <c r="J297" s="14">
        <v>0</v>
      </c>
      <c r="K297" s="14">
        <v>0</v>
      </c>
      <c r="L297" s="14">
        <v>0</v>
      </c>
      <c r="M297" s="14"/>
      <c r="N297" s="14">
        <v>0</v>
      </c>
      <c r="O297" s="14"/>
      <c r="P297" s="14">
        <v>0</v>
      </c>
      <c r="Q297" s="13"/>
      <c r="R297" s="14">
        <f t="shared" si="14"/>
        <v>0</v>
      </c>
    </row>
    <row r="298" spans="1:18" outlineLevel="1" x14ac:dyDescent="0.2">
      <c r="A298" s="3" t="s">
        <v>3707</v>
      </c>
      <c r="B298" s="14">
        <v>-4934793.91</v>
      </c>
      <c r="C298" s="13"/>
      <c r="D298" s="14">
        <v>-3357604.66</v>
      </c>
      <c r="E298" s="13"/>
      <c r="F298" s="14">
        <v>0</v>
      </c>
      <c r="G298" s="14"/>
      <c r="H298" s="14">
        <v>0</v>
      </c>
      <c r="I298" s="14">
        <v>0</v>
      </c>
      <c r="J298" s="14">
        <v>0</v>
      </c>
      <c r="K298" s="14">
        <v>0</v>
      </c>
      <c r="L298" s="14">
        <v>0</v>
      </c>
      <c r="M298" s="14"/>
      <c r="N298" s="14">
        <v>0</v>
      </c>
      <c r="O298" s="14"/>
      <c r="P298" s="14">
        <v>0</v>
      </c>
      <c r="Q298" s="13"/>
      <c r="R298" s="14">
        <f t="shared" si="14"/>
        <v>-8292398.5700000003</v>
      </c>
    </row>
    <row r="299" spans="1:18" outlineLevel="1" x14ac:dyDescent="0.2">
      <c r="A299" s="3" t="s">
        <v>3708</v>
      </c>
      <c r="B299" s="14">
        <v>-135619896.68000004</v>
      </c>
      <c r="C299" s="13"/>
      <c r="D299" s="14">
        <v>-7312934.4900000002</v>
      </c>
      <c r="E299" s="13"/>
      <c r="F299" s="14">
        <v>675096.33</v>
      </c>
      <c r="G299" s="14"/>
      <c r="H299" s="14">
        <v>5224.9399999999996</v>
      </c>
      <c r="I299" s="14">
        <v>0</v>
      </c>
      <c r="J299" s="14">
        <v>0</v>
      </c>
      <c r="K299" s="14">
        <v>0</v>
      </c>
      <c r="L299" s="14">
        <v>852359.57</v>
      </c>
      <c r="M299" s="14"/>
      <c r="N299" s="14">
        <v>-96054.93</v>
      </c>
      <c r="O299" s="14"/>
      <c r="P299" s="14">
        <v>0</v>
      </c>
      <c r="Q299" s="13"/>
      <c r="R299" s="14">
        <f t="shared" si="14"/>
        <v>-141496205.26000005</v>
      </c>
    </row>
    <row r="300" spans="1:18" outlineLevel="1" x14ac:dyDescent="0.2">
      <c r="A300" s="3" t="s">
        <v>3709</v>
      </c>
      <c r="B300" s="14">
        <v>0</v>
      </c>
      <c r="C300" s="13"/>
      <c r="D300" s="14">
        <v>0</v>
      </c>
      <c r="E300" s="13"/>
      <c r="F300" s="14">
        <v>0</v>
      </c>
      <c r="G300" s="14"/>
      <c r="H300" s="14">
        <v>0</v>
      </c>
      <c r="I300" s="14">
        <v>0</v>
      </c>
      <c r="J300" s="14">
        <v>0</v>
      </c>
      <c r="K300" s="14">
        <v>0</v>
      </c>
      <c r="L300" s="14">
        <v>0</v>
      </c>
      <c r="M300" s="14"/>
      <c r="N300" s="14">
        <v>0</v>
      </c>
      <c r="O300" s="14"/>
      <c r="P300" s="14">
        <v>0</v>
      </c>
      <c r="Q300" s="13"/>
      <c r="R300" s="14">
        <f t="shared" si="14"/>
        <v>0</v>
      </c>
    </row>
    <row r="301" spans="1:18" outlineLevel="1" x14ac:dyDescent="0.2">
      <c r="A301" s="3" t="s">
        <v>3710</v>
      </c>
      <c r="B301" s="14">
        <v>0</v>
      </c>
      <c r="C301" s="13"/>
      <c r="D301" s="14">
        <v>0</v>
      </c>
      <c r="E301" s="13"/>
      <c r="F301" s="14">
        <v>0</v>
      </c>
      <c r="G301" s="14"/>
      <c r="H301" s="14">
        <v>0</v>
      </c>
      <c r="I301" s="14">
        <v>0</v>
      </c>
      <c r="J301" s="14">
        <v>0</v>
      </c>
      <c r="K301" s="14">
        <v>0</v>
      </c>
      <c r="L301" s="14">
        <v>0</v>
      </c>
      <c r="M301" s="14"/>
      <c r="N301" s="14">
        <v>0</v>
      </c>
      <c r="O301" s="14"/>
      <c r="P301" s="14">
        <v>0</v>
      </c>
      <c r="Q301" s="13"/>
      <c r="R301" s="14">
        <f t="shared" si="14"/>
        <v>0</v>
      </c>
    </row>
    <row r="302" spans="1:18" outlineLevel="1" x14ac:dyDescent="0.2">
      <c r="A302" s="3" t="s">
        <v>3711</v>
      </c>
      <c r="B302" s="14">
        <v>-9342058.5199999996</v>
      </c>
      <c r="C302" s="13"/>
      <c r="D302" s="14">
        <v>-7197240.7800000003</v>
      </c>
      <c r="E302" s="13"/>
      <c r="F302" s="14">
        <v>0</v>
      </c>
      <c r="G302" s="14"/>
      <c r="H302" s="14">
        <v>0</v>
      </c>
      <c r="I302" s="14">
        <v>0</v>
      </c>
      <c r="J302" s="14">
        <v>0</v>
      </c>
      <c r="K302" s="14">
        <v>0</v>
      </c>
      <c r="L302" s="14">
        <v>0</v>
      </c>
      <c r="M302" s="14"/>
      <c r="N302" s="14">
        <v>0</v>
      </c>
      <c r="O302" s="14"/>
      <c r="P302" s="14">
        <v>0</v>
      </c>
      <c r="Q302" s="13"/>
      <c r="R302" s="14">
        <f>SUM(B302:P302)</f>
        <v>-16539299.300000001</v>
      </c>
    </row>
    <row r="303" spans="1:18" outlineLevel="1" x14ac:dyDescent="0.2">
      <c r="A303" s="3" t="s">
        <v>3712</v>
      </c>
      <c r="B303" s="14">
        <v>-3495390.2</v>
      </c>
      <c r="C303" s="13"/>
      <c r="D303" s="14">
        <v>-3401170.9</v>
      </c>
      <c r="E303" s="13"/>
      <c r="F303" s="14">
        <v>0</v>
      </c>
      <c r="G303" s="14"/>
      <c r="H303" s="14">
        <v>0</v>
      </c>
      <c r="I303" s="14">
        <v>0</v>
      </c>
      <c r="J303" s="14">
        <v>0</v>
      </c>
      <c r="K303" s="14">
        <v>0</v>
      </c>
      <c r="L303" s="14">
        <v>0</v>
      </c>
      <c r="M303" s="14"/>
      <c r="N303" s="14">
        <v>0</v>
      </c>
      <c r="O303" s="14"/>
      <c r="P303" s="14">
        <v>0</v>
      </c>
      <c r="Q303" s="13"/>
      <c r="R303" s="14">
        <f t="shared" si="14"/>
        <v>-6896561.0999999996</v>
      </c>
    </row>
    <row r="304" spans="1:18" outlineLevel="1" x14ac:dyDescent="0.2">
      <c r="A304" s="3" t="s">
        <v>3713</v>
      </c>
      <c r="B304" s="14">
        <v>-4.0000000371946953E-2</v>
      </c>
      <c r="C304" s="13"/>
      <c r="D304" s="14">
        <v>0</v>
      </c>
      <c r="E304" s="13"/>
      <c r="F304" s="14">
        <v>0</v>
      </c>
      <c r="G304" s="14"/>
      <c r="H304" s="14">
        <v>0</v>
      </c>
      <c r="I304" s="14">
        <v>0</v>
      </c>
      <c r="J304" s="14">
        <v>0</v>
      </c>
      <c r="K304" s="14">
        <v>0</v>
      </c>
      <c r="L304" s="14">
        <v>0</v>
      </c>
      <c r="M304" s="14"/>
      <c r="N304" s="14">
        <v>0</v>
      </c>
      <c r="O304" s="14"/>
      <c r="P304" s="14">
        <v>0</v>
      </c>
      <c r="Q304" s="13"/>
      <c r="R304" s="14">
        <f t="shared" si="14"/>
        <v>-4.0000000371946953E-2</v>
      </c>
    </row>
    <row r="305" spans="1:18" outlineLevel="1" x14ac:dyDescent="0.2">
      <c r="A305" s="3" t="s">
        <v>3714</v>
      </c>
      <c r="B305" s="14">
        <v>-31824023.719999999</v>
      </c>
      <c r="C305" s="13"/>
      <c r="D305" s="14">
        <v>-4088824.42</v>
      </c>
      <c r="E305" s="13"/>
      <c r="F305" s="14">
        <v>488345.69</v>
      </c>
      <c r="G305" s="14"/>
      <c r="H305" s="14">
        <v>974.77</v>
      </c>
      <c r="I305" s="14">
        <v>0</v>
      </c>
      <c r="J305" s="14">
        <v>0</v>
      </c>
      <c r="K305" s="14">
        <v>0</v>
      </c>
      <c r="L305" s="14">
        <v>62865.36</v>
      </c>
      <c r="M305" s="14"/>
      <c r="N305" s="14">
        <v>0</v>
      </c>
      <c r="O305" s="14"/>
      <c r="P305" s="14">
        <v>0</v>
      </c>
      <c r="Q305" s="13"/>
      <c r="R305" s="14">
        <f t="shared" si="14"/>
        <v>-35360662.32</v>
      </c>
    </row>
    <row r="306" spans="1:18" outlineLevel="1" x14ac:dyDescent="0.2">
      <c r="A306" s="3" t="s">
        <v>3715</v>
      </c>
      <c r="B306" s="14">
        <v>0</v>
      </c>
      <c r="C306" s="13"/>
      <c r="D306" s="14">
        <v>0</v>
      </c>
      <c r="E306" s="13"/>
      <c r="F306" s="14">
        <v>0</v>
      </c>
      <c r="G306" s="14"/>
      <c r="H306" s="14">
        <v>0</v>
      </c>
      <c r="I306" s="14">
        <v>0</v>
      </c>
      <c r="J306" s="14">
        <v>0</v>
      </c>
      <c r="K306" s="14">
        <v>0</v>
      </c>
      <c r="L306" s="14">
        <v>0</v>
      </c>
      <c r="M306" s="14"/>
      <c r="N306" s="14">
        <v>0</v>
      </c>
      <c r="O306" s="14"/>
      <c r="P306" s="14">
        <v>0</v>
      </c>
      <c r="Q306" s="13"/>
      <c r="R306" s="14">
        <f t="shared" si="14"/>
        <v>0</v>
      </c>
    </row>
    <row r="307" spans="1:18" outlineLevel="1" x14ac:dyDescent="0.2">
      <c r="A307" s="3" t="s">
        <v>3716</v>
      </c>
      <c r="B307" s="14">
        <v>-77381453.090000004</v>
      </c>
      <c r="C307" s="13"/>
      <c r="D307" s="14">
        <v>-9037408.9199999999</v>
      </c>
      <c r="E307" s="13"/>
      <c r="F307" s="14">
        <v>137702.70000000001</v>
      </c>
      <c r="G307" s="14"/>
      <c r="H307" s="14">
        <v>-5224.9399999999996</v>
      </c>
      <c r="I307" s="14">
        <v>0</v>
      </c>
      <c r="J307" s="14">
        <v>0</v>
      </c>
      <c r="K307" s="14">
        <v>0</v>
      </c>
      <c r="L307" s="14">
        <v>6236.9</v>
      </c>
      <c r="M307" s="14"/>
      <c r="N307" s="14">
        <v>0</v>
      </c>
      <c r="O307" s="14"/>
      <c r="P307" s="14">
        <v>0</v>
      </c>
      <c r="Q307" s="13"/>
      <c r="R307" s="14">
        <f t="shared" si="14"/>
        <v>-86280147.349999994</v>
      </c>
    </row>
    <row r="308" spans="1:18" outlineLevel="1" x14ac:dyDescent="0.2">
      <c r="A308" s="3" t="s">
        <v>3717</v>
      </c>
      <c r="B308" s="14">
        <v>0</v>
      </c>
      <c r="C308" s="13"/>
      <c r="D308" s="14">
        <v>0</v>
      </c>
      <c r="E308" s="13"/>
      <c r="F308" s="14">
        <v>0</v>
      </c>
      <c r="G308" s="14"/>
      <c r="H308" s="14">
        <v>0</v>
      </c>
      <c r="I308" s="14">
        <v>0</v>
      </c>
      <c r="J308" s="14">
        <v>0</v>
      </c>
      <c r="K308" s="14">
        <v>0</v>
      </c>
      <c r="L308" s="14">
        <v>0</v>
      </c>
      <c r="M308" s="14"/>
      <c r="N308" s="14">
        <v>0</v>
      </c>
      <c r="O308" s="14"/>
      <c r="P308" s="14">
        <v>0</v>
      </c>
      <c r="Q308" s="13"/>
      <c r="R308" s="14">
        <f t="shared" si="14"/>
        <v>0</v>
      </c>
    </row>
    <row r="309" spans="1:18" outlineLevel="1" x14ac:dyDescent="0.2">
      <c r="A309" s="3" t="s">
        <v>3718</v>
      </c>
      <c r="B309" s="14">
        <v>-448119.95</v>
      </c>
      <c r="C309" s="13"/>
      <c r="D309" s="14">
        <v>0</v>
      </c>
      <c r="E309" s="13"/>
      <c r="F309" s="14">
        <v>0</v>
      </c>
      <c r="G309" s="14"/>
      <c r="H309" s="14">
        <v>0</v>
      </c>
      <c r="I309" s="14">
        <v>0</v>
      </c>
      <c r="J309" s="14">
        <v>0</v>
      </c>
      <c r="K309" s="14">
        <v>0</v>
      </c>
      <c r="L309" s="14">
        <v>0</v>
      </c>
      <c r="M309" s="14"/>
      <c r="N309" s="14">
        <v>0</v>
      </c>
      <c r="O309" s="14"/>
      <c r="P309" s="14">
        <v>0</v>
      </c>
      <c r="Q309" s="13"/>
      <c r="R309" s="14">
        <f t="shared" si="14"/>
        <v>-448119.95</v>
      </c>
    </row>
    <row r="310" spans="1:18" outlineLevel="1" x14ac:dyDescent="0.2">
      <c r="A310" s="3" t="s">
        <v>3719</v>
      </c>
      <c r="B310" s="14">
        <v>-685083.24999999651</v>
      </c>
      <c r="C310" s="13"/>
      <c r="D310" s="14">
        <v>-103772.16</v>
      </c>
      <c r="E310" s="13"/>
      <c r="F310" s="14">
        <v>0</v>
      </c>
      <c r="G310" s="14"/>
      <c r="H310" s="14">
        <v>0</v>
      </c>
      <c r="I310" s="14">
        <v>0</v>
      </c>
      <c r="J310" s="14">
        <v>0</v>
      </c>
      <c r="K310" s="14">
        <v>0</v>
      </c>
      <c r="L310" s="14">
        <v>0</v>
      </c>
      <c r="M310" s="14"/>
      <c r="N310" s="14">
        <v>0</v>
      </c>
      <c r="O310" s="14"/>
      <c r="P310" s="14">
        <v>0</v>
      </c>
      <c r="Q310" s="13"/>
      <c r="R310" s="14">
        <f t="shared" si="14"/>
        <v>-788855.40999999654</v>
      </c>
    </row>
    <row r="311" spans="1:18" outlineLevel="1" x14ac:dyDescent="0.2">
      <c r="A311" s="3" t="s">
        <v>3720</v>
      </c>
      <c r="B311" s="14">
        <v>0</v>
      </c>
      <c r="C311" s="13"/>
      <c r="D311" s="14">
        <v>0</v>
      </c>
      <c r="E311" s="13"/>
      <c r="F311" s="14">
        <v>0</v>
      </c>
      <c r="G311" s="14"/>
      <c r="H311" s="14">
        <v>0</v>
      </c>
      <c r="I311" s="14">
        <v>0</v>
      </c>
      <c r="J311" s="14">
        <v>0</v>
      </c>
      <c r="K311" s="14">
        <v>0</v>
      </c>
      <c r="L311" s="14">
        <v>0</v>
      </c>
      <c r="M311" s="14"/>
      <c r="N311" s="14">
        <v>0</v>
      </c>
      <c r="O311" s="14"/>
      <c r="P311" s="14">
        <v>0</v>
      </c>
      <c r="Q311" s="13"/>
      <c r="R311" s="14">
        <f t="shared" si="14"/>
        <v>0</v>
      </c>
    </row>
    <row r="312" spans="1:18" outlineLevel="1" x14ac:dyDescent="0.2">
      <c r="A312" s="3" t="s">
        <v>3721</v>
      </c>
      <c r="B312" s="14">
        <v>-1928697.4099999983</v>
      </c>
      <c r="C312" s="13"/>
      <c r="D312" s="14">
        <v>-20560.939999999999</v>
      </c>
      <c r="E312" s="13"/>
      <c r="F312" s="14">
        <v>0</v>
      </c>
      <c r="G312" s="14"/>
      <c r="H312" s="14">
        <v>892101.64</v>
      </c>
      <c r="I312" s="14">
        <v>0</v>
      </c>
      <c r="J312" s="14">
        <v>0</v>
      </c>
      <c r="K312" s="14">
        <v>0</v>
      </c>
      <c r="L312" s="14">
        <v>0</v>
      </c>
      <c r="M312" s="14"/>
      <c r="N312" s="14">
        <v>0</v>
      </c>
      <c r="O312" s="14"/>
      <c r="P312" s="14">
        <v>0</v>
      </c>
      <c r="Q312" s="13"/>
      <c r="R312" s="14">
        <f t="shared" si="14"/>
        <v>-1057156.7099999981</v>
      </c>
    </row>
    <row r="313" spans="1:18" outlineLevel="1" x14ac:dyDescent="0.2">
      <c r="A313" s="3" t="s">
        <v>3722</v>
      </c>
      <c r="B313" s="14">
        <v>0</v>
      </c>
      <c r="C313" s="13"/>
      <c r="D313" s="14">
        <v>0</v>
      </c>
      <c r="E313" s="13"/>
      <c r="F313" s="14">
        <v>0</v>
      </c>
      <c r="G313" s="14"/>
      <c r="H313" s="14">
        <v>0</v>
      </c>
      <c r="I313" s="14">
        <v>0</v>
      </c>
      <c r="J313" s="14">
        <v>0</v>
      </c>
      <c r="K313" s="14">
        <v>0</v>
      </c>
      <c r="L313" s="14">
        <v>0</v>
      </c>
      <c r="M313" s="14"/>
      <c r="N313" s="14">
        <v>0</v>
      </c>
      <c r="O313" s="14"/>
      <c r="P313" s="14">
        <v>0</v>
      </c>
      <c r="Q313" s="13"/>
      <c r="R313" s="14">
        <f t="shared" si="14"/>
        <v>0</v>
      </c>
    </row>
    <row r="314" spans="1:18" outlineLevel="1" x14ac:dyDescent="0.2">
      <c r="A314" s="3" t="s">
        <v>3723</v>
      </c>
      <c r="B314" s="14">
        <v>0</v>
      </c>
      <c r="C314" s="13"/>
      <c r="D314" s="14">
        <v>0</v>
      </c>
      <c r="E314" s="13"/>
      <c r="F314" s="14">
        <v>0</v>
      </c>
      <c r="G314" s="14"/>
      <c r="H314" s="14">
        <v>0</v>
      </c>
      <c r="I314" s="14">
        <v>0</v>
      </c>
      <c r="J314" s="14">
        <v>0</v>
      </c>
      <c r="K314" s="14">
        <v>0</v>
      </c>
      <c r="L314" s="14">
        <v>0</v>
      </c>
      <c r="M314" s="14"/>
      <c r="N314" s="14">
        <v>0</v>
      </c>
      <c r="O314" s="14"/>
      <c r="P314" s="14">
        <v>0</v>
      </c>
      <c r="Q314" s="13"/>
      <c r="R314" s="14">
        <f t="shared" si="14"/>
        <v>0</v>
      </c>
    </row>
    <row r="315" spans="1:18" outlineLevel="1" x14ac:dyDescent="0.2">
      <c r="A315" s="3" t="s">
        <v>3724</v>
      </c>
      <c r="B315" s="14">
        <v>-236083.38000000006</v>
      </c>
      <c r="C315" s="13"/>
      <c r="D315" s="14">
        <v>0</v>
      </c>
      <c r="E315" s="13"/>
      <c r="F315" s="14">
        <v>0</v>
      </c>
      <c r="G315" s="14"/>
      <c r="H315" s="14">
        <v>0</v>
      </c>
      <c r="I315" s="14">
        <v>0</v>
      </c>
      <c r="J315" s="14">
        <v>0</v>
      </c>
      <c r="K315" s="14">
        <v>0</v>
      </c>
      <c r="L315" s="14">
        <v>0</v>
      </c>
      <c r="M315" s="14"/>
      <c r="N315" s="14">
        <v>0</v>
      </c>
      <c r="O315" s="14"/>
      <c r="P315" s="14">
        <v>0</v>
      </c>
      <c r="Q315" s="13"/>
      <c r="R315" s="14">
        <f t="shared" si="14"/>
        <v>-236083.38000000006</v>
      </c>
    </row>
    <row r="316" spans="1:18" outlineLevel="1" x14ac:dyDescent="0.2">
      <c r="A316" s="3" t="s">
        <v>3725</v>
      </c>
      <c r="B316" s="14">
        <v>-93820520.689999968</v>
      </c>
      <c r="C316" s="13"/>
      <c r="D316" s="14">
        <v>-11017190.08</v>
      </c>
      <c r="E316" s="13"/>
      <c r="F316" s="14">
        <v>1713500</v>
      </c>
      <c r="G316" s="14"/>
      <c r="H316" s="14">
        <v>-1206969.79</v>
      </c>
      <c r="I316" s="14">
        <v>0</v>
      </c>
      <c r="J316" s="14">
        <v>0</v>
      </c>
      <c r="K316" s="14">
        <v>0</v>
      </c>
      <c r="L316" s="14">
        <v>53516.659999999996</v>
      </c>
      <c r="M316" s="14"/>
      <c r="N316" s="14">
        <v>0</v>
      </c>
      <c r="O316" s="14"/>
      <c r="P316" s="14">
        <v>-13170.069999999998</v>
      </c>
      <c r="Q316" s="13"/>
      <c r="R316" s="14">
        <f>SUM(B316:P316)</f>
        <v>-104290833.96999997</v>
      </c>
    </row>
    <row r="317" spans="1:18" outlineLevel="1" x14ac:dyDescent="0.2">
      <c r="A317" s="3" t="s">
        <v>3726</v>
      </c>
      <c r="B317" s="14">
        <v>3</v>
      </c>
      <c r="C317" s="13"/>
      <c r="D317" s="14">
        <v>0</v>
      </c>
      <c r="E317" s="13"/>
      <c r="F317" s="14">
        <v>0</v>
      </c>
      <c r="G317" s="14"/>
      <c r="H317" s="14">
        <v>0</v>
      </c>
      <c r="I317" s="14">
        <v>0</v>
      </c>
      <c r="J317" s="14">
        <v>0</v>
      </c>
      <c r="K317" s="14">
        <v>0</v>
      </c>
      <c r="L317" s="14">
        <v>0</v>
      </c>
      <c r="M317" s="14"/>
      <c r="N317" s="14">
        <v>0</v>
      </c>
      <c r="O317" s="14"/>
      <c r="P317" s="14">
        <v>0</v>
      </c>
      <c r="Q317" s="13"/>
      <c r="R317" s="14">
        <f>SUM(B317:P317)</f>
        <v>3</v>
      </c>
    </row>
    <row r="318" spans="1:18" outlineLevel="1" x14ac:dyDescent="0.2">
      <c r="A318" s="73" t="s">
        <v>3727</v>
      </c>
      <c r="B318" s="14">
        <v>-1471137.5</v>
      </c>
      <c r="C318" s="13"/>
      <c r="D318" s="14">
        <v>-411358.44</v>
      </c>
      <c r="E318" s="13"/>
      <c r="F318" s="14">
        <v>0</v>
      </c>
      <c r="G318" s="14"/>
      <c r="H318" s="14">
        <v>0</v>
      </c>
      <c r="I318" s="14">
        <v>0</v>
      </c>
      <c r="J318" s="14">
        <v>0</v>
      </c>
      <c r="K318" s="14">
        <v>0</v>
      </c>
      <c r="L318" s="14">
        <v>0</v>
      </c>
      <c r="M318" s="14"/>
      <c r="N318" s="14">
        <v>0</v>
      </c>
      <c r="O318" s="14"/>
      <c r="P318" s="14">
        <v>0</v>
      </c>
      <c r="Q318" s="13"/>
      <c r="R318" s="14">
        <f>SUM(B318:P318)</f>
        <v>-1882495.94</v>
      </c>
    </row>
    <row r="319" spans="1:18" outlineLevel="1" x14ac:dyDescent="0.2">
      <c r="A319" s="3" t="s">
        <v>3728</v>
      </c>
      <c r="B319" s="14">
        <v>-18602419.789999999</v>
      </c>
      <c r="C319" s="13"/>
      <c r="D319" s="14">
        <v>-1437530.45</v>
      </c>
      <c r="E319" s="13"/>
      <c r="F319" s="14">
        <v>12375.71</v>
      </c>
      <c r="G319" s="14"/>
      <c r="H319" s="14">
        <v>0</v>
      </c>
      <c r="I319" s="14">
        <v>0</v>
      </c>
      <c r="J319" s="14">
        <v>0</v>
      </c>
      <c r="K319" s="14">
        <v>0</v>
      </c>
      <c r="L319" s="14">
        <v>0</v>
      </c>
      <c r="M319" s="14"/>
      <c r="N319" s="14">
        <v>0</v>
      </c>
      <c r="O319" s="14"/>
      <c r="P319" s="14">
        <v>0</v>
      </c>
      <c r="Q319" s="13"/>
      <c r="R319" s="14">
        <f>SUM(B319:P319)</f>
        <v>-20027574.529999997</v>
      </c>
    </row>
    <row r="320" spans="1:18" outlineLevel="1" x14ac:dyDescent="0.2">
      <c r="A320" s="3" t="s">
        <v>3729</v>
      </c>
      <c r="B320" s="14">
        <v>-2.9999999990686774</v>
      </c>
      <c r="C320" s="13"/>
      <c r="D320" s="14">
        <v>0</v>
      </c>
      <c r="E320" s="13"/>
      <c r="F320" s="14">
        <v>0</v>
      </c>
      <c r="G320" s="14"/>
      <c r="H320" s="14">
        <v>0</v>
      </c>
      <c r="I320" s="14">
        <v>0</v>
      </c>
      <c r="J320" s="14">
        <v>0</v>
      </c>
      <c r="K320" s="14">
        <v>0</v>
      </c>
      <c r="L320" s="14">
        <v>0</v>
      </c>
      <c r="M320" s="14"/>
      <c r="N320" s="14">
        <v>0</v>
      </c>
      <c r="O320" s="14"/>
      <c r="P320" s="14">
        <v>0</v>
      </c>
      <c r="Q320" s="13"/>
      <c r="R320" s="14">
        <f>SUM(B320:P320)</f>
        <v>-2.9999999990686774</v>
      </c>
    </row>
    <row r="321" spans="1:18" outlineLevel="1" x14ac:dyDescent="0.2">
      <c r="A321" s="3" t="s">
        <v>3730</v>
      </c>
      <c r="B321" s="14">
        <v>-98209.890000000014</v>
      </c>
      <c r="C321" s="13"/>
      <c r="D321" s="14">
        <v>0</v>
      </c>
      <c r="E321" s="13"/>
      <c r="F321" s="14">
        <v>0</v>
      </c>
      <c r="G321" s="14"/>
      <c r="H321" s="14">
        <v>0</v>
      </c>
      <c r="I321" s="14">
        <v>0</v>
      </c>
      <c r="J321" s="14">
        <v>0</v>
      </c>
      <c r="K321" s="14">
        <v>0</v>
      </c>
      <c r="L321" s="14">
        <v>0</v>
      </c>
      <c r="M321" s="14"/>
      <c r="N321" s="14">
        <v>0</v>
      </c>
      <c r="O321" s="14"/>
      <c r="P321" s="14">
        <v>0</v>
      </c>
      <c r="Q321" s="13"/>
      <c r="R321" s="14">
        <f t="shared" si="14"/>
        <v>-98209.890000000014</v>
      </c>
    </row>
    <row r="322" spans="1:18" outlineLevel="1" x14ac:dyDescent="0.2">
      <c r="A322" s="3" t="s">
        <v>3731</v>
      </c>
      <c r="B322" s="14">
        <v>-992223.6800000011</v>
      </c>
      <c r="C322" s="13"/>
      <c r="D322" s="14">
        <v>-39663.839999999997</v>
      </c>
      <c r="E322" s="13"/>
      <c r="F322" s="14">
        <v>0</v>
      </c>
      <c r="G322" s="14"/>
      <c r="H322" s="14">
        <v>0</v>
      </c>
      <c r="I322" s="14">
        <v>0</v>
      </c>
      <c r="J322" s="14">
        <v>0</v>
      </c>
      <c r="K322" s="14">
        <v>0</v>
      </c>
      <c r="L322" s="14">
        <v>0</v>
      </c>
      <c r="M322" s="14"/>
      <c r="N322" s="14">
        <v>0</v>
      </c>
      <c r="O322" s="14"/>
      <c r="P322" s="14">
        <v>0</v>
      </c>
      <c r="Q322" s="13"/>
      <c r="R322" s="14">
        <f t="shared" si="14"/>
        <v>-1031887.5200000011</v>
      </c>
    </row>
    <row r="323" spans="1:18" outlineLevel="1" x14ac:dyDescent="0.2">
      <c r="A323" s="3" t="s">
        <v>3732</v>
      </c>
      <c r="B323" s="14">
        <v>0</v>
      </c>
      <c r="C323" s="13"/>
      <c r="D323" s="14">
        <v>0</v>
      </c>
      <c r="E323" s="13"/>
      <c r="F323" s="14">
        <v>0</v>
      </c>
      <c r="G323" s="14"/>
      <c r="H323" s="14">
        <v>0</v>
      </c>
      <c r="I323" s="14">
        <v>0</v>
      </c>
      <c r="J323" s="14">
        <v>0</v>
      </c>
      <c r="K323" s="14">
        <v>0</v>
      </c>
      <c r="L323" s="14">
        <v>0</v>
      </c>
      <c r="M323" s="14"/>
      <c r="N323" s="14">
        <v>0</v>
      </c>
      <c r="O323" s="14"/>
      <c r="P323" s="14">
        <v>0</v>
      </c>
      <c r="Q323" s="13"/>
      <c r="R323" s="14">
        <f t="shared" si="14"/>
        <v>0</v>
      </c>
    </row>
    <row r="324" spans="1:18" x14ac:dyDescent="0.2">
      <c r="A324" s="3" t="s">
        <v>3733</v>
      </c>
      <c r="B324" s="14">
        <f>SUM(B273:B323)</f>
        <v>-1026174034.52</v>
      </c>
      <c r="C324" s="13"/>
      <c r="D324" s="14">
        <f>SUM(D273:D323)</f>
        <v>-98225232.600000009</v>
      </c>
      <c r="E324" s="13"/>
      <c r="F324" s="14">
        <f>SUM(F273:F323)</f>
        <v>10563333.780000001</v>
      </c>
      <c r="G324" s="13"/>
      <c r="H324" s="14">
        <f>SUM(H273:H323)</f>
        <v>-1538192.5500000003</v>
      </c>
      <c r="I324" s="13"/>
      <c r="J324" s="14">
        <f>SUM(J273:J323)</f>
        <v>0</v>
      </c>
      <c r="K324" s="13"/>
      <c r="L324" s="14">
        <f>SUM(L273:L323)</f>
        <v>3910726.42</v>
      </c>
      <c r="M324" s="13"/>
      <c r="N324" s="14">
        <f>SUM(N273:N323)</f>
        <v>-183906.78</v>
      </c>
      <c r="O324" s="13"/>
      <c r="P324" s="14">
        <f>SUM(P273:P323)</f>
        <v>-15420.069999999998</v>
      </c>
      <c r="Q324" s="13"/>
      <c r="R324" s="14">
        <f>SUM(R273:R323)</f>
        <v>-1111662726.3200002</v>
      </c>
    </row>
    <row r="325" spans="1:18" outlineLevel="1" x14ac:dyDescent="0.2">
      <c r="A325" s="3" t="s">
        <v>3734</v>
      </c>
      <c r="B325" s="14">
        <v>0</v>
      </c>
      <c r="C325" s="13"/>
      <c r="D325" s="14">
        <v>0</v>
      </c>
      <c r="E325" s="14"/>
      <c r="F325" s="14">
        <v>0</v>
      </c>
      <c r="G325" s="14"/>
      <c r="H325" s="14">
        <v>0</v>
      </c>
      <c r="I325" s="14">
        <v>0</v>
      </c>
      <c r="J325" s="14">
        <v>0</v>
      </c>
      <c r="K325" s="14">
        <v>0</v>
      </c>
      <c r="L325" s="14">
        <v>0</v>
      </c>
      <c r="M325" s="14"/>
      <c r="N325" s="14">
        <v>0</v>
      </c>
      <c r="O325" s="14"/>
      <c r="P325" s="14">
        <v>0</v>
      </c>
      <c r="Q325" s="13"/>
      <c r="R325" s="14">
        <f t="shared" ref="R325:R334" si="15">SUM(B325:P325)</f>
        <v>0</v>
      </c>
    </row>
    <row r="326" spans="1:18" outlineLevel="1" x14ac:dyDescent="0.2">
      <c r="A326" s="3" t="s">
        <v>3735</v>
      </c>
      <c r="B326" s="14">
        <v>0</v>
      </c>
      <c r="C326" s="13"/>
      <c r="D326" s="14">
        <v>0</v>
      </c>
      <c r="E326" s="14"/>
      <c r="F326" s="14">
        <v>0</v>
      </c>
      <c r="G326" s="14"/>
      <c r="H326" s="14">
        <v>0</v>
      </c>
      <c r="I326" s="14">
        <v>0</v>
      </c>
      <c r="J326" s="14">
        <v>0</v>
      </c>
      <c r="K326" s="14">
        <v>0</v>
      </c>
      <c r="L326" s="14">
        <v>0</v>
      </c>
      <c r="M326" s="14"/>
      <c r="N326" s="14">
        <v>0</v>
      </c>
      <c r="O326" s="14"/>
      <c r="P326" s="14">
        <v>0</v>
      </c>
      <c r="Q326" s="13"/>
      <c r="R326" s="14">
        <f t="shared" si="15"/>
        <v>0</v>
      </c>
    </row>
    <row r="327" spans="1:18" outlineLevel="1" x14ac:dyDescent="0.2">
      <c r="A327" s="3" t="s">
        <v>3736</v>
      </c>
      <c r="B327" s="14">
        <v>0</v>
      </c>
      <c r="C327" s="13"/>
      <c r="D327" s="14">
        <v>0</v>
      </c>
      <c r="E327" s="14"/>
      <c r="F327" s="14">
        <v>0</v>
      </c>
      <c r="G327" s="14"/>
      <c r="H327" s="14">
        <v>0</v>
      </c>
      <c r="I327" s="14">
        <v>0</v>
      </c>
      <c r="J327" s="14">
        <v>0</v>
      </c>
      <c r="K327" s="14">
        <v>0</v>
      </c>
      <c r="L327" s="14">
        <v>0</v>
      </c>
      <c r="M327" s="14"/>
      <c r="N327" s="14">
        <v>0</v>
      </c>
      <c r="O327" s="14"/>
      <c r="P327" s="14">
        <v>0</v>
      </c>
      <c r="Q327" s="13"/>
      <c r="R327" s="14">
        <f t="shared" si="15"/>
        <v>0</v>
      </c>
    </row>
    <row r="328" spans="1:18" outlineLevel="1" x14ac:dyDescent="0.2">
      <c r="A328" s="3" t="s">
        <v>3737</v>
      </c>
      <c r="B328" s="14">
        <v>0</v>
      </c>
      <c r="C328" s="13"/>
      <c r="D328" s="14">
        <v>0</v>
      </c>
      <c r="E328" s="14"/>
      <c r="F328" s="14">
        <v>0</v>
      </c>
      <c r="G328" s="14"/>
      <c r="H328" s="14">
        <v>0</v>
      </c>
      <c r="I328" s="14">
        <v>0</v>
      </c>
      <c r="J328" s="14">
        <v>0</v>
      </c>
      <c r="K328" s="14">
        <v>0</v>
      </c>
      <c r="L328" s="14">
        <v>0</v>
      </c>
      <c r="M328" s="14"/>
      <c r="N328" s="14">
        <v>0</v>
      </c>
      <c r="O328" s="14"/>
      <c r="P328" s="14">
        <v>0</v>
      </c>
      <c r="Q328" s="13"/>
      <c r="R328" s="14">
        <f t="shared" si="15"/>
        <v>0</v>
      </c>
    </row>
    <row r="329" spans="1:18" outlineLevel="1" x14ac:dyDescent="0.2">
      <c r="A329" s="3" t="s">
        <v>3738</v>
      </c>
      <c r="B329" s="14">
        <v>0</v>
      </c>
      <c r="C329" s="13"/>
      <c r="D329" s="14">
        <v>0</v>
      </c>
      <c r="E329" s="14"/>
      <c r="F329" s="14">
        <v>0</v>
      </c>
      <c r="G329" s="14"/>
      <c r="H329" s="14">
        <v>0</v>
      </c>
      <c r="I329" s="14">
        <v>0</v>
      </c>
      <c r="J329" s="14">
        <v>0</v>
      </c>
      <c r="K329" s="14">
        <v>0</v>
      </c>
      <c r="L329" s="14">
        <v>0</v>
      </c>
      <c r="M329" s="14"/>
      <c r="N329" s="14">
        <v>0</v>
      </c>
      <c r="O329" s="14"/>
      <c r="P329" s="14">
        <v>0</v>
      </c>
      <c r="Q329" s="13"/>
      <c r="R329" s="14">
        <f t="shared" si="15"/>
        <v>0</v>
      </c>
    </row>
    <row r="330" spans="1:18" outlineLevel="1" x14ac:dyDescent="0.2">
      <c r="A330" s="3" t="s">
        <v>3739</v>
      </c>
      <c r="B330" s="14">
        <v>0</v>
      </c>
      <c r="C330" s="13"/>
      <c r="D330" s="14">
        <v>0</v>
      </c>
      <c r="E330" s="14"/>
      <c r="F330" s="14">
        <v>0</v>
      </c>
      <c r="G330" s="14"/>
      <c r="H330" s="14">
        <v>0</v>
      </c>
      <c r="I330" s="14">
        <v>0</v>
      </c>
      <c r="J330" s="14">
        <v>0</v>
      </c>
      <c r="K330" s="14">
        <v>0</v>
      </c>
      <c r="L330" s="14">
        <v>0</v>
      </c>
      <c r="M330" s="14"/>
      <c r="N330" s="14">
        <v>0</v>
      </c>
      <c r="O330" s="14"/>
      <c r="P330" s="14">
        <v>0</v>
      </c>
      <c r="Q330" s="13"/>
      <c r="R330" s="14">
        <f t="shared" si="15"/>
        <v>0</v>
      </c>
    </row>
    <row r="331" spans="1:18" outlineLevel="1" x14ac:dyDescent="0.2">
      <c r="A331" s="3" t="s">
        <v>3740</v>
      </c>
      <c r="B331" s="14">
        <v>0</v>
      </c>
      <c r="C331" s="13"/>
      <c r="D331" s="14">
        <v>0</v>
      </c>
      <c r="E331" s="14"/>
      <c r="F331" s="14">
        <v>0</v>
      </c>
      <c r="G331" s="14"/>
      <c r="H331" s="14">
        <v>0</v>
      </c>
      <c r="I331" s="14">
        <v>0</v>
      </c>
      <c r="J331" s="14">
        <v>0</v>
      </c>
      <c r="K331" s="14">
        <v>0</v>
      </c>
      <c r="L331" s="14">
        <v>0</v>
      </c>
      <c r="M331" s="14"/>
      <c r="N331" s="14">
        <v>0</v>
      </c>
      <c r="O331" s="14"/>
      <c r="P331" s="14">
        <v>0</v>
      </c>
      <c r="Q331" s="13"/>
      <c r="R331" s="14">
        <f t="shared" si="15"/>
        <v>0</v>
      </c>
    </row>
    <row r="332" spans="1:18" outlineLevel="1" x14ac:dyDescent="0.2">
      <c r="A332" s="3" t="s">
        <v>3741</v>
      </c>
      <c r="B332" s="14">
        <v>0</v>
      </c>
      <c r="C332" s="13"/>
      <c r="D332" s="14">
        <v>0</v>
      </c>
      <c r="E332" s="14"/>
      <c r="F332" s="14">
        <v>0</v>
      </c>
      <c r="G332" s="14"/>
      <c r="H332" s="14">
        <v>0</v>
      </c>
      <c r="I332" s="14">
        <v>0</v>
      </c>
      <c r="J332" s="14">
        <v>0</v>
      </c>
      <c r="K332" s="14">
        <v>0</v>
      </c>
      <c r="L332" s="14">
        <v>0</v>
      </c>
      <c r="M332" s="14"/>
      <c r="N332" s="14">
        <v>0</v>
      </c>
      <c r="O332" s="14"/>
      <c r="P332" s="14">
        <v>0</v>
      </c>
      <c r="Q332" s="13"/>
      <c r="R332" s="14">
        <f t="shared" si="15"/>
        <v>0</v>
      </c>
    </row>
    <row r="333" spans="1:18" outlineLevel="1" x14ac:dyDescent="0.2">
      <c r="A333" s="3" t="s">
        <v>3742</v>
      </c>
      <c r="B333" s="14">
        <v>0</v>
      </c>
      <c r="C333" s="13"/>
      <c r="D333" s="14">
        <v>0</v>
      </c>
      <c r="E333" s="14"/>
      <c r="F333" s="14">
        <v>0</v>
      </c>
      <c r="G333" s="14"/>
      <c r="H333" s="14">
        <v>0</v>
      </c>
      <c r="I333" s="14">
        <v>0</v>
      </c>
      <c r="J333" s="14">
        <v>0</v>
      </c>
      <c r="K333" s="14">
        <v>0</v>
      </c>
      <c r="L333" s="14">
        <v>0</v>
      </c>
      <c r="M333" s="14"/>
      <c r="N333" s="14">
        <v>0</v>
      </c>
      <c r="O333" s="14"/>
      <c r="P333" s="14">
        <v>0</v>
      </c>
      <c r="Q333" s="13"/>
      <c r="R333" s="14">
        <f t="shared" si="15"/>
        <v>0</v>
      </c>
    </row>
    <row r="334" spans="1:18" outlineLevel="1" x14ac:dyDescent="0.2">
      <c r="A334" s="3" t="s">
        <v>3743</v>
      </c>
      <c r="B334" s="14">
        <v>0</v>
      </c>
      <c r="C334" s="13"/>
      <c r="D334" s="14">
        <v>0</v>
      </c>
      <c r="E334" s="14"/>
      <c r="F334" s="14">
        <v>0</v>
      </c>
      <c r="G334" s="14"/>
      <c r="H334" s="14">
        <v>0</v>
      </c>
      <c r="I334" s="14">
        <v>0</v>
      </c>
      <c r="J334" s="14">
        <v>0</v>
      </c>
      <c r="K334" s="14">
        <v>0</v>
      </c>
      <c r="L334" s="14">
        <v>0</v>
      </c>
      <c r="M334" s="14"/>
      <c r="N334" s="14">
        <v>0</v>
      </c>
      <c r="O334" s="14"/>
      <c r="P334" s="14">
        <v>0</v>
      </c>
      <c r="Q334" s="13"/>
      <c r="R334" s="14">
        <f t="shared" si="15"/>
        <v>0</v>
      </c>
    </row>
    <row r="335" spans="1:18" x14ac:dyDescent="0.2">
      <c r="A335" s="3" t="s">
        <v>3744</v>
      </c>
      <c r="B335" s="14">
        <f>SUM(B325:B334)</f>
        <v>0</v>
      </c>
      <c r="C335" s="13"/>
      <c r="D335" s="14">
        <f>SUM(D325:D334)</f>
        <v>0</v>
      </c>
      <c r="E335" s="13"/>
      <c r="F335" s="14">
        <f>SUM(F325:F334)</f>
        <v>0</v>
      </c>
      <c r="G335" s="13"/>
      <c r="H335" s="14">
        <f>SUM(H325:H334)</f>
        <v>0</v>
      </c>
      <c r="I335" s="13"/>
      <c r="J335" s="14">
        <f>SUM(J325:J334)</f>
        <v>0</v>
      </c>
      <c r="K335" s="13"/>
      <c r="L335" s="14">
        <f>SUM(L325:L334)</f>
        <v>0</v>
      </c>
      <c r="M335" s="13"/>
      <c r="N335" s="14">
        <f>SUM(N325:N334)</f>
        <v>0</v>
      </c>
      <c r="O335" s="13"/>
      <c r="P335" s="14">
        <f>SUM(P325:P334)</f>
        <v>0</v>
      </c>
      <c r="Q335" s="13"/>
      <c r="R335" s="14">
        <f>SUM(R325:R334)</f>
        <v>0</v>
      </c>
    </row>
    <row r="336" spans="1:18" outlineLevel="1" x14ac:dyDescent="0.2">
      <c r="A336" s="3" t="s">
        <v>3745</v>
      </c>
      <c r="B336" s="14">
        <v>-3801260.3699999996</v>
      </c>
      <c r="C336" s="13"/>
      <c r="D336" s="14">
        <v>-249276.5</v>
      </c>
      <c r="E336" s="14"/>
      <c r="F336" s="14">
        <v>73616.22</v>
      </c>
      <c r="G336" s="14"/>
      <c r="H336" s="14">
        <v>0</v>
      </c>
      <c r="I336" s="14">
        <v>0</v>
      </c>
      <c r="J336" s="14">
        <v>0</v>
      </c>
      <c r="K336" s="14">
        <v>0</v>
      </c>
      <c r="L336" s="14">
        <v>318888.19</v>
      </c>
      <c r="M336" s="14"/>
      <c r="N336" s="14">
        <v>0</v>
      </c>
      <c r="O336" s="14"/>
      <c r="P336" s="14">
        <v>0</v>
      </c>
      <c r="Q336" s="13"/>
      <c r="R336" s="14">
        <f t="shared" ref="R336:R350" si="16">SUM(B336:P336)</f>
        <v>-3658032.4599999995</v>
      </c>
    </row>
    <row r="337" spans="1:18" outlineLevel="1" x14ac:dyDescent="0.2">
      <c r="A337" s="3" t="s">
        <v>3746</v>
      </c>
      <c r="B337" s="14">
        <v>-9070938.5300000012</v>
      </c>
      <c r="C337" s="13"/>
      <c r="D337" s="14">
        <v>-209234.4</v>
      </c>
      <c r="E337" s="14"/>
      <c r="F337" s="14">
        <v>47762.52</v>
      </c>
      <c r="G337" s="14"/>
      <c r="H337" s="14">
        <v>0</v>
      </c>
      <c r="I337" s="14">
        <v>0</v>
      </c>
      <c r="J337" s="14">
        <v>0</v>
      </c>
      <c r="K337" s="14">
        <v>0</v>
      </c>
      <c r="L337" s="14">
        <v>0</v>
      </c>
      <c r="M337" s="14"/>
      <c r="N337" s="14">
        <v>0</v>
      </c>
      <c r="O337" s="14"/>
      <c r="P337" s="14">
        <v>0</v>
      </c>
      <c r="Q337" s="13"/>
      <c r="R337" s="14">
        <f t="shared" si="16"/>
        <v>-9232410.410000002</v>
      </c>
    </row>
    <row r="338" spans="1:18" outlineLevel="1" x14ac:dyDescent="0.2">
      <c r="A338" s="3" t="s">
        <v>3747</v>
      </c>
      <c r="B338" s="14">
        <v>-20614565.719999999</v>
      </c>
      <c r="C338" s="13"/>
      <c r="D338" s="14">
        <v>-693818.37</v>
      </c>
      <c r="E338" s="14"/>
      <c r="F338" s="14">
        <v>128668.6</v>
      </c>
      <c r="G338" s="14"/>
      <c r="H338" s="14">
        <v>0</v>
      </c>
      <c r="I338" s="14">
        <v>0</v>
      </c>
      <c r="J338" s="14">
        <v>0</v>
      </c>
      <c r="K338" s="14">
        <v>0</v>
      </c>
      <c r="L338" s="14">
        <v>80423.759999999995</v>
      </c>
      <c r="M338" s="14"/>
      <c r="N338" s="14">
        <v>0</v>
      </c>
      <c r="O338" s="14"/>
      <c r="P338" s="14">
        <v>0</v>
      </c>
      <c r="Q338" s="13"/>
      <c r="R338" s="14">
        <f t="shared" si="16"/>
        <v>-21099291.729999997</v>
      </c>
    </row>
    <row r="339" spans="1:18" outlineLevel="1" x14ac:dyDescent="0.2">
      <c r="A339" s="3" t="s">
        <v>3748</v>
      </c>
      <c r="B339" s="14">
        <v>-20826041.659999993</v>
      </c>
      <c r="C339" s="13"/>
      <c r="D339" s="14">
        <v>-897222.36</v>
      </c>
      <c r="E339" s="14"/>
      <c r="F339" s="14">
        <v>0</v>
      </c>
      <c r="G339" s="14"/>
      <c r="H339" s="14">
        <v>0</v>
      </c>
      <c r="I339" s="14">
        <v>0</v>
      </c>
      <c r="J339" s="14">
        <v>0</v>
      </c>
      <c r="K339" s="14">
        <v>0</v>
      </c>
      <c r="L339" s="14">
        <v>69267.92</v>
      </c>
      <c r="M339" s="14"/>
      <c r="N339" s="14">
        <v>0</v>
      </c>
      <c r="O339" s="14"/>
      <c r="P339" s="14">
        <v>0</v>
      </c>
      <c r="Q339" s="13"/>
      <c r="R339" s="14">
        <f t="shared" si="16"/>
        <v>-21653996.09999999</v>
      </c>
    </row>
    <row r="340" spans="1:18" outlineLevel="1" x14ac:dyDescent="0.2">
      <c r="A340" s="3" t="s">
        <v>3749</v>
      </c>
      <c r="B340" s="14">
        <v>-21384390.059999999</v>
      </c>
      <c r="C340" s="13"/>
      <c r="D340" s="14">
        <v>-596853.22</v>
      </c>
      <c r="E340" s="14"/>
      <c r="F340" s="14">
        <v>81808.160000000003</v>
      </c>
      <c r="G340" s="14"/>
      <c r="H340" s="14">
        <v>0</v>
      </c>
      <c r="I340" s="14">
        <v>0</v>
      </c>
      <c r="J340" s="14">
        <v>0</v>
      </c>
      <c r="K340" s="14">
        <v>0</v>
      </c>
      <c r="L340" s="14">
        <v>12827.92</v>
      </c>
      <c r="M340" s="14"/>
      <c r="N340" s="14">
        <v>0</v>
      </c>
      <c r="O340" s="14"/>
      <c r="P340" s="14">
        <v>0</v>
      </c>
      <c r="Q340" s="13"/>
      <c r="R340" s="14">
        <f t="shared" si="16"/>
        <v>-21886607.199999996</v>
      </c>
    </row>
    <row r="341" spans="1:18" outlineLevel="1" x14ac:dyDescent="0.2">
      <c r="A341" s="3" t="s">
        <v>3750</v>
      </c>
      <c r="B341" s="14">
        <v>-29423725.980000004</v>
      </c>
      <c r="C341" s="13"/>
      <c r="D341" s="14">
        <v>-754083.9</v>
      </c>
      <c r="E341" s="14"/>
      <c r="F341" s="14">
        <v>4154.76</v>
      </c>
      <c r="G341" s="14"/>
      <c r="H341" s="14">
        <v>0</v>
      </c>
      <c r="I341" s="14">
        <v>0</v>
      </c>
      <c r="J341" s="14">
        <v>0</v>
      </c>
      <c r="K341" s="14">
        <v>0</v>
      </c>
      <c r="L341" s="14">
        <v>0</v>
      </c>
      <c r="M341" s="14"/>
      <c r="N341" s="14">
        <v>0</v>
      </c>
      <c r="O341" s="14"/>
      <c r="P341" s="14">
        <v>0</v>
      </c>
      <c r="Q341" s="13"/>
      <c r="R341" s="14">
        <f t="shared" si="16"/>
        <v>-30173655.120000001</v>
      </c>
    </row>
    <row r="342" spans="1:18" outlineLevel="1" x14ac:dyDescent="0.2">
      <c r="A342" s="3" t="s">
        <v>3751</v>
      </c>
      <c r="B342" s="14">
        <v>-33064818.889999997</v>
      </c>
      <c r="C342" s="13"/>
      <c r="D342" s="14">
        <v>-1230712.1200000001</v>
      </c>
      <c r="E342" s="14"/>
      <c r="F342" s="14">
        <v>0</v>
      </c>
      <c r="G342" s="14"/>
      <c r="H342" s="14">
        <v>0</v>
      </c>
      <c r="I342" s="14">
        <v>0</v>
      </c>
      <c r="J342" s="14">
        <v>0</v>
      </c>
      <c r="K342" s="14">
        <v>0</v>
      </c>
      <c r="L342" s="14">
        <v>0</v>
      </c>
      <c r="M342" s="14"/>
      <c r="N342" s="14">
        <v>0</v>
      </c>
      <c r="O342" s="14"/>
      <c r="P342" s="14">
        <v>0</v>
      </c>
      <c r="Q342" s="13"/>
      <c r="R342" s="14">
        <f t="shared" si="16"/>
        <v>-34295531.009999998</v>
      </c>
    </row>
    <row r="343" spans="1:18" outlineLevel="1" x14ac:dyDescent="0.2">
      <c r="A343" s="3" t="s">
        <v>3752</v>
      </c>
      <c r="B343" s="14">
        <v>0</v>
      </c>
      <c r="C343" s="13"/>
      <c r="D343" s="14">
        <v>0</v>
      </c>
      <c r="E343" s="14"/>
      <c r="F343" s="14">
        <v>0</v>
      </c>
      <c r="G343" s="14"/>
      <c r="H343" s="14">
        <v>0</v>
      </c>
      <c r="I343" s="14">
        <v>0</v>
      </c>
      <c r="J343" s="14">
        <v>0</v>
      </c>
      <c r="K343" s="14">
        <v>0</v>
      </c>
      <c r="L343" s="14">
        <v>0</v>
      </c>
      <c r="M343" s="14"/>
      <c r="N343" s="14">
        <v>0</v>
      </c>
      <c r="O343" s="14"/>
      <c r="P343" s="14">
        <v>0</v>
      </c>
      <c r="Q343" s="13"/>
      <c r="R343" s="14">
        <f t="shared" si="16"/>
        <v>0</v>
      </c>
    </row>
    <row r="344" spans="1:18" outlineLevel="1" x14ac:dyDescent="0.2">
      <c r="A344" s="3" t="s">
        <v>3753</v>
      </c>
      <c r="B344" s="14">
        <v>-361643.78999999957</v>
      </c>
      <c r="C344" s="13"/>
      <c r="D344" s="14">
        <v>0</v>
      </c>
      <c r="E344" s="14"/>
      <c r="F344" s="14">
        <v>0</v>
      </c>
      <c r="G344" s="14"/>
      <c r="H344" s="14">
        <v>0</v>
      </c>
      <c r="I344" s="14">
        <v>0</v>
      </c>
      <c r="J344" s="14">
        <v>0</v>
      </c>
      <c r="K344" s="14">
        <v>0</v>
      </c>
      <c r="L344" s="14">
        <v>0</v>
      </c>
      <c r="M344" s="14"/>
      <c r="N344" s="14">
        <v>0</v>
      </c>
      <c r="O344" s="14"/>
      <c r="P344" s="14">
        <v>0</v>
      </c>
      <c r="Q344" s="13"/>
      <c r="R344" s="14">
        <f t="shared" si="16"/>
        <v>-361643.78999999957</v>
      </c>
    </row>
    <row r="345" spans="1:18" outlineLevel="1" x14ac:dyDescent="0.2">
      <c r="A345" s="3" t="s">
        <v>3754</v>
      </c>
      <c r="B345" s="14">
        <v>-1227914.2400000021</v>
      </c>
      <c r="C345" s="13"/>
      <c r="D345" s="14">
        <v>0</v>
      </c>
      <c r="E345" s="14"/>
      <c r="F345" s="14">
        <v>0</v>
      </c>
      <c r="G345" s="14"/>
      <c r="H345" s="14">
        <v>0</v>
      </c>
      <c r="I345" s="14">
        <v>0</v>
      </c>
      <c r="J345" s="14">
        <v>0</v>
      </c>
      <c r="K345" s="14">
        <v>0</v>
      </c>
      <c r="L345" s="14">
        <v>0</v>
      </c>
      <c r="M345" s="14"/>
      <c r="N345" s="14">
        <v>0</v>
      </c>
      <c r="O345" s="14"/>
      <c r="P345" s="14">
        <v>0</v>
      </c>
      <c r="Q345" s="13"/>
      <c r="R345" s="14">
        <f t="shared" si="16"/>
        <v>-1227914.2400000021</v>
      </c>
    </row>
    <row r="346" spans="1:18" outlineLevel="1" x14ac:dyDescent="0.2">
      <c r="A346" s="3" t="s">
        <v>3755</v>
      </c>
      <c r="B346" s="14">
        <v>0</v>
      </c>
      <c r="C346" s="13"/>
      <c r="D346" s="14">
        <v>0</v>
      </c>
      <c r="E346" s="14"/>
      <c r="F346" s="14">
        <v>0</v>
      </c>
      <c r="G346" s="14"/>
      <c r="H346" s="14">
        <v>0</v>
      </c>
      <c r="I346" s="14">
        <v>0</v>
      </c>
      <c r="J346" s="14">
        <v>0</v>
      </c>
      <c r="K346" s="14">
        <v>0</v>
      </c>
      <c r="L346" s="14">
        <v>0</v>
      </c>
      <c r="M346" s="14"/>
      <c r="N346" s="14">
        <v>0</v>
      </c>
      <c r="O346" s="14"/>
      <c r="P346" s="14">
        <v>0</v>
      </c>
      <c r="Q346" s="13"/>
      <c r="R346" s="14">
        <f t="shared" si="16"/>
        <v>0</v>
      </c>
    </row>
    <row r="347" spans="1:18" outlineLevel="1" x14ac:dyDescent="0.2">
      <c r="A347" s="3" t="s">
        <v>3756</v>
      </c>
      <c r="B347" s="14">
        <v>0</v>
      </c>
      <c r="C347" s="13"/>
      <c r="D347" s="14">
        <v>0</v>
      </c>
      <c r="E347" s="14"/>
      <c r="F347" s="14">
        <v>0</v>
      </c>
      <c r="G347" s="14"/>
      <c r="H347" s="14">
        <v>0</v>
      </c>
      <c r="I347" s="14">
        <v>0</v>
      </c>
      <c r="J347" s="14">
        <v>0</v>
      </c>
      <c r="K347" s="14">
        <v>0</v>
      </c>
      <c r="L347" s="14">
        <v>0</v>
      </c>
      <c r="M347" s="14"/>
      <c r="N347" s="14">
        <v>0</v>
      </c>
      <c r="O347" s="14"/>
      <c r="P347" s="14">
        <v>0</v>
      </c>
      <c r="Q347" s="13"/>
      <c r="R347" s="14">
        <f t="shared" si="16"/>
        <v>0</v>
      </c>
    </row>
    <row r="348" spans="1:18" outlineLevel="1" x14ac:dyDescent="0.2">
      <c r="A348" s="43" t="s">
        <v>3757</v>
      </c>
      <c r="B348" s="14">
        <v>-20271673.390000001</v>
      </c>
      <c r="C348" s="13"/>
      <c r="D348" s="14">
        <v>-1889111.66</v>
      </c>
      <c r="E348" s="14"/>
      <c r="F348" s="14">
        <v>177867.64</v>
      </c>
      <c r="G348" s="14"/>
      <c r="H348" s="14">
        <v>0</v>
      </c>
      <c r="I348" s="14">
        <v>0</v>
      </c>
      <c r="J348" s="14">
        <v>0</v>
      </c>
      <c r="K348" s="14">
        <v>0</v>
      </c>
      <c r="L348" s="14">
        <v>0</v>
      </c>
      <c r="M348" s="14"/>
      <c r="N348" s="14">
        <v>0</v>
      </c>
      <c r="O348" s="14"/>
      <c r="P348" s="14">
        <v>0</v>
      </c>
      <c r="Q348" s="13"/>
      <c r="R348" s="14">
        <f t="shared" si="16"/>
        <v>-21982917.41</v>
      </c>
    </row>
    <row r="349" spans="1:18" outlineLevel="1" x14ac:dyDescent="0.2">
      <c r="A349" s="3" t="s">
        <v>3758</v>
      </c>
      <c r="B349" s="14">
        <v>-332381.18999999994</v>
      </c>
      <c r="C349" s="13"/>
      <c r="D349" s="14">
        <v>0</v>
      </c>
      <c r="E349" s="14"/>
      <c r="F349" s="14">
        <v>0</v>
      </c>
      <c r="G349" s="14"/>
      <c r="H349" s="14">
        <v>0</v>
      </c>
      <c r="I349" s="14">
        <v>0</v>
      </c>
      <c r="J349" s="14">
        <v>0</v>
      </c>
      <c r="K349" s="14">
        <v>0</v>
      </c>
      <c r="L349" s="14">
        <v>0</v>
      </c>
      <c r="M349" s="14"/>
      <c r="N349" s="14">
        <v>0</v>
      </c>
      <c r="O349" s="14"/>
      <c r="P349" s="14">
        <v>0</v>
      </c>
      <c r="Q349" s="13"/>
      <c r="R349" s="14">
        <f t="shared" si="16"/>
        <v>-332381.18999999994</v>
      </c>
    </row>
    <row r="350" spans="1:18" outlineLevel="1" x14ac:dyDescent="0.2">
      <c r="A350" s="3" t="s">
        <v>3759</v>
      </c>
      <c r="B350" s="14">
        <v>-416110.01999999909</v>
      </c>
      <c r="C350" s="13"/>
      <c r="D350" s="14">
        <v>0</v>
      </c>
      <c r="E350" s="14"/>
      <c r="F350" s="14">
        <v>0</v>
      </c>
      <c r="G350" s="14"/>
      <c r="H350" s="14">
        <v>0</v>
      </c>
      <c r="I350" s="14">
        <v>0</v>
      </c>
      <c r="J350" s="14">
        <v>0</v>
      </c>
      <c r="K350" s="14">
        <v>0</v>
      </c>
      <c r="L350" s="14">
        <v>0</v>
      </c>
      <c r="M350" s="14"/>
      <c r="N350" s="14">
        <v>0</v>
      </c>
      <c r="O350" s="14"/>
      <c r="P350" s="14">
        <v>0</v>
      </c>
      <c r="Q350" s="13"/>
      <c r="R350" s="14">
        <f t="shared" si="16"/>
        <v>-416110.01999999909</v>
      </c>
    </row>
    <row r="351" spans="1:18" x14ac:dyDescent="0.2">
      <c r="A351" s="3" t="s">
        <v>3760</v>
      </c>
      <c r="B351" s="14">
        <f>SUM(B336:B350)</f>
        <v>-160795463.84</v>
      </c>
      <c r="C351" s="13"/>
      <c r="D351" s="14">
        <f>SUM(D336:D350)</f>
        <v>-6520312.5299999993</v>
      </c>
      <c r="E351" s="13"/>
      <c r="F351" s="14">
        <f>SUM(F336:F350)</f>
        <v>513877.9</v>
      </c>
      <c r="G351" s="13"/>
      <c r="H351" s="14">
        <f>SUM(H336:H350)</f>
        <v>0</v>
      </c>
      <c r="I351" s="13"/>
      <c r="J351" s="14">
        <f>SUM(J336:J350)</f>
        <v>0</v>
      </c>
      <c r="K351" s="13"/>
      <c r="L351" s="14">
        <f>SUM(L336:L350)</f>
        <v>481407.79</v>
      </c>
      <c r="M351" s="13"/>
      <c r="N351" s="14">
        <f>SUM(N336:N350)</f>
        <v>0</v>
      </c>
      <c r="O351" s="13"/>
      <c r="P351" s="14">
        <f>SUM(P336:P350)</f>
        <v>0</v>
      </c>
      <c r="Q351" s="13"/>
      <c r="R351" s="14">
        <f>SUM(R336:R350)</f>
        <v>-166320490.67999998</v>
      </c>
    </row>
    <row r="352" spans="1:18" x14ac:dyDescent="0.2">
      <c r="A352" s="3" t="s">
        <v>3761</v>
      </c>
      <c r="B352" s="14">
        <v>0</v>
      </c>
      <c r="C352" s="13"/>
      <c r="D352" s="14">
        <v>0</v>
      </c>
      <c r="E352" s="13"/>
      <c r="F352" s="74">
        <v>0</v>
      </c>
      <c r="G352" s="13"/>
      <c r="H352" s="74">
        <v>0</v>
      </c>
      <c r="I352" s="13"/>
      <c r="J352" s="14">
        <v>0</v>
      </c>
      <c r="K352" s="13"/>
      <c r="L352" s="74">
        <v>0</v>
      </c>
      <c r="M352" s="13"/>
      <c r="N352" s="74">
        <v>0</v>
      </c>
      <c r="O352" s="13"/>
      <c r="P352" s="100">
        <v>0</v>
      </c>
      <c r="Q352" s="13"/>
      <c r="R352" s="14">
        <f>SUM(B352:P352)</f>
        <v>0</v>
      </c>
    </row>
    <row r="353" spans="1:18" outlineLevel="1" x14ac:dyDescent="0.2">
      <c r="A353" s="3" t="s">
        <v>3762</v>
      </c>
      <c r="B353" s="14">
        <v>-3219137.5499999993</v>
      </c>
      <c r="C353" s="13"/>
      <c r="D353" s="14">
        <v>-50162.13</v>
      </c>
      <c r="E353" s="14"/>
      <c r="F353" s="14">
        <v>0</v>
      </c>
      <c r="G353" s="14"/>
      <c r="H353" s="14">
        <v>0</v>
      </c>
      <c r="I353" s="14">
        <v>0</v>
      </c>
      <c r="J353" s="14">
        <v>0</v>
      </c>
      <c r="K353" s="14">
        <v>0</v>
      </c>
      <c r="L353" s="14">
        <v>0</v>
      </c>
      <c r="M353" s="14"/>
      <c r="N353" s="14">
        <v>0</v>
      </c>
      <c r="O353" s="14"/>
      <c r="P353" s="14">
        <v>0</v>
      </c>
      <c r="Q353" s="13"/>
      <c r="R353" s="14">
        <f t="shared" ref="R353:R387" si="17">SUM(B353:P353)</f>
        <v>-3269299.6799999992</v>
      </c>
    </row>
    <row r="354" spans="1:18" outlineLevel="1" x14ac:dyDescent="0.2">
      <c r="A354" s="3" t="s">
        <v>3763</v>
      </c>
      <c r="B354" s="14">
        <v>-1409941.3</v>
      </c>
      <c r="C354" s="13"/>
      <c r="D354" s="14">
        <v>-45655.29</v>
      </c>
      <c r="E354" s="14"/>
      <c r="F354" s="14">
        <v>4082.72</v>
      </c>
      <c r="G354" s="14"/>
      <c r="H354" s="14">
        <v>0</v>
      </c>
      <c r="I354" s="14">
        <v>0</v>
      </c>
      <c r="J354" s="14">
        <v>0</v>
      </c>
      <c r="K354" s="14">
        <v>0</v>
      </c>
      <c r="L354" s="14">
        <v>685.43</v>
      </c>
      <c r="M354" s="14"/>
      <c r="N354" s="14">
        <v>0</v>
      </c>
      <c r="O354" s="14"/>
      <c r="P354" s="14">
        <v>0</v>
      </c>
      <c r="Q354" s="13"/>
      <c r="R354" s="14">
        <f t="shared" si="17"/>
        <v>-1450828.4400000002</v>
      </c>
    </row>
    <row r="355" spans="1:18" outlineLevel="1" x14ac:dyDescent="0.2">
      <c r="A355" s="3" t="s">
        <v>3764</v>
      </c>
      <c r="B355" s="14">
        <v>0</v>
      </c>
      <c r="C355" s="13"/>
      <c r="D355" s="14">
        <v>0</v>
      </c>
      <c r="E355" s="14"/>
      <c r="F355" s="14">
        <v>0</v>
      </c>
      <c r="G355" s="14"/>
      <c r="H355" s="14">
        <v>0</v>
      </c>
      <c r="I355" s="14">
        <v>0</v>
      </c>
      <c r="J355" s="14">
        <v>0</v>
      </c>
      <c r="K355" s="14">
        <v>0</v>
      </c>
      <c r="L355" s="14">
        <v>0</v>
      </c>
      <c r="M355" s="14"/>
      <c r="N355" s="14">
        <v>0</v>
      </c>
      <c r="O355" s="14"/>
      <c r="P355" s="14">
        <v>0</v>
      </c>
      <c r="Q355" s="13"/>
      <c r="R355" s="14">
        <f t="shared" si="17"/>
        <v>0</v>
      </c>
    </row>
    <row r="356" spans="1:18" outlineLevel="1" x14ac:dyDescent="0.2">
      <c r="A356" s="3" t="s">
        <v>3765</v>
      </c>
      <c r="B356" s="14">
        <v>-6735225.8400000026</v>
      </c>
      <c r="C356" s="13"/>
      <c r="D356" s="14">
        <v>-106621.25</v>
      </c>
      <c r="E356" s="14"/>
      <c r="F356" s="14">
        <v>0</v>
      </c>
      <c r="G356" s="14"/>
      <c r="H356" s="14">
        <v>0</v>
      </c>
      <c r="I356" s="14">
        <v>0</v>
      </c>
      <c r="J356" s="14">
        <v>0</v>
      </c>
      <c r="K356" s="14">
        <v>0</v>
      </c>
      <c r="L356" s="14">
        <v>0</v>
      </c>
      <c r="M356" s="14"/>
      <c r="N356" s="14">
        <v>0</v>
      </c>
      <c r="O356" s="14"/>
      <c r="P356" s="14">
        <v>0</v>
      </c>
      <c r="Q356" s="13"/>
      <c r="R356" s="14">
        <f t="shared" si="17"/>
        <v>-6841847.0900000026</v>
      </c>
    </row>
    <row r="357" spans="1:18" outlineLevel="1" x14ac:dyDescent="0.2">
      <c r="A357" s="3" t="s">
        <v>3766</v>
      </c>
      <c r="B357" s="14">
        <v>0</v>
      </c>
      <c r="C357" s="13"/>
      <c r="D357" s="14">
        <v>0</v>
      </c>
      <c r="E357" s="14"/>
      <c r="F357" s="14">
        <v>0</v>
      </c>
      <c r="G357" s="14"/>
      <c r="H357" s="14">
        <v>0</v>
      </c>
      <c r="I357" s="14">
        <v>0</v>
      </c>
      <c r="J357" s="14">
        <v>0</v>
      </c>
      <c r="K357" s="14">
        <v>0</v>
      </c>
      <c r="L357" s="14">
        <v>0</v>
      </c>
      <c r="M357" s="14"/>
      <c r="N357" s="14">
        <v>0</v>
      </c>
      <c r="O357" s="14"/>
      <c r="P357" s="14">
        <v>0</v>
      </c>
      <c r="Q357" s="13"/>
      <c r="R357" s="14">
        <f>SUM(B357:P357)</f>
        <v>0</v>
      </c>
    </row>
    <row r="358" spans="1:18" outlineLevel="1" x14ac:dyDescent="0.2">
      <c r="A358" s="3" t="s">
        <v>3767</v>
      </c>
      <c r="B358" s="14">
        <v>-5739629.71</v>
      </c>
      <c r="C358" s="13"/>
      <c r="D358" s="14">
        <v>-1245627.72</v>
      </c>
      <c r="E358" s="14"/>
      <c r="F358" s="14">
        <v>0</v>
      </c>
      <c r="G358" s="14"/>
      <c r="H358" s="14">
        <v>0</v>
      </c>
      <c r="I358" s="14">
        <v>0</v>
      </c>
      <c r="J358" s="14">
        <v>0</v>
      </c>
      <c r="K358" s="14">
        <v>0</v>
      </c>
      <c r="L358" s="14">
        <v>0</v>
      </c>
      <c r="M358" s="14"/>
      <c r="N358" s="14">
        <v>0</v>
      </c>
      <c r="O358" s="14"/>
      <c r="P358" s="14">
        <v>0</v>
      </c>
      <c r="Q358" s="13"/>
      <c r="R358" s="14">
        <f>SUM(B358:P358)</f>
        <v>-6985257.4299999997</v>
      </c>
    </row>
    <row r="359" spans="1:18" outlineLevel="1" x14ac:dyDescent="0.2">
      <c r="A359" s="3" t="s">
        <v>3768</v>
      </c>
      <c r="B359" s="14">
        <v>0</v>
      </c>
      <c r="C359" s="13"/>
      <c r="D359" s="14">
        <v>0</v>
      </c>
      <c r="E359" s="14"/>
      <c r="F359" s="14">
        <v>0</v>
      </c>
      <c r="G359" s="14"/>
      <c r="H359" s="14">
        <v>0</v>
      </c>
      <c r="I359" s="14">
        <v>0</v>
      </c>
      <c r="J359" s="14">
        <v>0</v>
      </c>
      <c r="K359" s="14">
        <v>0</v>
      </c>
      <c r="L359" s="14">
        <v>0</v>
      </c>
      <c r="M359" s="14"/>
      <c r="N359" s="14">
        <v>0</v>
      </c>
      <c r="O359" s="14"/>
      <c r="P359" s="14">
        <v>0</v>
      </c>
      <c r="Q359" s="13"/>
      <c r="R359" s="14">
        <f>SUM(B359:P359)</f>
        <v>0</v>
      </c>
    </row>
    <row r="360" spans="1:18" outlineLevel="1" x14ac:dyDescent="0.2">
      <c r="A360" s="43" t="s">
        <v>3769</v>
      </c>
      <c r="B360" s="14">
        <v>-8506.9599999999991</v>
      </c>
      <c r="C360" s="13"/>
      <c r="D360" s="14">
        <v>-13807.08</v>
      </c>
      <c r="E360" s="14"/>
      <c r="F360" s="14">
        <v>0</v>
      </c>
      <c r="G360" s="14"/>
      <c r="H360" s="14">
        <v>0</v>
      </c>
      <c r="I360" s="14"/>
      <c r="J360" s="14">
        <v>0</v>
      </c>
      <c r="K360" s="14"/>
      <c r="L360" s="14">
        <v>0</v>
      </c>
      <c r="M360" s="14"/>
      <c r="N360" s="14">
        <v>0</v>
      </c>
      <c r="O360" s="14"/>
      <c r="P360" s="14">
        <v>0</v>
      </c>
      <c r="Q360" s="13"/>
      <c r="R360" s="14">
        <f>SUM(B360:P360)</f>
        <v>-22314.04</v>
      </c>
    </row>
    <row r="361" spans="1:18" outlineLevel="1" x14ac:dyDescent="0.2">
      <c r="A361" s="3" t="s">
        <v>3770</v>
      </c>
      <c r="B361" s="14">
        <v>-8492085.9900000021</v>
      </c>
      <c r="C361" s="13"/>
      <c r="D361" s="14">
        <v>-50474.32</v>
      </c>
      <c r="E361" s="14"/>
      <c r="F361" s="14">
        <v>39911.360000000001</v>
      </c>
      <c r="G361" s="14"/>
      <c r="H361" s="14">
        <v>0</v>
      </c>
      <c r="I361" s="14">
        <v>0</v>
      </c>
      <c r="J361" s="14">
        <v>0</v>
      </c>
      <c r="K361" s="14">
        <v>0</v>
      </c>
      <c r="L361" s="14">
        <v>6952.91</v>
      </c>
      <c r="M361" s="14"/>
      <c r="N361" s="14">
        <v>0</v>
      </c>
      <c r="O361" s="14"/>
      <c r="P361" s="14">
        <v>0</v>
      </c>
      <c r="Q361" s="13"/>
      <c r="R361" s="14">
        <f t="shared" si="17"/>
        <v>-8495696.0400000028</v>
      </c>
    </row>
    <row r="362" spans="1:18" outlineLevel="1" x14ac:dyDescent="0.2">
      <c r="A362" s="3" t="s">
        <v>3771</v>
      </c>
      <c r="B362" s="14">
        <v>-4905197.08</v>
      </c>
      <c r="C362" s="13"/>
      <c r="D362" s="14">
        <v>-437572.32</v>
      </c>
      <c r="E362" s="14"/>
      <c r="F362" s="14">
        <v>37999.14</v>
      </c>
      <c r="G362" s="14"/>
      <c r="H362" s="14">
        <v>0</v>
      </c>
      <c r="I362" s="14">
        <v>0</v>
      </c>
      <c r="J362" s="14">
        <v>0</v>
      </c>
      <c r="K362" s="14">
        <v>0</v>
      </c>
      <c r="L362" s="14">
        <v>3799.14</v>
      </c>
      <c r="M362" s="14"/>
      <c r="N362" s="14">
        <v>0</v>
      </c>
      <c r="O362" s="14"/>
      <c r="P362" s="14">
        <v>0</v>
      </c>
      <c r="Q362" s="13"/>
      <c r="R362" s="14">
        <f t="shared" si="17"/>
        <v>-5300971.120000001</v>
      </c>
    </row>
    <row r="363" spans="1:18" outlineLevel="1" x14ac:dyDescent="0.2">
      <c r="A363" s="3" t="s">
        <v>3772</v>
      </c>
      <c r="B363" s="14">
        <v>0</v>
      </c>
      <c r="C363" s="13"/>
      <c r="D363" s="14">
        <v>0</v>
      </c>
      <c r="E363" s="14"/>
      <c r="F363" s="14">
        <v>0</v>
      </c>
      <c r="G363" s="14"/>
      <c r="H363" s="14">
        <v>0</v>
      </c>
      <c r="I363" s="14">
        <v>0</v>
      </c>
      <c r="J363" s="14">
        <v>0</v>
      </c>
      <c r="K363" s="14">
        <v>0</v>
      </c>
      <c r="L363" s="14">
        <v>0</v>
      </c>
      <c r="M363" s="14"/>
      <c r="N363" s="14">
        <v>0</v>
      </c>
      <c r="O363" s="14"/>
      <c r="P363" s="14">
        <v>0</v>
      </c>
      <c r="Q363" s="13"/>
      <c r="R363" s="14">
        <f t="shared" si="17"/>
        <v>0</v>
      </c>
    </row>
    <row r="364" spans="1:18" outlineLevel="1" x14ac:dyDescent="0.2">
      <c r="A364" s="43" t="s">
        <v>3773</v>
      </c>
      <c r="B364" s="14">
        <v>-119.15</v>
      </c>
      <c r="C364" s="13"/>
      <c r="D364" s="14">
        <v>-2905.39</v>
      </c>
      <c r="E364" s="14"/>
      <c r="F364" s="14">
        <v>0</v>
      </c>
      <c r="G364" s="14"/>
      <c r="H364" s="14">
        <v>0</v>
      </c>
      <c r="I364" s="14">
        <v>0</v>
      </c>
      <c r="J364" s="14">
        <v>0</v>
      </c>
      <c r="K364" s="14">
        <v>0</v>
      </c>
      <c r="L364" s="14">
        <v>0</v>
      </c>
      <c r="M364" s="14"/>
      <c r="N364" s="14">
        <v>0</v>
      </c>
      <c r="O364" s="14"/>
      <c r="P364" s="14">
        <v>0</v>
      </c>
      <c r="Q364" s="13"/>
      <c r="R364" s="14">
        <f t="shared" si="17"/>
        <v>-3024.54</v>
      </c>
    </row>
    <row r="365" spans="1:18" outlineLevel="1" x14ac:dyDescent="0.2">
      <c r="A365" s="3" t="s">
        <v>3774</v>
      </c>
      <c r="B365" s="14">
        <v>-11303200.440000001</v>
      </c>
      <c r="C365" s="13"/>
      <c r="D365" s="14">
        <v>-185062.42</v>
      </c>
      <c r="E365" s="14"/>
      <c r="F365" s="14">
        <v>97953.5</v>
      </c>
      <c r="G365" s="14"/>
      <c r="H365" s="14">
        <v>0</v>
      </c>
      <c r="I365" s="14">
        <v>0</v>
      </c>
      <c r="J365" s="14">
        <v>0</v>
      </c>
      <c r="K365" s="14">
        <v>0</v>
      </c>
      <c r="L365" s="14">
        <v>14273.94</v>
      </c>
      <c r="M365" s="14"/>
      <c r="N365" s="14">
        <v>0</v>
      </c>
      <c r="O365" s="14"/>
      <c r="P365" s="14">
        <v>0</v>
      </c>
      <c r="Q365" s="13"/>
      <c r="R365" s="14">
        <f t="shared" si="17"/>
        <v>-11376035.420000002</v>
      </c>
    </row>
    <row r="366" spans="1:18" outlineLevel="1" x14ac:dyDescent="0.2">
      <c r="A366" s="3" t="s">
        <v>3775</v>
      </c>
      <c r="B366" s="14">
        <v>-180720.81</v>
      </c>
      <c r="C366" s="13"/>
      <c r="D366" s="14">
        <v>-41662.559999999998</v>
      </c>
      <c r="E366" s="14"/>
      <c r="F366" s="14">
        <v>0</v>
      </c>
      <c r="G366" s="14"/>
      <c r="H366" s="14">
        <v>0</v>
      </c>
      <c r="I366" s="14">
        <v>0</v>
      </c>
      <c r="J366" s="14">
        <v>0</v>
      </c>
      <c r="K366" s="14">
        <v>0</v>
      </c>
      <c r="L366" s="14">
        <v>0</v>
      </c>
      <c r="M366" s="14"/>
      <c r="N366" s="14">
        <v>0</v>
      </c>
      <c r="O366" s="14"/>
      <c r="P366" s="14">
        <v>0</v>
      </c>
      <c r="Q366" s="13"/>
      <c r="R366" s="14">
        <f t="shared" si="17"/>
        <v>-222383.37</v>
      </c>
    </row>
    <row r="367" spans="1:18" outlineLevel="1" x14ac:dyDescent="0.2">
      <c r="A367" s="3" t="s">
        <v>3776</v>
      </c>
      <c r="B367" s="14">
        <v>0</v>
      </c>
      <c r="C367" s="13"/>
      <c r="D367" s="14">
        <v>0</v>
      </c>
      <c r="E367" s="14"/>
      <c r="F367" s="14">
        <v>0</v>
      </c>
      <c r="G367" s="14"/>
      <c r="H367" s="14">
        <v>0</v>
      </c>
      <c r="I367" s="14">
        <v>0</v>
      </c>
      <c r="J367" s="14">
        <v>0</v>
      </c>
      <c r="K367" s="14">
        <v>0</v>
      </c>
      <c r="L367" s="14">
        <v>0</v>
      </c>
      <c r="M367" s="14"/>
      <c r="N367" s="14">
        <v>0</v>
      </c>
      <c r="O367" s="14"/>
      <c r="P367" s="14">
        <v>0</v>
      </c>
      <c r="Q367" s="13"/>
      <c r="R367" s="14">
        <f t="shared" si="17"/>
        <v>0</v>
      </c>
    </row>
    <row r="368" spans="1:18" outlineLevel="1" x14ac:dyDescent="0.2">
      <c r="A368" s="43" t="s">
        <v>3777</v>
      </c>
      <c r="B368" s="14">
        <v>-46698.369999999995</v>
      </c>
      <c r="C368" s="13"/>
      <c r="D368" s="14">
        <v>-32124.65</v>
      </c>
      <c r="E368" s="14"/>
      <c r="F368" s="14">
        <v>0</v>
      </c>
      <c r="G368" s="14"/>
      <c r="H368" s="14">
        <v>0</v>
      </c>
      <c r="I368" s="14">
        <v>0</v>
      </c>
      <c r="J368" s="14">
        <v>0</v>
      </c>
      <c r="K368" s="14">
        <v>0</v>
      </c>
      <c r="L368" s="14">
        <v>0</v>
      </c>
      <c r="M368" s="14"/>
      <c r="N368" s="14">
        <v>0</v>
      </c>
      <c r="O368" s="14"/>
      <c r="P368" s="14">
        <v>0</v>
      </c>
      <c r="Q368" s="13"/>
      <c r="R368" s="14">
        <f>SUM(B368:P368)</f>
        <v>-78823.01999999999</v>
      </c>
    </row>
    <row r="369" spans="1:18" outlineLevel="1" x14ac:dyDescent="0.2">
      <c r="A369" s="3" t="s">
        <v>3778</v>
      </c>
      <c r="B369" s="14">
        <v>-24373034.730000004</v>
      </c>
      <c r="C369" s="13"/>
      <c r="D369" s="14">
        <v>-400254.99</v>
      </c>
      <c r="E369" s="14"/>
      <c r="F369" s="14">
        <v>16352.67</v>
      </c>
      <c r="G369" s="14"/>
      <c r="H369" s="14">
        <v>0</v>
      </c>
      <c r="I369" s="14"/>
      <c r="J369" s="14">
        <v>0</v>
      </c>
      <c r="K369" s="14"/>
      <c r="L369" s="14">
        <v>2069.02</v>
      </c>
      <c r="M369" s="14"/>
      <c r="N369" s="14">
        <v>0</v>
      </c>
      <c r="O369" s="14"/>
      <c r="P369" s="14">
        <v>0</v>
      </c>
      <c r="Q369" s="13"/>
      <c r="R369" s="14">
        <f>SUM(B369:P369)</f>
        <v>-24754868.030000001</v>
      </c>
    </row>
    <row r="370" spans="1:18" outlineLevel="1" x14ac:dyDescent="0.2">
      <c r="A370" s="96" t="s">
        <v>3779</v>
      </c>
      <c r="B370" s="14">
        <v>-741.72</v>
      </c>
      <c r="C370" s="13"/>
      <c r="D370" s="14">
        <v>-689.37</v>
      </c>
      <c r="E370" s="14"/>
      <c r="F370" s="14">
        <v>0</v>
      </c>
      <c r="G370" s="14"/>
      <c r="H370" s="14">
        <v>0</v>
      </c>
      <c r="I370" s="14"/>
      <c r="J370" s="14">
        <v>0</v>
      </c>
      <c r="K370" s="14"/>
      <c r="L370" s="14">
        <v>0</v>
      </c>
      <c r="M370" s="14"/>
      <c r="N370" s="14">
        <v>0</v>
      </c>
      <c r="O370" s="14"/>
      <c r="P370" s="14">
        <v>0</v>
      </c>
      <c r="Q370" s="13"/>
      <c r="R370" s="14">
        <f>SUM(B370:P370)</f>
        <v>-1431.0900000000001</v>
      </c>
    </row>
    <row r="371" spans="1:18" outlineLevel="1" x14ac:dyDescent="0.2">
      <c r="A371" s="96" t="s">
        <v>3780</v>
      </c>
      <c r="B371" s="14">
        <v>-41852.61</v>
      </c>
      <c r="C371" s="13"/>
      <c r="D371" s="14">
        <v>-41636.120000000003</v>
      </c>
      <c r="E371" s="14"/>
      <c r="F371" s="14">
        <v>0</v>
      </c>
      <c r="G371" s="14"/>
      <c r="H371" s="14">
        <v>0</v>
      </c>
      <c r="I371" s="14">
        <v>0</v>
      </c>
      <c r="J371" s="14">
        <v>0</v>
      </c>
      <c r="K371" s="14">
        <v>0</v>
      </c>
      <c r="L371" s="14">
        <v>0</v>
      </c>
      <c r="M371" s="14"/>
      <c r="N371" s="14">
        <v>0</v>
      </c>
      <c r="O371" s="14"/>
      <c r="P371" s="14">
        <v>0</v>
      </c>
      <c r="Q371" s="13"/>
      <c r="R371" s="14">
        <f>SUM(B371:P371)</f>
        <v>-83488.73000000001</v>
      </c>
    </row>
    <row r="372" spans="1:18" outlineLevel="1" x14ac:dyDescent="0.2">
      <c r="A372" s="3" t="s">
        <v>3781</v>
      </c>
      <c r="B372" s="14">
        <v>-17998748.919999998</v>
      </c>
      <c r="C372" s="13"/>
      <c r="D372" s="14">
        <v>-364963.06</v>
      </c>
      <c r="E372" s="14"/>
      <c r="F372" s="14">
        <v>52092.43</v>
      </c>
      <c r="G372" s="14"/>
      <c r="H372" s="14">
        <v>0</v>
      </c>
      <c r="I372" s="14">
        <v>0</v>
      </c>
      <c r="J372" s="14">
        <v>0</v>
      </c>
      <c r="K372" s="14">
        <v>0</v>
      </c>
      <c r="L372" s="14">
        <v>12668.01</v>
      </c>
      <c r="M372" s="14"/>
      <c r="N372" s="14">
        <v>0</v>
      </c>
      <c r="O372" s="14"/>
      <c r="P372" s="14">
        <v>0</v>
      </c>
      <c r="Q372" s="13"/>
      <c r="R372" s="14">
        <f>SUM(B372:P372)</f>
        <v>-18298951.539999995</v>
      </c>
    </row>
    <row r="373" spans="1:18" outlineLevel="1" x14ac:dyDescent="0.2">
      <c r="A373" s="3" t="s">
        <v>3782</v>
      </c>
      <c r="B373" s="14">
        <v>-3570887.5500000003</v>
      </c>
      <c r="C373" s="13"/>
      <c r="D373" s="14">
        <v>-417857.4</v>
      </c>
      <c r="E373" s="14"/>
      <c r="F373" s="14">
        <v>0</v>
      </c>
      <c r="G373" s="14"/>
      <c r="H373" s="14">
        <v>0</v>
      </c>
      <c r="I373" s="14">
        <v>0</v>
      </c>
      <c r="J373" s="14">
        <v>0</v>
      </c>
      <c r="K373" s="14">
        <v>0</v>
      </c>
      <c r="L373" s="14">
        <v>0</v>
      </c>
      <c r="M373" s="14"/>
      <c r="N373" s="14">
        <v>0</v>
      </c>
      <c r="O373" s="14"/>
      <c r="P373" s="14">
        <v>0</v>
      </c>
      <c r="Q373" s="13"/>
      <c r="R373" s="14">
        <f t="shared" si="17"/>
        <v>-3988744.95</v>
      </c>
    </row>
    <row r="374" spans="1:18" outlineLevel="1" x14ac:dyDescent="0.2">
      <c r="A374" s="3" t="s">
        <v>3783</v>
      </c>
      <c r="B374" s="14">
        <v>0</v>
      </c>
      <c r="C374" s="13"/>
      <c r="D374" s="14">
        <v>0</v>
      </c>
      <c r="E374" s="14"/>
      <c r="F374" s="14">
        <v>0</v>
      </c>
      <c r="G374" s="14"/>
      <c r="H374" s="14">
        <v>0</v>
      </c>
      <c r="I374" s="14">
        <v>0</v>
      </c>
      <c r="J374" s="14">
        <v>0</v>
      </c>
      <c r="K374" s="14">
        <v>0</v>
      </c>
      <c r="L374" s="14">
        <v>0</v>
      </c>
      <c r="M374" s="14"/>
      <c r="N374" s="14">
        <v>0</v>
      </c>
      <c r="O374" s="14"/>
      <c r="P374" s="14">
        <v>0</v>
      </c>
      <c r="Q374" s="13"/>
      <c r="R374" s="14">
        <f t="shared" si="17"/>
        <v>0</v>
      </c>
    </row>
    <row r="375" spans="1:18" outlineLevel="1" x14ac:dyDescent="0.2">
      <c r="A375" s="3" t="s">
        <v>3784</v>
      </c>
      <c r="B375" s="14">
        <v>-2357878.6</v>
      </c>
      <c r="C375" s="13"/>
      <c r="D375" s="14">
        <v>-543814.68000000005</v>
      </c>
      <c r="E375" s="14"/>
      <c r="F375" s="14">
        <v>0</v>
      </c>
      <c r="G375" s="14"/>
      <c r="H375" s="14">
        <v>0</v>
      </c>
      <c r="I375" s="14">
        <v>0</v>
      </c>
      <c r="J375" s="14">
        <v>0</v>
      </c>
      <c r="K375" s="14">
        <v>0</v>
      </c>
      <c r="L375" s="14">
        <v>0</v>
      </c>
      <c r="M375" s="14"/>
      <c r="N375" s="14">
        <v>0</v>
      </c>
      <c r="O375" s="14"/>
      <c r="P375" s="14">
        <v>0</v>
      </c>
      <c r="Q375" s="13"/>
      <c r="R375" s="14">
        <f t="shared" si="17"/>
        <v>-2901693.2800000003</v>
      </c>
    </row>
    <row r="376" spans="1:18" outlineLevel="1" x14ac:dyDescent="0.2">
      <c r="A376" s="3" t="s">
        <v>3785</v>
      </c>
      <c r="B376" s="14">
        <v>0</v>
      </c>
      <c r="C376" s="13"/>
      <c r="D376" s="14">
        <v>0</v>
      </c>
      <c r="E376" s="14"/>
      <c r="F376" s="14">
        <v>0</v>
      </c>
      <c r="G376" s="14"/>
      <c r="H376" s="14">
        <v>0</v>
      </c>
      <c r="I376" s="14">
        <v>0</v>
      </c>
      <c r="J376" s="14">
        <v>0</v>
      </c>
      <c r="K376" s="14">
        <v>0</v>
      </c>
      <c r="L376" s="14">
        <v>0</v>
      </c>
      <c r="M376" s="14"/>
      <c r="N376" s="14">
        <v>0</v>
      </c>
      <c r="O376" s="14"/>
      <c r="P376" s="14">
        <v>0</v>
      </c>
      <c r="Q376" s="13"/>
      <c r="R376" s="14">
        <f t="shared" si="17"/>
        <v>0</v>
      </c>
    </row>
    <row r="377" spans="1:18" outlineLevel="1" x14ac:dyDescent="0.2">
      <c r="A377" s="3" t="s">
        <v>3786</v>
      </c>
      <c r="B377" s="14">
        <v>0</v>
      </c>
      <c r="C377" s="13"/>
      <c r="D377" s="14">
        <v>0</v>
      </c>
      <c r="E377" s="14"/>
      <c r="F377" s="14">
        <v>0</v>
      </c>
      <c r="G377" s="14"/>
      <c r="H377" s="14">
        <v>0</v>
      </c>
      <c r="I377" s="14">
        <v>0</v>
      </c>
      <c r="J377" s="14">
        <v>0</v>
      </c>
      <c r="K377" s="14">
        <v>0</v>
      </c>
      <c r="L377" s="14">
        <v>0</v>
      </c>
      <c r="M377" s="14"/>
      <c r="N377" s="14">
        <v>0</v>
      </c>
      <c r="O377" s="14"/>
      <c r="P377" s="14">
        <v>0</v>
      </c>
      <c r="Q377" s="13"/>
      <c r="R377" s="14">
        <f t="shared" si="17"/>
        <v>0</v>
      </c>
    </row>
    <row r="378" spans="1:18" outlineLevel="1" x14ac:dyDescent="0.2">
      <c r="A378" s="3" t="s">
        <v>3787</v>
      </c>
      <c r="B378" s="14">
        <v>-227725.53999999992</v>
      </c>
      <c r="C378" s="13"/>
      <c r="D378" s="14">
        <v>-23399.16</v>
      </c>
      <c r="E378" s="14"/>
      <c r="F378" s="14">
        <v>0</v>
      </c>
      <c r="G378" s="14"/>
      <c r="H378" s="14">
        <v>0</v>
      </c>
      <c r="I378" s="14">
        <v>0</v>
      </c>
      <c r="J378" s="14">
        <v>0</v>
      </c>
      <c r="K378" s="14">
        <v>0</v>
      </c>
      <c r="L378" s="14">
        <v>0</v>
      </c>
      <c r="M378" s="14"/>
      <c r="N378" s="14">
        <v>0</v>
      </c>
      <c r="O378" s="14"/>
      <c r="P378" s="14">
        <v>0</v>
      </c>
      <c r="Q378" s="13"/>
      <c r="R378" s="14">
        <f t="shared" si="17"/>
        <v>-251124.69999999992</v>
      </c>
    </row>
    <row r="379" spans="1:18" outlineLevel="1" x14ac:dyDescent="0.2">
      <c r="A379" s="3" t="s">
        <v>3788</v>
      </c>
      <c r="B379" s="14">
        <v>-387536.41000000015</v>
      </c>
      <c r="C379" s="13"/>
      <c r="D379" s="14">
        <v>-40788.720000000001</v>
      </c>
      <c r="E379" s="14"/>
      <c r="F379" s="14">
        <v>0</v>
      </c>
      <c r="G379" s="14"/>
      <c r="H379" s="14">
        <v>0</v>
      </c>
      <c r="I379" s="14">
        <v>0</v>
      </c>
      <c r="J379" s="14">
        <v>0</v>
      </c>
      <c r="K379" s="14">
        <v>0</v>
      </c>
      <c r="L379" s="14">
        <v>0</v>
      </c>
      <c r="M379" s="14"/>
      <c r="N379" s="14">
        <v>0</v>
      </c>
      <c r="O379" s="14"/>
      <c r="P379" s="14">
        <v>0</v>
      </c>
      <c r="Q379" s="13"/>
      <c r="R379" s="14">
        <f t="shared" si="17"/>
        <v>-428325.13000000012</v>
      </c>
    </row>
    <row r="380" spans="1:18" outlineLevel="1" x14ac:dyDescent="0.2">
      <c r="A380" s="3" t="s">
        <v>3789</v>
      </c>
      <c r="B380" s="14">
        <v>0</v>
      </c>
      <c r="C380" s="13"/>
      <c r="D380" s="14">
        <v>0</v>
      </c>
      <c r="E380" s="14"/>
      <c r="F380" s="14">
        <v>0</v>
      </c>
      <c r="G380" s="14"/>
      <c r="H380" s="14">
        <v>0</v>
      </c>
      <c r="I380" s="14">
        <v>0</v>
      </c>
      <c r="J380" s="14">
        <v>0</v>
      </c>
      <c r="K380" s="14">
        <v>0</v>
      </c>
      <c r="L380" s="14">
        <v>0</v>
      </c>
      <c r="M380" s="14"/>
      <c r="N380" s="14">
        <v>0</v>
      </c>
      <c r="O380" s="14"/>
      <c r="P380" s="14">
        <v>0</v>
      </c>
      <c r="Q380" s="13"/>
      <c r="R380" s="14">
        <f t="shared" si="17"/>
        <v>0</v>
      </c>
    </row>
    <row r="381" spans="1:18" outlineLevel="1" x14ac:dyDescent="0.2">
      <c r="A381" s="3" t="s">
        <v>3790</v>
      </c>
      <c r="B381" s="14">
        <v>0</v>
      </c>
      <c r="C381" s="13"/>
      <c r="D381" s="14">
        <v>0</v>
      </c>
      <c r="E381" s="14"/>
      <c r="F381" s="14">
        <v>0</v>
      </c>
      <c r="G381" s="14"/>
      <c r="H381" s="14">
        <v>0</v>
      </c>
      <c r="I381" s="14">
        <v>0</v>
      </c>
      <c r="J381" s="14">
        <v>0</v>
      </c>
      <c r="K381" s="14">
        <v>0</v>
      </c>
      <c r="L381" s="14">
        <v>0</v>
      </c>
      <c r="M381" s="14"/>
      <c r="N381" s="14">
        <v>0</v>
      </c>
      <c r="O381" s="14"/>
      <c r="P381" s="14">
        <v>0</v>
      </c>
      <c r="Q381" s="13"/>
      <c r="R381" s="14">
        <f t="shared" si="17"/>
        <v>0</v>
      </c>
    </row>
    <row r="382" spans="1:18" outlineLevel="1" x14ac:dyDescent="0.2">
      <c r="A382" s="3" t="s">
        <v>3791</v>
      </c>
      <c r="B382" s="14">
        <v>-8062136.0700000012</v>
      </c>
      <c r="C382" s="13"/>
      <c r="D382" s="14">
        <v>-879162.39</v>
      </c>
      <c r="E382" s="14"/>
      <c r="F382" s="14">
        <v>0</v>
      </c>
      <c r="G382" s="14"/>
      <c r="H382" s="14">
        <v>0</v>
      </c>
      <c r="I382" s="14">
        <v>0</v>
      </c>
      <c r="J382" s="14">
        <v>0</v>
      </c>
      <c r="K382" s="14">
        <v>0</v>
      </c>
      <c r="L382" s="14">
        <v>0</v>
      </c>
      <c r="M382" s="14"/>
      <c r="N382" s="14">
        <v>0</v>
      </c>
      <c r="O382" s="14"/>
      <c r="P382" s="14">
        <v>0</v>
      </c>
      <c r="Q382" s="13"/>
      <c r="R382" s="14">
        <f>SUM(B382:P382)</f>
        <v>-8941298.4600000009</v>
      </c>
    </row>
    <row r="383" spans="1:18" outlineLevel="1" x14ac:dyDescent="0.2">
      <c r="A383" s="3" t="s">
        <v>3792</v>
      </c>
      <c r="B383" s="14">
        <v>0</v>
      </c>
      <c r="C383" s="13"/>
      <c r="D383" s="14">
        <v>0</v>
      </c>
      <c r="E383" s="14"/>
      <c r="F383" s="14">
        <v>0</v>
      </c>
      <c r="G383" s="14"/>
      <c r="H383" s="14">
        <v>0</v>
      </c>
      <c r="I383" s="14">
        <v>0</v>
      </c>
      <c r="J383" s="14">
        <v>0</v>
      </c>
      <c r="K383" s="14">
        <v>0</v>
      </c>
      <c r="L383" s="14">
        <v>0</v>
      </c>
      <c r="M383" s="14"/>
      <c r="N383" s="14">
        <v>0</v>
      </c>
      <c r="O383" s="14"/>
      <c r="P383" s="14">
        <v>0</v>
      </c>
      <c r="Q383" s="13"/>
      <c r="R383" s="14">
        <f>SUM(B383:P383)</f>
        <v>0</v>
      </c>
    </row>
    <row r="384" spans="1:18" outlineLevel="1" x14ac:dyDescent="0.2">
      <c r="A384" s="3" t="s">
        <v>3793</v>
      </c>
      <c r="B384" s="14">
        <v>-20336.400000000001</v>
      </c>
      <c r="C384" s="13"/>
      <c r="D384" s="14">
        <v>-24403.68</v>
      </c>
      <c r="E384" s="14"/>
      <c r="F384" s="14">
        <v>0</v>
      </c>
      <c r="G384" s="14"/>
      <c r="H384" s="14">
        <v>0</v>
      </c>
      <c r="I384" s="14">
        <v>0</v>
      </c>
      <c r="J384" s="14">
        <v>0</v>
      </c>
      <c r="K384" s="14">
        <v>0</v>
      </c>
      <c r="L384" s="14">
        <v>0</v>
      </c>
      <c r="M384" s="14"/>
      <c r="N384" s="14">
        <v>0</v>
      </c>
      <c r="O384" s="14"/>
      <c r="P384" s="14">
        <v>0</v>
      </c>
      <c r="Q384" s="13"/>
      <c r="R384" s="14">
        <f>SUM(B384:P384)</f>
        <v>-44740.08</v>
      </c>
    </row>
    <row r="385" spans="1:18" outlineLevel="1" x14ac:dyDescent="0.2">
      <c r="A385" s="43" t="s">
        <v>3794</v>
      </c>
      <c r="B385" s="14">
        <v>-751018.1399999999</v>
      </c>
      <c r="C385" s="13"/>
      <c r="D385" s="14">
        <v>-20807.400000000001</v>
      </c>
      <c r="E385" s="14"/>
      <c r="F385" s="14">
        <v>0</v>
      </c>
      <c r="G385" s="14"/>
      <c r="H385" s="14">
        <v>0</v>
      </c>
      <c r="I385" s="14">
        <v>0</v>
      </c>
      <c r="J385" s="14">
        <v>0</v>
      </c>
      <c r="K385" s="14">
        <v>0</v>
      </c>
      <c r="L385" s="14">
        <v>0</v>
      </c>
      <c r="M385" s="14"/>
      <c r="N385" s="14">
        <v>0</v>
      </c>
      <c r="O385" s="14"/>
      <c r="P385" s="14">
        <v>0</v>
      </c>
      <c r="Q385" s="13"/>
      <c r="R385" s="14">
        <f>SUM(B385:P385)</f>
        <v>-771825.53999999992</v>
      </c>
    </row>
    <row r="386" spans="1:18" outlineLevel="1" x14ac:dyDescent="0.2">
      <c r="A386" s="3" t="s">
        <v>3795</v>
      </c>
      <c r="B386" s="14">
        <v>-16664.670000000002</v>
      </c>
      <c r="C386" s="13"/>
      <c r="D386" s="14">
        <v>0</v>
      </c>
      <c r="E386" s="14"/>
      <c r="F386" s="14">
        <v>0</v>
      </c>
      <c r="G386" s="14"/>
      <c r="H386" s="14">
        <v>0</v>
      </c>
      <c r="I386" s="14">
        <v>0</v>
      </c>
      <c r="J386" s="14">
        <v>0</v>
      </c>
      <c r="K386" s="14">
        <v>0</v>
      </c>
      <c r="L386" s="14">
        <v>0</v>
      </c>
      <c r="M386" s="14"/>
      <c r="N386" s="14">
        <v>0</v>
      </c>
      <c r="O386" s="14"/>
      <c r="P386" s="14">
        <v>0</v>
      </c>
      <c r="Q386" s="13"/>
      <c r="R386" s="14">
        <f t="shared" si="17"/>
        <v>-16664.670000000002</v>
      </c>
    </row>
    <row r="387" spans="1:18" outlineLevel="1" x14ac:dyDescent="0.2">
      <c r="A387" s="3" t="s">
        <v>3796</v>
      </c>
      <c r="B387" s="14">
        <v>-92147.059999999969</v>
      </c>
      <c r="C387" s="13"/>
      <c r="D387" s="14">
        <v>-3176.04</v>
      </c>
      <c r="E387" s="14"/>
      <c r="F387" s="14">
        <v>0</v>
      </c>
      <c r="G387" s="14"/>
      <c r="H387" s="14">
        <v>0</v>
      </c>
      <c r="I387" s="14">
        <v>0</v>
      </c>
      <c r="J387" s="14">
        <v>0</v>
      </c>
      <c r="K387" s="14">
        <v>0</v>
      </c>
      <c r="L387" s="14">
        <v>0</v>
      </c>
      <c r="M387" s="14"/>
      <c r="N387" s="14">
        <v>0</v>
      </c>
      <c r="O387" s="14"/>
      <c r="P387" s="14">
        <v>0</v>
      </c>
      <c r="Q387" s="13"/>
      <c r="R387" s="14">
        <f t="shared" si="17"/>
        <v>-95323.099999999962</v>
      </c>
    </row>
    <row r="388" spans="1:18" x14ac:dyDescent="0.2">
      <c r="A388" s="3" t="s">
        <v>3797</v>
      </c>
      <c r="B388" s="14">
        <f>SUM(B353:B387)</f>
        <v>-99941171.62000002</v>
      </c>
      <c r="C388" s="13"/>
      <c r="D388" s="14">
        <f>SUM(D353:D387)</f>
        <v>-4972628.1400000006</v>
      </c>
      <c r="E388" s="13"/>
      <c r="F388" s="14">
        <f>SUM(F353:F387)</f>
        <v>248391.82</v>
      </c>
      <c r="G388" s="13"/>
      <c r="H388" s="14">
        <f>SUM(H353:H387)</f>
        <v>0</v>
      </c>
      <c r="I388" s="13"/>
      <c r="J388" s="14">
        <f>SUM(J353:J387)</f>
        <v>0</v>
      </c>
      <c r="K388" s="13"/>
      <c r="L388" s="14">
        <f>SUM(L353:L387)</f>
        <v>40448.449999999997</v>
      </c>
      <c r="M388" s="13"/>
      <c r="N388" s="14">
        <f>SUM(N353:N387)</f>
        <v>0</v>
      </c>
      <c r="O388" s="13"/>
      <c r="P388" s="14">
        <f>SUM(P353:P387)</f>
        <v>0</v>
      </c>
      <c r="Q388" s="13"/>
      <c r="R388" s="14">
        <f>SUM(R353:R387)</f>
        <v>-104624959.48999999</v>
      </c>
    </row>
    <row r="389" spans="1:18" outlineLevel="1" x14ac:dyDescent="0.2">
      <c r="A389" s="43" t="s">
        <v>3798</v>
      </c>
      <c r="B389" s="14">
        <v>0</v>
      </c>
      <c r="C389" s="13"/>
      <c r="D389" s="14">
        <v>0</v>
      </c>
      <c r="E389" s="13"/>
      <c r="F389" s="14">
        <v>0</v>
      </c>
      <c r="G389" s="13"/>
      <c r="H389" s="14">
        <v>0</v>
      </c>
      <c r="I389" s="13"/>
      <c r="J389" s="14">
        <v>0</v>
      </c>
      <c r="K389" s="13"/>
      <c r="L389" s="14">
        <v>0</v>
      </c>
      <c r="M389" s="13"/>
      <c r="N389" s="14">
        <v>0</v>
      </c>
      <c r="O389" s="13"/>
      <c r="P389" s="14">
        <v>0</v>
      </c>
      <c r="Q389" s="13"/>
      <c r="R389" s="14">
        <f t="shared" ref="R389:R397" si="18">SUM(B389:P389)</f>
        <v>0</v>
      </c>
    </row>
    <row r="390" spans="1:18" outlineLevel="1" x14ac:dyDescent="0.2">
      <c r="A390" s="43" t="s">
        <v>3799</v>
      </c>
      <c r="B390" s="14">
        <v>0</v>
      </c>
      <c r="C390" s="13"/>
      <c r="D390" s="14">
        <v>0</v>
      </c>
      <c r="E390" s="13"/>
      <c r="F390" s="14">
        <v>0</v>
      </c>
      <c r="G390" s="13"/>
      <c r="H390" s="14">
        <v>0</v>
      </c>
      <c r="I390" s="13"/>
      <c r="J390" s="14">
        <v>0</v>
      </c>
      <c r="K390" s="13"/>
      <c r="L390" s="14">
        <v>0</v>
      </c>
      <c r="M390" s="13"/>
      <c r="N390" s="14">
        <v>0</v>
      </c>
      <c r="O390" s="13"/>
      <c r="P390" s="14">
        <v>0</v>
      </c>
      <c r="Q390" s="13"/>
      <c r="R390" s="14">
        <f t="shared" si="18"/>
        <v>0</v>
      </c>
    </row>
    <row r="391" spans="1:18" outlineLevel="1" x14ac:dyDescent="0.2">
      <c r="A391" s="43" t="s">
        <v>3800</v>
      </c>
      <c r="B391" s="14">
        <v>0</v>
      </c>
      <c r="C391" s="13"/>
      <c r="D391" s="14">
        <v>0</v>
      </c>
      <c r="E391" s="13"/>
      <c r="F391" s="14">
        <v>0</v>
      </c>
      <c r="G391" s="13"/>
      <c r="H391" s="14">
        <v>0</v>
      </c>
      <c r="I391" s="13"/>
      <c r="J391" s="14">
        <v>0</v>
      </c>
      <c r="K391" s="13"/>
      <c r="L391" s="14">
        <v>0</v>
      </c>
      <c r="M391" s="13"/>
      <c r="N391" s="14">
        <v>0</v>
      </c>
      <c r="O391" s="13"/>
      <c r="P391" s="14">
        <v>0</v>
      </c>
      <c r="Q391" s="13"/>
      <c r="R391" s="14">
        <f t="shared" si="18"/>
        <v>0</v>
      </c>
    </row>
    <row r="392" spans="1:18" outlineLevel="1" x14ac:dyDescent="0.2">
      <c r="A392" s="43" t="s">
        <v>3801</v>
      </c>
      <c r="B392" s="14">
        <v>0</v>
      </c>
      <c r="C392" s="13"/>
      <c r="D392" s="14">
        <v>0</v>
      </c>
      <c r="E392" s="13"/>
      <c r="F392" s="14">
        <v>0</v>
      </c>
      <c r="G392" s="13"/>
      <c r="H392" s="14">
        <v>0</v>
      </c>
      <c r="I392" s="13"/>
      <c r="J392" s="14">
        <v>0</v>
      </c>
      <c r="K392" s="13"/>
      <c r="L392" s="14">
        <v>0</v>
      </c>
      <c r="M392" s="13"/>
      <c r="N392" s="14">
        <v>0</v>
      </c>
      <c r="O392" s="13"/>
      <c r="P392" s="14">
        <v>0</v>
      </c>
      <c r="Q392" s="13"/>
      <c r="R392" s="14">
        <f t="shared" si="18"/>
        <v>0</v>
      </c>
    </row>
    <row r="393" spans="1:18" outlineLevel="1" x14ac:dyDescent="0.2">
      <c r="A393" s="43" t="s">
        <v>3802</v>
      </c>
      <c r="B393" s="14">
        <v>0</v>
      </c>
      <c r="C393" s="13"/>
      <c r="D393" s="14">
        <v>0</v>
      </c>
      <c r="E393" s="13"/>
      <c r="F393" s="14">
        <v>0</v>
      </c>
      <c r="G393" s="13"/>
      <c r="H393" s="14">
        <v>0</v>
      </c>
      <c r="I393" s="13"/>
      <c r="J393" s="14">
        <v>0</v>
      </c>
      <c r="K393" s="13"/>
      <c r="L393" s="14">
        <v>0</v>
      </c>
      <c r="M393" s="13"/>
      <c r="N393" s="14">
        <v>0</v>
      </c>
      <c r="O393" s="13"/>
      <c r="P393" s="14">
        <v>0</v>
      </c>
      <c r="Q393" s="13"/>
      <c r="R393" s="14">
        <f t="shared" si="18"/>
        <v>0</v>
      </c>
    </row>
    <row r="394" spans="1:18" outlineLevel="1" x14ac:dyDescent="0.2">
      <c r="A394" s="43" t="s">
        <v>3803</v>
      </c>
      <c r="B394" s="14">
        <v>0</v>
      </c>
      <c r="C394" s="13"/>
      <c r="D394" s="14">
        <v>0</v>
      </c>
      <c r="E394" s="13"/>
      <c r="F394" s="14">
        <v>0</v>
      </c>
      <c r="G394" s="13"/>
      <c r="H394" s="14">
        <v>0</v>
      </c>
      <c r="I394" s="13"/>
      <c r="J394" s="14">
        <v>0</v>
      </c>
      <c r="K394" s="13"/>
      <c r="L394" s="14">
        <v>0</v>
      </c>
      <c r="M394" s="13"/>
      <c r="N394" s="14">
        <v>0</v>
      </c>
      <c r="O394" s="13"/>
      <c r="P394" s="14">
        <v>0</v>
      </c>
      <c r="Q394" s="13"/>
      <c r="R394" s="14">
        <f t="shared" si="18"/>
        <v>0</v>
      </c>
    </row>
    <row r="395" spans="1:18" outlineLevel="1" x14ac:dyDescent="0.2">
      <c r="A395" s="43" t="s">
        <v>3804</v>
      </c>
      <c r="B395" s="14">
        <v>0</v>
      </c>
      <c r="C395" s="13"/>
      <c r="D395" s="14">
        <v>0</v>
      </c>
      <c r="E395" s="13"/>
      <c r="F395" s="14">
        <v>0</v>
      </c>
      <c r="G395" s="13"/>
      <c r="H395" s="14">
        <v>0</v>
      </c>
      <c r="I395" s="13"/>
      <c r="J395" s="14">
        <v>0</v>
      </c>
      <c r="K395" s="13"/>
      <c r="L395" s="14">
        <v>0</v>
      </c>
      <c r="M395" s="13"/>
      <c r="N395" s="14">
        <v>0</v>
      </c>
      <c r="O395" s="13"/>
      <c r="P395" s="14">
        <v>0</v>
      </c>
      <c r="Q395" s="13"/>
      <c r="R395" s="14">
        <f t="shared" si="18"/>
        <v>0</v>
      </c>
    </row>
    <row r="396" spans="1:18" outlineLevel="1" x14ac:dyDescent="0.2">
      <c r="A396" s="43" t="s">
        <v>3805</v>
      </c>
      <c r="B396" s="14">
        <v>0</v>
      </c>
      <c r="C396" s="13"/>
      <c r="D396" s="14">
        <v>0</v>
      </c>
      <c r="E396" s="13"/>
      <c r="F396" s="14">
        <v>0</v>
      </c>
      <c r="G396" s="13"/>
      <c r="H396" s="14">
        <v>0</v>
      </c>
      <c r="I396" s="13"/>
      <c r="J396" s="14">
        <v>0</v>
      </c>
      <c r="K396" s="13"/>
      <c r="L396" s="14">
        <v>0</v>
      </c>
      <c r="M396" s="13"/>
      <c r="N396" s="14">
        <v>0</v>
      </c>
      <c r="O396" s="13"/>
      <c r="P396" s="14">
        <v>0</v>
      </c>
      <c r="Q396" s="13"/>
      <c r="R396" s="14">
        <f t="shared" si="18"/>
        <v>0</v>
      </c>
    </row>
    <row r="397" spans="1:18" outlineLevel="1" x14ac:dyDescent="0.2">
      <c r="A397" s="43" t="s">
        <v>3806</v>
      </c>
      <c r="B397" s="14">
        <v>0</v>
      </c>
      <c r="C397" s="13"/>
      <c r="D397" s="14">
        <v>0</v>
      </c>
      <c r="E397" s="13"/>
      <c r="F397" s="14">
        <v>0</v>
      </c>
      <c r="G397" s="13"/>
      <c r="H397" s="14">
        <v>0</v>
      </c>
      <c r="I397" s="13"/>
      <c r="J397" s="14">
        <v>0</v>
      </c>
      <c r="K397" s="13"/>
      <c r="L397" s="14">
        <v>0</v>
      </c>
      <c r="M397" s="13"/>
      <c r="N397" s="14">
        <v>0</v>
      </c>
      <c r="O397" s="13"/>
      <c r="P397" s="14">
        <v>0</v>
      </c>
      <c r="Q397" s="13"/>
      <c r="R397" s="14">
        <f t="shared" si="18"/>
        <v>0</v>
      </c>
    </row>
    <row r="398" spans="1:18" x14ac:dyDescent="0.2">
      <c r="A398" s="3" t="s">
        <v>3807</v>
      </c>
      <c r="B398" s="14">
        <f>SUM(B389:B397)</f>
        <v>0</v>
      </c>
      <c r="C398" s="13"/>
      <c r="D398" s="14">
        <f>SUM(D389:D397)</f>
        <v>0</v>
      </c>
      <c r="E398" s="13"/>
      <c r="F398" s="14">
        <f>SUM(F389:F397)</f>
        <v>0</v>
      </c>
      <c r="G398" s="13"/>
      <c r="H398" s="14">
        <f>SUM(H389:H397)</f>
        <v>0</v>
      </c>
      <c r="I398" s="13"/>
      <c r="J398" s="14">
        <f>SUM(J389:J397)</f>
        <v>0</v>
      </c>
      <c r="K398" s="13"/>
      <c r="L398" s="14">
        <f>SUM(L389:L397)</f>
        <v>0</v>
      </c>
      <c r="M398" s="13"/>
      <c r="N398" s="14">
        <f>SUM(N389:N397)</f>
        <v>0</v>
      </c>
      <c r="O398" s="13"/>
      <c r="P398" s="14">
        <f>SUM(P389:P397)</f>
        <v>0</v>
      </c>
      <c r="Q398" s="13"/>
      <c r="R398" s="14">
        <f>SUM(R389:R397)</f>
        <v>0</v>
      </c>
    </row>
    <row r="399" spans="1:18" outlineLevel="1" x14ac:dyDescent="0.2">
      <c r="A399" s="3" t="s">
        <v>3808</v>
      </c>
      <c r="B399" s="14">
        <v>-355630.89000000007</v>
      </c>
      <c r="C399" s="13"/>
      <c r="D399" s="14">
        <v>-6298.56</v>
      </c>
      <c r="E399" s="14"/>
      <c r="F399" s="14">
        <v>54566.52</v>
      </c>
      <c r="G399" s="14"/>
      <c r="H399" s="14">
        <v>0</v>
      </c>
      <c r="I399" s="14">
        <v>0</v>
      </c>
      <c r="J399" s="14">
        <v>0</v>
      </c>
      <c r="K399" s="14">
        <v>0</v>
      </c>
      <c r="L399" s="14">
        <v>10351.799999999999</v>
      </c>
      <c r="M399" s="14"/>
      <c r="N399" s="14">
        <v>0</v>
      </c>
      <c r="O399" s="14"/>
      <c r="P399" s="14">
        <v>0</v>
      </c>
      <c r="Q399" s="13"/>
      <c r="R399" s="14">
        <f t="shared" ref="R399:R416" si="19">SUM(B399:P399)</f>
        <v>-297011.13000000006</v>
      </c>
    </row>
    <row r="400" spans="1:18" outlineLevel="1" x14ac:dyDescent="0.2">
      <c r="A400" s="3" t="s">
        <v>3809</v>
      </c>
      <c r="B400" s="14">
        <v>-107051.19</v>
      </c>
      <c r="C400" s="13"/>
      <c r="D400" s="14">
        <v>-61.56</v>
      </c>
      <c r="E400" s="14"/>
      <c r="F400" s="14">
        <v>0</v>
      </c>
      <c r="G400" s="14"/>
      <c r="H400" s="14">
        <v>0</v>
      </c>
      <c r="I400" s="14">
        <v>0</v>
      </c>
      <c r="J400" s="14">
        <v>0</v>
      </c>
      <c r="K400" s="14">
        <v>0</v>
      </c>
      <c r="L400" s="14">
        <v>0</v>
      </c>
      <c r="M400" s="14"/>
      <c r="N400" s="14">
        <v>0</v>
      </c>
      <c r="O400" s="14"/>
      <c r="P400" s="14">
        <v>0</v>
      </c>
      <c r="Q400" s="13"/>
      <c r="R400" s="14">
        <f t="shared" si="19"/>
        <v>-107112.75</v>
      </c>
    </row>
    <row r="401" spans="1:18" outlineLevel="1" x14ac:dyDescent="0.2">
      <c r="A401" s="3" t="s">
        <v>3810</v>
      </c>
      <c r="B401" s="14">
        <v>-3287151.5200000005</v>
      </c>
      <c r="C401" s="13"/>
      <c r="D401" s="14">
        <v>-132135.84</v>
      </c>
      <c r="E401" s="14"/>
      <c r="F401" s="14">
        <v>153380.53</v>
      </c>
      <c r="G401" s="14"/>
      <c r="H401" s="14">
        <v>0</v>
      </c>
      <c r="I401" s="14">
        <v>0</v>
      </c>
      <c r="J401" s="14">
        <v>0</v>
      </c>
      <c r="K401" s="14">
        <v>0</v>
      </c>
      <c r="L401" s="14">
        <v>0</v>
      </c>
      <c r="M401" s="14"/>
      <c r="N401" s="14">
        <v>0</v>
      </c>
      <c r="O401" s="14"/>
      <c r="P401" s="14">
        <v>0</v>
      </c>
      <c r="Q401" s="13"/>
      <c r="R401" s="14">
        <f t="shared" si="19"/>
        <v>-3265906.8300000005</v>
      </c>
    </row>
    <row r="402" spans="1:18" outlineLevel="1" x14ac:dyDescent="0.2">
      <c r="A402" s="3" t="s">
        <v>3811</v>
      </c>
      <c r="B402" s="14">
        <v>-1666398.1199999999</v>
      </c>
      <c r="C402" s="13"/>
      <c r="D402" s="14">
        <v>-12944.12</v>
      </c>
      <c r="E402" s="14"/>
      <c r="F402" s="14">
        <v>3956</v>
      </c>
      <c r="G402" s="14"/>
      <c r="H402" s="14">
        <v>0</v>
      </c>
      <c r="I402" s="14">
        <v>0</v>
      </c>
      <c r="J402" s="14">
        <v>0</v>
      </c>
      <c r="K402" s="14">
        <v>0</v>
      </c>
      <c r="L402" s="14">
        <v>0</v>
      </c>
      <c r="M402" s="14"/>
      <c r="N402" s="14">
        <v>0</v>
      </c>
      <c r="O402" s="14"/>
      <c r="P402" s="14">
        <v>0</v>
      </c>
      <c r="Q402" s="13"/>
      <c r="R402" s="14">
        <f t="shared" si="19"/>
        <v>-1675386.24</v>
      </c>
    </row>
    <row r="403" spans="1:18" outlineLevel="1" x14ac:dyDescent="0.2">
      <c r="A403" s="3" t="s">
        <v>3812</v>
      </c>
      <c r="B403" s="14">
        <v>-948861.84000000008</v>
      </c>
      <c r="C403" s="13"/>
      <c r="D403" s="14">
        <v>-11439.09</v>
      </c>
      <c r="E403" s="14"/>
      <c r="F403" s="14">
        <v>71014.84</v>
      </c>
      <c r="G403" s="14"/>
      <c r="H403" s="14">
        <v>0</v>
      </c>
      <c r="I403" s="14">
        <v>0</v>
      </c>
      <c r="J403" s="14">
        <v>0</v>
      </c>
      <c r="K403" s="14">
        <v>0</v>
      </c>
      <c r="L403" s="14">
        <v>0</v>
      </c>
      <c r="M403" s="14"/>
      <c r="N403" s="14">
        <v>0</v>
      </c>
      <c r="O403" s="14"/>
      <c r="P403" s="14">
        <v>0</v>
      </c>
      <c r="Q403" s="13"/>
      <c r="R403" s="14">
        <f t="shared" si="19"/>
        <v>-889286.09000000008</v>
      </c>
    </row>
    <row r="404" spans="1:18" outlineLevel="1" x14ac:dyDescent="0.2">
      <c r="A404" s="3" t="s">
        <v>3813</v>
      </c>
      <c r="B404" s="14">
        <v>-1449503.3499999996</v>
      </c>
      <c r="C404" s="13"/>
      <c r="D404" s="14">
        <v>-8859.7199999999993</v>
      </c>
      <c r="E404" s="14"/>
      <c r="F404" s="14">
        <v>0</v>
      </c>
      <c r="G404" s="14"/>
      <c r="H404" s="14">
        <v>0</v>
      </c>
      <c r="I404" s="14">
        <v>0</v>
      </c>
      <c r="J404" s="14">
        <v>0</v>
      </c>
      <c r="K404" s="14">
        <v>0</v>
      </c>
      <c r="L404" s="14">
        <v>0</v>
      </c>
      <c r="M404" s="14"/>
      <c r="N404" s="14">
        <v>0</v>
      </c>
      <c r="O404" s="14"/>
      <c r="P404" s="14">
        <v>0</v>
      </c>
      <c r="Q404" s="13"/>
      <c r="R404" s="14">
        <f t="shared" si="19"/>
        <v>-1458363.0699999996</v>
      </c>
    </row>
    <row r="405" spans="1:18" outlineLevel="1" x14ac:dyDescent="0.2">
      <c r="A405" s="3" t="s">
        <v>3814</v>
      </c>
      <c r="B405" s="14">
        <v>-2664247.0500000007</v>
      </c>
      <c r="C405" s="13"/>
      <c r="D405" s="14">
        <v>-33673.56</v>
      </c>
      <c r="E405" s="14"/>
      <c r="F405" s="14">
        <v>24620.01</v>
      </c>
      <c r="G405" s="14"/>
      <c r="H405" s="14">
        <v>0</v>
      </c>
      <c r="I405" s="14">
        <v>0</v>
      </c>
      <c r="J405" s="14">
        <v>0</v>
      </c>
      <c r="K405" s="14">
        <v>0</v>
      </c>
      <c r="L405" s="14">
        <v>0</v>
      </c>
      <c r="M405" s="14"/>
      <c r="N405" s="14">
        <v>0</v>
      </c>
      <c r="O405" s="14"/>
      <c r="P405" s="14">
        <v>0</v>
      </c>
      <c r="Q405" s="13"/>
      <c r="R405" s="14">
        <f t="shared" si="19"/>
        <v>-2673300.600000001</v>
      </c>
    </row>
    <row r="406" spans="1:18" outlineLevel="1" x14ac:dyDescent="0.2">
      <c r="A406" s="73" t="s">
        <v>3815</v>
      </c>
      <c r="B406" s="14">
        <v>-7108.36</v>
      </c>
      <c r="C406" s="13"/>
      <c r="D406" s="14">
        <v>-8744.2800000000007</v>
      </c>
      <c r="E406" s="14"/>
      <c r="F406" s="14">
        <v>0</v>
      </c>
      <c r="G406" s="14"/>
      <c r="H406" s="14">
        <v>0</v>
      </c>
      <c r="I406" s="14"/>
      <c r="J406" s="14">
        <v>0</v>
      </c>
      <c r="K406" s="14"/>
      <c r="L406" s="14">
        <v>0</v>
      </c>
      <c r="M406" s="14"/>
      <c r="N406" s="14">
        <v>0</v>
      </c>
      <c r="O406" s="14"/>
      <c r="P406" s="14">
        <v>0</v>
      </c>
      <c r="Q406" s="13"/>
      <c r="R406" s="14">
        <f t="shared" si="19"/>
        <v>-15852.64</v>
      </c>
    </row>
    <row r="407" spans="1:18" outlineLevel="1" x14ac:dyDescent="0.2">
      <c r="A407" s="3" t="s">
        <v>3816</v>
      </c>
      <c r="B407" s="14">
        <v>-3568708.8199999989</v>
      </c>
      <c r="C407" s="13"/>
      <c r="D407" s="14">
        <v>-243109.22</v>
      </c>
      <c r="E407" s="14"/>
      <c r="F407" s="14">
        <v>106432.85</v>
      </c>
      <c r="G407" s="14"/>
      <c r="H407" s="14">
        <v>0</v>
      </c>
      <c r="I407" s="14">
        <v>0</v>
      </c>
      <c r="J407" s="14">
        <v>0</v>
      </c>
      <c r="K407" s="14">
        <v>0</v>
      </c>
      <c r="L407" s="14">
        <v>0</v>
      </c>
      <c r="M407" s="14"/>
      <c r="N407" s="14">
        <v>0</v>
      </c>
      <c r="O407" s="14"/>
      <c r="P407" s="14">
        <v>0</v>
      </c>
      <c r="Q407" s="13"/>
      <c r="R407" s="14">
        <f t="shared" si="19"/>
        <v>-3705385.189999999</v>
      </c>
    </row>
    <row r="408" spans="1:18" outlineLevel="1" x14ac:dyDescent="0.2">
      <c r="A408" s="3" t="s">
        <v>3817</v>
      </c>
      <c r="B408" s="14">
        <v>-57147.330000000009</v>
      </c>
      <c r="C408" s="13"/>
      <c r="D408" s="14">
        <v>0</v>
      </c>
      <c r="E408" s="14"/>
      <c r="F408" s="14">
        <v>0</v>
      </c>
      <c r="G408" s="14"/>
      <c r="H408" s="14">
        <v>0</v>
      </c>
      <c r="I408" s="14">
        <v>0</v>
      </c>
      <c r="J408" s="14">
        <v>0</v>
      </c>
      <c r="K408" s="14">
        <v>0</v>
      </c>
      <c r="L408" s="14">
        <v>0</v>
      </c>
      <c r="M408" s="14"/>
      <c r="N408" s="14">
        <v>0</v>
      </c>
      <c r="O408" s="14"/>
      <c r="P408" s="14">
        <v>0</v>
      </c>
      <c r="Q408" s="13"/>
      <c r="R408" s="14">
        <f t="shared" si="19"/>
        <v>-57147.330000000009</v>
      </c>
    </row>
    <row r="409" spans="1:18" outlineLevel="1" x14ac:dyDescent="0.2">
      <c r="A409" s="3" t="s">
        <v>3818</v>
      </c>
      <c r="B409" s="14">
        <v>12426.699999999983</v>
      </c>
      <c r="C409" s="13"/>
      <c r="D409" s="14">
        <v>0</v>
      </c>
      <c r="E409" s="14"/>
      <c r="F409" s="14">
        <v>0</v>
      </c>
      <c r="G409" s="14"/>
      <c r="H409" s="14">
        <v>0</v>
      </c>
      <c r="I409" s="14">
        <v>0</v>
      </c>
      <c r="J409" s="14">
        <v>0</v>
      </c>
      <c r="K409" s="14">
        <v>0</v>
      </c>
      <c r="L409" s="14">
        <v>0</v>
      </c>
      <c r="M409" s="14"/>
      <c r="N409" s="14">
        <v>0</v>
      </c>
      <c r="O409" s="14"/>
      <c r="P409" s="14">
        <v>0</v>
      </c>
      <c r="Q409" s="13"/>
      <c r="R409" s="14">
        <f t="shared" si="19"/>
        <v>12426.699999999983</v>
      </c>
    </row>
    <row r="410" spans="1:18" outlineLevel="1" x14ac:dyDescent="0.2">
      <c r="A410" s="3" t="s">
        <v>3819</v>
      </c>
      <c r="B410" s="14">
        <v>-150199.50999999978</v>
      </c>
      <c r="C410" s="13"/>
      <c r="D410" s="14">
        <v>-42999.96</v>
      </c>
      <c r="E410" s="14"/>
      <c r="F410" s="14">
        <v>12021.4</v>
      </c>
      <c r="G410" s="14"/>
      <c r="H410" s="14">
        <v>0</v>
      </c>
      <c r="I410" s="14">
        <v>0</v>
      </c>
      <c r="J410" s="14">
        <v>0</v>
      </c>
      <c r="K410" s="14">
        <v>0</v>
      </c>
      <c r="L410" s="14">
        <v>0</v>
      </c>
      <c r="M410" s="14"/>
      <c r="N410" s="14">
        <v>0</v>
      </c>
      <c r="O410" s="14"/>
      <c r="P410" s="14">
        <v>0</v>
      </c>
      <c r="Q410" s="13"/>
      <c r="R410" s="14">
        <f t="shared" si="19"/>
        <v>-181178.06999999977</v>
      </c>
    </row>
    <row r="411" spans="1:18" outlineLevel="1" x14ac:dyDescent="0.2">
      <c r="A411" s="3" t="s">
        <v>3820</v>
      </c>
      <c r="B411" s="14">
        <v>0</v>
      </c>
      <c r="C411" s="13"/>
      <c r="D411" s="14">
        <v>0</v>
      </c>
      <c r="E411" s="14"/>
      <c r="F411" s="14">
        <v>0</v>
      </c>
      <c r="G411" s="14"/>
      <c r="H411" s="14">
        <v>0</v>
      </c>
      <c r="I411" s="14">
        <v>0</v>
      </c>
      <c r="J411" s="14">
        <v>0</v>
      </c>
      <c r="K411" s="14">
        <v>0</v>
      </c>
      <c r="L411" s="14">
        <v>0</v>
      </c>
      <c r="M411" s="14"/>
      <c r="N411" s="14">
        <v>0</v>
      </c>
      <c r="O411" s="14"/>
      <c r="P411" s="14">
        <v>0</v>
      </c>
      <c r="Q411" s="13"/>
      <c r="R411" s="14">
        <f t="shared" si="19"/>
        <v>0</v>
      </c>
    </row>
    <row r="412" spans="1:18" outlineLevel="1" x14ac:dyDescent="0.2">
      <c r="A412" s="3" t="s">
        <v>3821</v>
      </c>
      <c r="B412" s="14">
        <v>0</v>
      </c>
      <c r="C412" s="13"/>
      <c r="D412" s="14">
        <v>0</v>
      </c>
      <c r="E412" s="14"/>
      <c r="F412" s="14">
        <v>0</v>
      </c>
      <c r="G412" s="14"/>
      <c r="H412" s="14">
        <v>0</v>
      </c>
      <c r="I412" s="14">
        <v>0</v>
      </c>
      <c r="J412" s="14">
        <v>0</v>
      </c>
      <c r="K412" s="14">
        <v>0</v>
      </c>
      <c r="L412" s="14">
        <v>0</v>
      </c>
      <c r="M412" s="14"/>
      <c r="N412" s="14">
        <v>0</v>
      </c>
      <c r="O412" s="14"/>
      <c r="P412" s="14">
        <v>0</v>
      </c>
      <c r="Q412" s="13"/>
      <c r="R412" s="14">
        <f t="shared" si="19"/>
        <v>0</v>
      </c>
    </row>
    <row r="413" spans="1:18" outlineLevel="1" x14ac:dyDescent="0.2">
      <c r="A413" s="3" t="s">
        <v>3822</v>
      </c>
      <c r="B413" s="14">
        <v>-901710.53999999969</v>
      </c>
      <c r="C413" s="13"/>
      <c r="D413" s="14">
        <v>-89214.17</v>
      </c>
      <c r="E413" s="14"/>
      <c r="F413" s="14">
        <v>15599.24</v>
      </c>
      <c r="G413" s="14"/>
      <c r="H413" s="14">
        <v>0</v>
      </c>
      <c r="I413" s="14">
        <v>0</v>
      </c>
      <c r="J413" s="14">
        <v>0</v>
      </c>
      <c r="K413" s="14">
        <v>0</v>
      </c>
      <c r="L413" s="14">
        <v>0</v>
      </c>
      <c r="M413" s="14"/>
      <c r="N413" s="14">
        <v>0</v>
      </c>
      <c r="O413" s="14"/>
      <c r="P413" s="14">
        <v>0</v>
      </c>
      <c r="Q413" s="13"/>
      <c r="R413" s="14">
        <f t="shared" si="19"/>
        <v>-975325.46999999974</v>
      </c>
    </row>
    <row r="414" spans="1:18" outlineLevel="1" x14ac:dyDescent="0.2">
      <c r="A414" s="43" t="s">
        <v>3823</v>
      </c>
      <c r="B414" s="14">
        <v>-721700.47</v>
      </c>
      <c r="C414" s="13"/>
      <c r="D414" s="14">
        <v>-186916.31</v>
      </c>
      <c r="E414" s="14"/>
      <c r="F414" s="14">
        <v>41155.870000000003</v>
      </c>
      <c r="G414" s="14"/>
      <c r="H414" s="14">
        <v>1591.43</v>
      </c>
      <c r="I414" s="14">
        <v>0</v>
      </c>
      <c r="J414" s="14">
        <v>0</v>
      </c>
      <c r="K414" s="14">
        <v>0</v>
      </c>
      <c r="L414" s="14">
        <v>0</v>
      </c>
      <c r="M414" s="14"/>
      <c r="N414" s="14">
        <v>0</v>
      </c>
      <c r="O414" s="14"/>
      <c r="P414" s="14">
        <v>0</v>
      </c>
      <c r="Q414" s="13"/>
      <c r="R414" s="14">
        <f t="shared" si="19"/>
        <v>-865869.48</v>
      </c>
    </row>
    <row r="415" spans="1:18" outlineLevel="1" x14ac:dyDescent="0.2">
      <c r="A415" s="3" t="s">
        <v>3824</v>
      </c>
      <c r="B415" s="14">
        <v>-7239.7099999999991</v>
      </c>
      <c r="C415" s="13"/>
      <c r="D415" s="14">
        <v>0</v>
      </c>
      <c r="E415" s="14"/>
      <c r="F415" s="14">
        <v>0</v>
      </c>
      <c r="G415" s="14"/>
      <c r="H415" s="14">
        <v>0</v>
      </c>
      <c r="I415" s="14">
        <v>0</v>
      </c>
      <c r="J415" s="14">
        <v>0</v>
      </c>
      <c r="K415" s="14">
        <v>0</v>
      </c>
      <c r="L415" s="14">
        <v>0</v>
      </c>
      <c r="M415" s="14"/>
      <c r="N415" s="14">
        <v>0</v>
      </c>
      <c r="O415" s="14"/>
      <c r="P415" s="14">
        <v>0</v>
      </c>
      <c r="Q415" s="13"/>
      <c r="R415" s="14">
        <f t="shared" si="19"/>
        <v>-7239.7099999999991</v>
      </c>
    </row>
    <row r="416" spans="1:18" outlineLevel="1" x14ac:dyDescent="0.2">
      <c r="A416" s="3" t="s">
        <v>3825</v>
      </c>
      <c r="B416" s="14">
        <v>-32006.119999999879</v>
      </c>
      <c r="C416" s="13"/>
      <c r="D416" s="14">
        <v>-10816.2</v>
      </c>
      <c r="E416" s="14"/>
      <c r="F416" s="14">
        <v>0</v>
      </c>
      <c r="G416" s="14"/>
      <c r="H416" s="14">
        <v>0</v>
      </c>
      <c r="I416" s="14">
        <v>0</v>
      </c>
      <c r="J416" s="14">
        <v>0</v>
      </c>
      <c r="K416" s="14">
        <v>0</v>
      </c>
      <c r="L416" s="14">
        <v>0</v>
      </c>
      <c r="M416" s="14"/>
      <c r="N416" s="14">
        <v>0</v>
      </c>
      <c r="O416" s="14"/>
      <c r="P416" s="14">
        <v>0</v>
      </c>
      <c r="Q416" s="13"/>
      <c r="R416" s="14">
        <f t="shared" si="19"/>
        <v>-42822.319999999876</v>
      </c>
    </row>
    <row r="417" spans="1:19" x14ac:dyDescent="0.2">
      <c r="A417" s="3" t="s">
        <v>3826</v>
      </c>
      <c r="B417" s="17">
        <f>SUM(B399:B416)</f>
        <v>-15912238.119999999</v>
      </c>
      <c r="C417" s="92"/>
      <c r="D417" s="17">
        <f>SUM(D399:D416)</f>
        <v>-787212.58999999985</v>
      </c>
      <c r="E417" s="92"/>
      <c r="F417" s="17">
        <f>SUM(F399:F416)</f>
        <v>482747.26</v>
      </c>
      <c r="G417" s="92"/>
      <c r="H417" s="17">
        <f>SUM(H399:H416)</f>
        <v>1591.43</v>
      </c>
      <c r="I417" s="92"/>
      <c r="J417" s="17">
        <f>SUM(J399:J416)</f>
        <v>0</v>
      </c>
      <c r="K417" s="92"/>
      <c r="L417" s="17">
        <f>SUM(L399:L416)</f>
        <v>10351.799999999999</v>
      </c>
      <c r="M417" s="92"/>
      <c r="N417" s="17">
        <f>SUM(N399:N416)</f>
        <v>0</v>
      </c>
      <c r="O417" s="92"/>
      <c r="P417" s="17">
        <f>SUM(P399:P416)</f>
        <v>0</v>
      </c>
      <c r="Q417" s="92"/>
      <c r="R417" s="17">
        <f>SUM(R399:R416)</f>
        <v>-16204760.220000003</v>
      </c>
    </row>
    <row r="418" spans="1:19" x14ac:dyDescent="0.2">
      <c r="A418" s="3" t="s">
        <v>3827</v>
      </c>
      <c r="B418" s="17">
        <v>-54584155.829999998</v>
      </c>
      <c r="C418" s="92"/>
      <c r="D418" s="17">
        <v>-28713553.02</v>
      </c>
      <c r="E418" s="92"/>
      <c r="F418" s="101">
        <v>2172751.56</v>
      </c>
      <c r="G418" s="92"/>
      <c r="H418" s="101">
        <v>78309009.340000004</v>
      </c>
      <c r="I418" s="92"/>
      <c r="J418" s="17">
        <v>0</v>
      </c>
      <c r="K418" s="92"/>
      <c r="L418" s="101">
        <v>0</v>
      </c>
      <c r="M418" s="92"/>
      <c r="N418" s="101">
        <v>0</v>
      </c>
      <c r="O418" s="92"/>
      <c r="P418" s="102">
        <v>0</v>
      </c>
      <c r="Q418" s="92"/>
      <c r="R418" s="17">
        <f>SUM(B418:P418)</f>
        <v>-2815947.9499999881</v>
      </c>
    </row>
    <row r="419" spans="1:19" x14ac:dyDescent="0.2">
      <c r="A419" s="3" t="s">
        <v>3828</v>
      </c>
      <c r="B419" s="17">
        <v>0</v>
      </c>
      <c r="C419" s="13"/>
      <c r="D419" s="17">
        <v>-12231901.439999999</v>
      </c>
      <c r="E419" s="13"/>
      <c r="F419" s="101">
        <v>0</v>
      </c>
      <c r="G419" s="13"/>
      <c r="H419" s="101">
        <v>-78309009.340000004</v>
      </c>
      <c r="I419" s="13"/>
      <c r="J419" s="17">
        <v>0</v>
      </c>
      <c r="K419" s="13"/>
      <c r="L419" s="101">
        <v>0</v>
      </c>
      <c r="M419" s="13"/>
      <c r="N419" s="101">
        <v>0</v>
      </c>
      <c r="O419" s="13"/>
      <c r="P419" s="102">
        <v>0</v>
      </c>
      <c r="Q419" s="13"/>
      <c r="R419" s="17">
        <f>SUM(B419:P419)</f>
        <v>-90540910.780000001</v>
      </c>
    </row>
    <row r="420" spans="1:19" x14ac:dyDescent="0.2">
      <c r="A420" s="3" t="s">
        <v>3829</v>
      </c>
      <c r="B420" s="18">
        <f>B418+B417+B388+B352+B351+B335+B324+B272+B263+B228+B398+B419</f>
        <v>-1529668971.73</v>
      </c>
      <c r="C420" s="13"/>
      <c r="D420" s="18">
        <f>D418+D417+D388+D352+D351+D335+D324+D272+D263+D228+D398+D419</f>
        <v>-157734489.57999998</v>
      </c>
      <c r="E420" s="13"/>
      <c r="F420" s="18">
        <f>F418+F417+F388+F352+F351+F335+F324+F272+F263+F228+F398+F419</f>
        <v>14899041.710000001</v>
      </c>
      <c r="G420" s="13"/>
      <c r="H420" s="18">
        <f>H418+H417+H388+H352+H351+H335+H324+H272+H263+H228+H398+H419</f>
        <v>0</v>
      </c>
      <c r="I420" s="13"/>
      <c r="J420" s="18">
        <f>J418+J417+J388+J352+J351+J335+J324+J272+J263+J228+J398</f>
        <v>0</v>
      </c>
      <c r="K420" s="13"/>
      <c r="L420" s="18">
        <f>L418+L417+L388+L352+L351+L335+L324+L272+L263+L228+L398+L419</f>
        <v>4793895.3099999996</v>
      </c>
      <c r="M420" s="17">
        <f>M418+M417+M388+M352+M351+M335+M324+M272+M263+M228</f>
        <v>0</v>
      </c>
      <c r="N420" s="18">
        <f>N418+N417+N388+N352+N351+N335+N324+N272+N263+N228+N398+N419</f>
        <v>-184614.87</v>
      </c>
      <c r="O420" s="17">
        <f>O418+O417+O388+O352+O351+O335+O324+O272+O263+O228</f>
        <v>0</v>
      </c>
      <c r="P420" s="18">
        <f>P418+P417+P388+P352+P351+P335+P324+P272+P263+P228+P398+P419</f>
        <v>-16019.469999999998</v>
      </c>
      <c r="Q420" s="13"/>
      <c r="R420" s="18">
        <f>R418+R417+R388+R352+R351+R335+R324+R272+R263+R228+R398+R419</f>
        <v>-1667911158.6300001</v>
      </c>
      <c r="S420" s="15"/>
    </row>
    <row r="421" spans="1:19" x14ac:dyDescent="0.2">
      <c r="C421" s="13"/>
      <c r="E421" s="13"/>
      <c r="G421" s="13"/>
      <c r="I421" s="13"/>
      <c r="K421" s="13"/>
      <c r="M421" s="13"/>
      <c r="O421" s="13"/>
      <c r="Q421" s="13"/>
    </row>
    <row r="422" spans="1:19" x14ac:dyDescent="0.2">
      <c r="A422" s="12" t="s">
        <v>18</v>
      </c>
      <c r="C422" s="13"/>
      <c r="E422" s="13"/>
      <c r="G422" s="13"/>
      <c r="I422" s="13"/>
      <c r="K422" s="13"/>
      <c r="M422" s="13"/>
      <c r="O422" s="13"/>
      <c r="Q422" s="13"/>
    </row>
    <row r="423" spans="1:19" x14ac:dyDescent="0.2">
      <c r="A423" s="3" t="s">
        <v>3830</v>
      </c>
      <c r="B423" s="14">
        <v>-15138565.649999999</v>
      </c>
      <c r="C423" s="13"/>
      <c r="D423" s="14">
        <v>-262175.28000000003</v>
      </c>
      <c r="E423" s="13"/>
      <c r="F423" s="14">
        <v>0</v>
      </c>
      <c r="G423" s="13"/>
      <c r="H423" s="74">
        <v>0</v>
      </c>
      <c r="I423" s="13"/>
      <c r="J423" s="14">
        <v>0</v>
      </c>
      <c r="K423" s="13"/>
      <c r="L423" s="74">
        <v>0</v>
      </c>
      <c r="M423" s="13"/>
      <c r="N423" s="74">
        <v>0</v>
      </c>
      <c r="O423" s="13"/>
      <c r="P423" s="100">
        <v>0</v>
      </c>
      <c r="Q423" s="13"/>
      <c r="R423" s="14">
        <f t="shared" ref="R423:R448" si="20">SUM(B423:P423)</f>
        <v>-15400740.929999998</v>
      </c>
    </row>
    <row r="424" spans="1:19" x14ac:dyDescent="0.2">
      <c r="A424" s="3" t="s">
        <v>3831</v>
      </c>
      <c r="B424" s="14">
        <v>0</v>
      </c>
      <c r="C424" s="13"/>
      <c r="D424" s="14">
        <v>0</v>
      </c>
      <c r="E424" s="13"/>
      <c r="F424" s="14">
        <v>0</v>
      </c>
      <c r="G424" s="13"/>
      <c r="H424" s="74">
        <v>0</v>
      </c>
      <c r="I424" s="13"/>
      <c r="J424" s="14">
        <v>0</v>
      </c>
      <c r="K424" s="13"/>
      <c r="L424" s="74">
        <v>0</v>
      </c>
      <c r="M424" s="13"/>
      <c r="N424" s="74">
        <v>0</v>
      </c>
      <c r="O424" s="13"/>
      <c r="P424" s="100">
        <v>0</v>
      </c>
      <c r="Q424" s="13"/>
      <c r="R424" s="14">
        <f t="shared" si="20"/>
        <v>0</v>
      </c>
    </row>
    <row r="425" spans="1:19" x14ac:dyDescent="0.2">
      <c r="A425" s="3" t="s">
        <v>3832</v>
      </c>
      <c r="B425" s="14">
        <v>0</v>
      </c>
      <c r="C425" s="13"/>
      <c r="D425" s="14">
        <v>0</v>
      </c>
      <c r="E425" s="13"/>
      <c r="F425" s="14">
        <v>0</v>
      </c>
      <c r="G425" s="13"/>
      <c r="H425" s="74">
        <v>0</v>
      </c>
      <c r="I425" s="13"/>
      <c r="J425" s="14">
        <v>0</v>
      </c>
      <c r="K425" s="13"/>
      <c r="L425" s="74">
        <v>0</v>
      </c>
      <c r="M425" s="13"/>
      <c r="N425" s="74">
        <v>0</v>
      </c>
      <c r="O425" s="13"/>
      <c r="P425" s="100">
        <v>0</v>
      </c>
      <c r="Q425" s="13"/>
      <c r="R425" s="14">
        <f t="shared" si="20"/>
        <v>0</v>
      </c>
    </row>
    <row r="426" spans="1:19" x14ac:dyDescent="0.2">
      <c r="A426" s="3" t="s">
        <v>3833</v>
      </c>
      <c r="B426" s="14">
        <v>0</v>
      </c>
      <c r="C426" s="13"/>
      <c r="D426" s="14">
        <v>0</v>
      </c>
      <c r="E426" s="13"/>
      <c r="F426" s="14">
        <v>0</v>
      </c>
      <c r="G426" s="13"/>
      <c r="H426" s="74">
        <v>0</v>
      </c>
      <c r="I426" s="13"/>
      <c r="J426" s="14">
        <v>0</v>
      </c>
      <c r="K426" s="13"/>
      <c r="L426" s="74">
        <v>0</v>
      </c>
      <c r="M426" s="13"/>
      <c r="N426" s="74">
        <v>0</v>
      </c>
      <c r="O426" s="13"/>
      <c r="P426" s="100">
        <v>0</v>
      </c>
      <c r="Q426" s="13"/>
      <c r="R426" s="14">
        <f t="shared" si="20"/>
        <v>0</v>
      </c>
    </row>
    <row r="427" spans="1:19" x14ac:dyDescent="0.2">
      <c r="A427" s="3" t="s">
        <v>3834</v>
      </c>
      <c r="B427" s="14">
        <v>-4960643.870000001</v>
      </c>
      <c r="C427" s="13"/>
      <c r="D427" s="14">
        <v>-424833.97</v>
      </c>
      <c r="E427" s="13"/>
      <c r="F427" s="14">
        <v>164375.07999999999</v>
      </c>
      <c r="G427" s="13"/>
      <c r="H427" s="74">
        <v>3397.25</v>
      </c>
      <c r="I427" s="13"/>
      <c r="J427" s="14">
        <v>0</v>
      </c>
      <c r="K427" s="13"/>
      <c r="L427" s="74">
        <v>31232.65</v>
      </c>
      <c r="M427" s="13"/>
      <c r="N427" s="74">
        <v>-0.77</v>
      </c>
      <c r="O427" s="13"/>
      <c r="P427" s="100">
        <v>0</v>
      </c>
      <c r="Q427" s="13"/>
      <c r="R427" s="14">
        <f t="shared" si="20"/>
        <v>-5186473.63</v>
      </c>
    </row>
    <row r="428" spans="1:19" x14ac:dyDescent="0.2">
      <c r="A428" s="3" t="s">
        <v>3835</v>
      </c>
      <c r="B428" s="14">
        <v>-885615.28</v>
      </c>
      <c r="C428" s="13"/>
      <c r="D428" s="14">
        <v>-21478.67</v>
      </c>
      <c r="E428" s="13"/>
      <c r="F428" s="14">
        <v>8788.85</v>
      </c>
      <c r="G428" s="13"/>
      <c r="H428" s="74">
        <v>0</v>
      </c>
      <c r="I428" s="13"/>
      <c r="J428" s="14">
        <v>0</v>
      </c>
      <c r="K428" s="13"/>
      <c r="L428" s="74">
        <v>29079.42</v>
      </c>
      <c r="M428" s="13"/>
      <c r="N428" s="74">
        <v>0</v>
      </c>
      <c r="O428" s="13"/>
      <c r="P428" s="100">
        <v>0</v>
      </c>
      <c r="Q428" s="13"/>
      <c r="R428" s="14">
        <f t="shared" si="20"/>
        <v>-869225.68</v>
      </c>
    </row>
    <row r="429" spans="1:19" x14ac:dyDescent="0.2">
      <c r="A429" s="3" t="s">
        <v>3836</v>
      </c>
      <c r="B429" s="14">
        <v>-71970.150000000009</v>
      </c>
      <c r="C429" s="13"/>
      <c r="D429" s="14">
        <v>-3053.04</v>
      </c>
      <c r="E429" s="13"/>
      <c r="F429" s="14">
        <v>0</v>
      </c>
      <c r="G429" s="13"/>
      <c r="H429" s="74">
        <v>0</v>
      </c>
      <c r="I429" s="13"/>
      <c r="J429" s="14">
        <v>0</v>
      </c>
      <c r="K429" s="13"/>
      <c r="L429" s="74">
        <v>0</v>
      </c>
      <c r="M429" s="13"/>
      <c r="N429" s="74">
        <v>0</v>
      </c>
      <c r="O429" s="13"/>
      <c r="P429" s="100">
        <v>0</v>
      </c>
      <c r="Q429" s="13"/>
      <c r="R429" s="14">
        <f t="shared" si="20"/>
        <v>-75023.19</v>
      </c>
    </row>
    <row r="430" spans="1:19" x14ac:dyDescent="0.2">
      <c r="A430" s="3" t="s">
        <v>3837</v>
      </c>
      <c r="B430" s="14">
        <v>0</v>
      </c>
      <c r="C430" s="13"/>
      <c r="D430" s="14">
        <v>0</v>
      </c>
      <c r="E430" s="13"/>
      <c r="F430" s="14">
        <v>0</v>
      </c>
      <c r="G430" s="13"/>
      <c r="H430" s="74">
        <v>0</v>
      </c>
      <c r="I430" s="13"/>
      <c r="J430" s="14">
        <v>0</v>
      </c>
      <c r="K430" s="13"/>
      <c r="L430" s="74">
        <v>0</v>
      </c>
      <c r="M430" s="13"/>
      <c r="N430" s="74">
        <v>0</v>
      </c>
      <c r="O430" s="13"/>
      <c r="P430" s="100">
        <v>0</v>
      </c>
      <c r="Q430" s="13"/>
      <c r="R430" s="14">
        <f t="shared" si="20"/>
        <v>0</v>
      </c>
    </row>
    <row r="431" spans="1:19" x14ac:dyDescent="0.2">
      <c r="A431" s="3" t="s">
        <v>3838</v>
      </c>
      <c r="B431" s="14">
        <v>-60847017.48999998</v>
      </c>
      <c r="C431" s="13"/>
      <c r="D431" s="14">
        <v>-4085946.66</v>
      </c>
      <c r="E431" s="13"/>
      <c r="F431" s="14">
        <v>2119855.21</v>
      </c>
      <c r="G431" s="13"/>
      <c r="H431" s="74">
        <v>-41564.620000000003</v>
      </c>
      <c r="I431" s="13"/>
      <c r="J431" s="14">
        <v>0</v>
      </c>
      <c r="K431" s="13"/>
      <c r="L431" s="74">
        <v>278566.19</v>
      </c>
      <c r="M431" s="13"/>
      <c r="N431" s="74">
        <v>-1119063.8600000001</v>
      </c>
      <c r="O431" s="13"/>
      <c r="P431" s="100">
        <v>-663.78</v>
      </c>
      <c r="Q431" s="13"/>
      <c r="R431" s="14">
        <f t="shared" si="20"/>
        <v>-63695835.009999976</v>
      </c>
    </row>
    <row r="432" spans="1:19" x14ac:dyDescent="0.2">
      <c r="A432" s="3" t="s">
        <v>3839</v>
      </c>
      <c r="B432" s="14">
        <v>-1.1641532182693481E-10</v>
      </c>
      <c r="C432" s="13"/>
      <c r="D432" s="14">
        <v>0</v>
      </c>
      <c r="E432" s="13"/>
      <c r="F432" s="14">
        <v>0</v>
      </c>
      <c r="G432" s="13"/>
      <c r="H432" s="74">
        <v>0</v>
      </c>
      <c r="I432" s="13"/>
      <c r="J432" s="14">
        <v>0</v>
      </c>
      <c r="K432" s="13"/>
      <c r="L432" s="74">
        <v>0</v>
      </c>
      <c r="M432" s="13"/>
      <c r="N432" s="74">
        <v>0</v>
      </c>
      <c r="O432" s="13"/>
      <c r="P432" s="100">
        <v>0</v>
      </c>
      <c r="Q432" s="13"/>
      <c r="R432" s="14">
        <f t="shared" si="20"/>
        <v>-1.1641532182693481E-10</v>
      </c>
    </row>
    <row r="433" spans="1:18" x14ac:dyDescent="0.2">
      <c r="A433" s="3" t="s">
        <v>3840</v>
      </c>
      <c r="B433" s="14">
        <v>-9724329.3300000019</v>
      </c>
      <c r="C433" s="13"/>
      <c r="D433" s="14">
        <v>0</v>
      </c>
      <c r="E433" s="13"/>
      <c r="F433" s="14">
        <v>26900.38</v>
      </c>
      <c r="G433" s="13"/>
      <c r="H433" s="74">
        <v>0</v>
      </c>
      <c r="I433" s="13"/>
      <c r="J433" s="14">
        <v>0</v>
      </c>
      <c r="K433" s="13"/>
      <c r="L433" s="74">
        <v>11256.08</v>
      </c>
      <c r="M433" s="13"/>
      <c r="N433" s="74">
        <v>-28.61</v>
      </c>
      <c r="O433" s="13"/>
      <c r="P433" s="100">
        <v>0</v>
      </c>
      <c r="Q433" s="13"/>
      <c r="R433" s="14">
        <f t="shared" si="20"/>
        <v>-9686201.4800000004</v>
      </c>
    </row>
    <row r="434" spans="1:18" outlineLevel="1" x14ac:dyDescent="0.2">
      <c r="A434" s="3" t="s">
        <v>3841</v>
      </c>
      <c r="B434" s="14">
        <v>-44316344.559999987</v>
      </c>
      <c r="C434" s="13"/>
      <c r="D434" s="14">
        <v>-941289.7</v>
      </c>
      <c r="E434" s="13"/>
      <c r="F434" s="14">
        <v>32164.05</v>
      </c>
      <c r="G434" s="13"/>
      <c r="H434" s="14">
        <v>0</v>
      </c>
      <c r="I434" s="13"/>
      <c r="J434" s="14">
        <v>0</v>
      </c>
      <c r="K434" s="13"/>
      <c r="L434" s="14">
        <v>6170.36</v>
      </c>
      <c r="M434" s="13"/>
      <c r="N434" s="14">
        <v>-54.47</v>
      </c>
      <c r="O434" s="13"/>
      <c r="P434" s="14">
        <v>0</v>
      </c>
      <c r="Q434" s="13"/>
      <c r="R434" s="14">
        <f>SUM(B434:P434)</f>
        <v>-45219354.319999993</v>
      </c>
    </row>
    <row r="435" spans="1:18" outlineLevel="1" x14ac:dyDescent="0.2">
      <c r="A435" s="3" t="s">
        <v>3842</v>
      </c>
      <c r="B435" s="14">
        <v>-3.637978807091713E-12</v>
      </c>
      <c r="C435" s="13"/>
      <c r="D435" s="14">
        <v>0</v>
      </c>
      <c r="E435" s="13"/>
      <c r="F435" s="14">
        <v>0</v>
      </c>
      <c r="G435" s="13"/>
      <c r="H435" s="14">
        <v>0</v>
      </c>
      <c r="I435" s="13"/>
      <c r="J435" s="14">
        <v>0</v>
      </c>
      <c r="K435" s="13"/>
      <c r="L435" s="14">
        <v>0</v>
      </c>
      <c r="M435" s="13"/>
      <c r="N435" s="14">
        <v>0</v>
      </c>
      <c r="O435" s="13"/>
      <c r="P435" s="14">
        <v>0</v>
      </c>
      <c r="Q435" s="13"/>
      <c r="R435" s="14">
        <f>SUM(B435:P435)</f>
        <v>-3.637978807091713E-12</v>
      </c>
    </row>
    <row r="436" spans="1:18" x14ac:dyDescent="0.2">
      <c r="A436" s="3" t="s">
        <v>3843</v>
      </c>
      <c r="B436" s="14">
        <f>SUM(B434:B435)</f>
        <v>-44316344.559999987</v>
      </c>
      <c r="C436" s="13"/>
      <c r="D436" s="14">
        <f>SUM(D434:D435)</f>
        <v>-941289.7</v>
      </c>
      <c r="E436" s="13"/>
      <c r="F436" s="14">
        <f>SUM(F434:F435)</f>
        <v>32164.05</v>
      </c>
      <c r="G436" s="13"/>
      <c r="H436" s="14">
        <f>SUM(H434:H435)</f>
        <v>0</v>
      </c>
      <c r="I436" s="13"/>
      <c r="J436" s="14">
        <f>SUM(J434:J435)</f>
        <v>0</v>
      </c>
      <c r="K436" s="13"/>
      <c r="L436" s="14">
        <f>SUM(L434:L435)</f>
        <v>6170.36</v>
      </c>
      <c r="M436" s="13"/>
      <c r="N436" s="14">
        <f>SUM(N434:N435)</f>
        <v>-54.47</v>
      </c>
      <c r="O436" s="13"/>
      <c r="P436" s="14">
        <f>SUM(P434:P435)</f>
        <v>0</v>
      </c>
      <c r="Q436" s="13"/>
      <c r="R436" s="14">
        <f>SUM(R434:R435)</f>
        <v>-45219354.319999993</v>
      </c>
    </row>
    <row r="437" spans="1:18" x14ac:dyDescent="0.2">
      <c r="A437" s="3" t="s">
        <v>3844</v>
      </c>
      <c r="B437" s="14">
        <v>0</v>
      </c>
      <c r="C437" s="13"/>
      <c r="D437" s="14">
        <v>0</v>
      </c>
      <c r="E437" s="13"/>
      <c r="F437" s="14">
        <v>0</v>
      </c>
      <c r="G437" s="13"/>
      <c r="H437" s="74">
        <v>0</v>
      </c>
      <c r="I437" s="13"/>
      <c r="J437" s="14">
        <v>0</v>
      </c>
      <c r="K437" s="13"/>
      <c r="L437" s="74">
        <v>0</v>
      </c>
      <c r="M437" s="13"/>
      <c r="N437" s="74">
        <v>0</v>
      </c>
      <c r="O437" s="13"/>
      <c r="P437" s="100">
        <v>0</v>
      </c>
      <c r="Q437" s="13"/>
      <c r="R437" s="14">
        <f>SUM(B437:P437)</f>
        <v>0</v>
      </c>
    </row>
    <row r="438" spans="1:18" outlineLevel="1" x14ac:dyDescent="0.2">
      <c r="A438" s="3" t="s">
        <v>3845</v>
      </c>
      <c r="B438" s="14">
        <v>-68365565.86999999</v>
      </c>
      <c r="C438" s="13"/>
      <c r="D438" s="14">
        <v>-5353880.04</v>
      </c>
      <c r="E438" s="13"/>
      <c r="F438" s="14">
        <v>2551603.0299999998</v>
      </c>
      <c r="G438" s="13"/>
      <c r="H438" s="14">
        <v>27045.54</v>
      </c>
      <c r="I438" s="13"/>
      <c r="J438" s="14">
        <v>0</v>
      </c>
      <c r="K438" s="13"/>
      <c r="L438" s="14">
        <v>3657533.19</v>
      </c>
      <c r="M438" s="13"/>
      <c r="N438" s="14">
        <v>-7951.56</v>
      </c>
      <c r="O438" s="13"/>
      <c r="P438" s="14">
        <v>-155578.86000000002</v>
      </c>
      <c r="Q438" s="13"/>
      <c r="R438" s="14">
        <f>SUM(B438:P438)</f>
        <v>-67646794.569999993</v>
      </c>
    </row>
    <row r="439" spans="1:18" outlineLevel="1" x14ac:dyDescent="0.2">
      <c r="A439" s="3" t="s">
        <v>3846</v>
      </c>
      <c r="B439" s="14">
        <v>0</v>
      </c>
      <c r="C439" s="13"/>
      <c r="D439" s="14">
        <v>0</v>
      </c>
      <c r="E439" s="13"/>
      <c r="F439" s="14">
        <v>0</v>
      </c>
      <c r="G439" s="13"/>
      <c r="H439" s="14">
        <v>0</v>
      </c>
      <c r="I439" s="13"/>
      <c r="J439" s="14">
        <v>0</v>
      </c>
      <c r="K439" s="13"/>
      <c r="L439" s="14">
        <v>0</v>
      </c>
      <c r="M439" s="13"/>
      <c r="N439" s="14">
        <v>0</v>
      </c>
      <c r="O439" s="13"/>
      <c r="P439" s="14">
        <v>0</v>
      </c>
      <c r="Q439" s="13"/>
      <c r="R439" s="14">
        <f>SUM(B439:P439)</f>
        <v>0</v>
      </c>
    </row>
    <row r="440" spans="1:18" x14ac:dyDescent="0.2">
      <c r="A440" s="3" t="s">
        <v>3847</v>
      </c>
      <c r="B440" s="14">
        <f>SUM(B438:B439)</f>
        <v>-68365565.86999999</v>
      </c>
      <c r="C440" s="13"/>
      <c r="D440" s="14">
        <f>SUM(D438:D439)</f>
        <v>-5353880.04</v>
      </c>
      <c r="E440" s="13"/>
      <c r="F440" s="14">
        <f>SUM(F438:F439)</f>
        <v>2551603.0299999998</v>
      </c>
      <c r="G440" s="13"/>
      <c r="H440" s="14">
        <f>SUM(H438:H439)</f>
        <v>27045.54</v>
      </c>
      <c r="I440" s="13"/>
      <c r="J440" s="14">
        <f>SUM(J438:J439)</f>
        <v>0</v>
      </c>
      <c r="K440" s="13"/>
      <c r="L440" s="14">
        <f>SUM(L438:L439)</f>
        <v>3657533.19</v>
      </c>
      <c r="M440" s="13"/>
      <c r="N440" s="14">
        <f>SUM(N438:N439)</f>
        <v>-7951.56</v>
      </c>
      <c r="O440" s="13"/>
      <c r="P440" s="14">
        <f>SUM(P438:P439)</f>
        <v>-155578.86000000002</v>
      </c>
      <c r="Q440" s="13"/>
      <c r="R440" s="14">
        <f>SUM(R438:R439)</f>
        <v>-67646794.569999993</v>
      </c>
    </row>
    <row r="441" spans="1:18" x14ac:dyDescent="0.2">
      <c r="A441" s="3" t="s">
        <v>3848</v>
      </c>
      <c r="C441" s="13"/>
      <c r="D441" s="14">
        <v>0</v>
      </c>
      <c r="E441" s="13"/>
      <c r="F441" s="14">
        <v>0</v>
      </c>
      <c r="G441" s="13"/>
      <c r="H441" s="74">
        <v>0</v>
      </c>
      <c r="I441" s="13"/>
      <c r="J441" s="14">
        <v>0</v>
      </c>
      <c r="K441" s="13"/>
      <c r="L441" s="74">
        <v>0</v>
      </c>
      <c r="M441" s="13"/>
      <c r="N441" s="74">
        <v>0</v>
      </c>
      <c r="O441" s="13"/>
      <c r="P441" s="100">
        <v>0</v>
      </c>
      <c r="Q441" s="13"/>
      <c r="R441" s="14">
        <f>SUM(B441:P441)</f>
        <v>0</v>
      </c>
    </row>
    <row r="442" spans="1:18" outlineLevel="1" x14ac:dyDescent="0.2">
      <c r="A442" s="3" t="s">
        <v>3849</v>
      </c>
      <c r="B442" s="14">
        <v>-104141006.65000001</v>
      </c>
      <c r="C442" s="13"/>
      <c r="D442" s="14">
        <v>-3170109.31</v>
      </c>
      <c r="E442" s="13"/>
      <c r="F442" s="14">
        <v>2088032.8</v>
      </c>
      <c r="G442" s="13"/>
      <c r="H442" s="14">
        <v>0</v>
      </c>
      <c r="I442" s="13"/>
      <c r="J442" s="14">
        <v>0</v>
      </c>
      <c r="K442" s="13"/>
      <c r="L442" s="14">
        <v>2286073.79</v>
      </c>
      <c r="M442" s="13"/>
      <c r="N442" s="14">
        <v>-22817.66</v>
      </c>
      <c r="O442" s="13"/>
      <c r="P442" s="14">
        <v>-77090.600000000006</v>
      </c>
      <c r="Q442" s="13"/>
      <c r="R442" s="14">
        <f>SUM(B442:P442)</f>
        <v>-103036917.63</v>
      </c>
    </row>
    <row r="443" spans="1:18" outlineLevel="1" x14ac:dyDescent="0.2">
      <c r="A443" s="3" t="s">
        <v>3850</v>
      </c>
      <c r="B443" s="14">
        <v>0</v>
      </c>
      <c r="C443" s="13"/>
      <c r="D443" s="14">
        <v>0</v>
      </c>
      <c r="E443" s="13"/>
      <c r="F443" s="14">
        <v>0</v>
      </c>
      <c r="G443" s="13"/>
      <c r="H443" s="14">
        <v>0</v>
      </c>
      <c r="I443" s="13"/>
      <c r="J443" s="14">
        <v>0</v>
      </c>
      <c r="K443" s="13"/>
      <c r="L443" s="14">
        <v>0</v>
      </c>
      <c r="M443" s="13"/>
      <c r="N443" s="14">
        <v>0</v>
      </c>
      <c r="O443" s="13"/>
      <c r="P443" s="14">
        <v>0</v>
      </c>
      <c r="Q443" s="13"/>
      <c r="R443" s="14">
        <f>SUM(B443:P443)</f>
        <v>0</v>
      </c>
    </row>
    <row r="444" spans="1:18" x14ac:dyDescent="0.2">
      <c r="A444" s="3" t="s">
        <v>3851</v>
      </c>
      <c r="B444" s="14">
        <f>SUM(B442:B443)</f>
        <v>-104141006.65000001</v>
      </c>
      <c r="C444" s="13"/>
      <c r="D444" s="14">
        <f>SUM(D442:D443)</f>
        <v>-3170109.31</v>
      </c>
      <c r="E444" s="13"/>
      <c r="F444" s="14">
        <f>SUM(F442:F443)</f>
        <v>2088032.8</v>
      </c>
      <c r="G444" s="13"/>
      <c r="H444" s="14">
        <f>SUM(H442:H443)</f>
        <v>0</v>
      </c>
      <c r="I444" s="13"/>
      <c r="J444" s="14">
        <f>SUM(J442:J443)</f>
        <v>0</v>
      </c>
      <c r="K444" s="13"/>
      <c r="L444" s="14">
        <f>SUM(L442:L443)</f>
        <v>2286073.79</v>
      </c>
      <c r="M444" s="13"/>
      <c r="N444" s="14">
        <f>SUM(N442:N443)</f>
        <v>-22817.66</v>
      </c>
      <c r="O444" s="13"/>
      <c r="P444" s="14">
        <f>SUM(P442:P443)</f>
        <v>-77090.600000000006</v>
      </c>
      <c r="Q444" s="13"/>
      <c r="R444" s="14">
        <f>SUM(R442:R443)</f>
        <v>-103036917.63</v>
      </c>
    </row>
    <row r="445" spans="1:18" x14ac:dyDescent="0.2">
      <c r="A445" s="3" t="s">
        <v>3852</v>
      </c>
      <c r="B445" s="14">
        <v>-229645.78999999998</v>
      </c>
      <c r="C445" s="13"/>
      <c r="D445" s="14">
        <v>-10186.799999999999</v>
      </c>
      <c r="E445" s="13"/>
      <c r="F445" s="14">
        <v>0</v>
      </c>
      <c r="G445" s="13"/>
      <c r="H445" s="74">
        <v>0</v>
      </c>
      <c r="I445" s="13"/>
      <c r="J445" s="14">
        <v>0</v>
      </c>
      <c r="K445" s="13"/>
      <c r="L445" s="74">
        <v>0</v>
      </c>
      <c r="M445" s="13"/>
      <c r="N445" s="74">
        <v>0</v>
      </c>
      <c r="O445" s="13"/>
      <c r="P445" s="100">
        <v>0</v>
      </c>
      <c r="Q445" s="13"/>
      <c r="R445" s="14">
        <f t="shared" si="20"/>
        <v>-239832.58999999997</v>
      </c>
    </row>
    <row r="446" spans="1:18" x14ac:dyDescent="0.2">
      <c r="A446" s="3" t="s">
        <v>3853</v>
      </c>
      <c r="B446" s="14">
        <v>-966622.64</v>
      </c>
      <c r="C446" s="13"/>
      <c r="D446" s="14">
        <v>-11242.38</v>
      </c>
      <c r="E446" s="13"/>
      <c r="F446" s="14">
        <v>2412.09</v>
      </c>
      <c r="G446" s="13"/>
      <c r="H446" s="74">
        <v>13306</v>
      </c>
      <c r="I446" s="13"/>
      <c r="J446" s="14">
        <v>0</v>
      </c>
      <c r="K446" s="13"/>
      <c r="L446" s="74">
        <v>389.69</v>
      </c>
      <c r="M446" s="13"/>
      <c r="N446" s="74">
        <v>0</v>
      </c>
      <c r="O446" s="13"/>
      <c r="P446" s="100">
        <v>0</v>
      </c>
      <c r="Q446" s="13"/>
      <c r="R446" s="14">
        <f t="shared" si="20"/>
        <v>-961757.24000000011</v>
      </c>
    </row>
    <row r="447" spans="1:18" x14ac:dyDescent="0.2">
      <c r="A447" s="3" t="s">
        <v>3854</v>
      </c>
      <c r="B447" s="14">
        <v>-4256.04</v>
      </c>
      <c r="C447" s="13"/>
      <c r="D447" s="14">
        <v>-638.05999999999995</v>
      </c>
      <c r="E447" s="13"/>
      <c r="F447" s="14">
        <v>0</v>
      </c>
      <c r="G447" s="13"/>
      <c r="H447" s="74">
        <v>0</v>
      </c>
      <c r="I447" s="13"/>
      <c r="J447" s="14">
        <v>0</v>
      </c>
      <c r="K447" s="13"/>
      <c r="L447" s="74">
        <v>0</v>
      </c>
      <c r="M447" s="13"/>
      <c r="N447" s="74">
        <v>0</v>
      </c>
      <c r="O447" s="13"/>
      <c r="P447" s="100">
        <v>0</v>
      </c>
      <c r="Q447" s="13"/>
      <c r="R447" s="14">
        <f t="shared" si="20"/>
        <v>-4894.1000000000004</v>
      </c>
    </row>
    <row r="448" spans="1:18" x14ac:dyDescent="0.2">
      <c r="A448" s="3" t="s">
        <v>3855</v>
      </c>
      <c r="B448" s="16">
        <v>-39445.07</v>
      </c>
      <c r="C448" s="13"/>
      <c r="D448" s="14">
        <v>-9364.94</v>
      </c>
      <c r="E448" s="13"/>
      <c r="F448" s="14">
        <v>0</v>
      </c>
      <c r="G448" s="13"/>
      <c r="H448" s="74">
        <v>0</v>
      </c>
      <c r="I448" s="13"/>
      <c r="J448" s="17">
        <v>0</v>
      </c>
      <c r="K448" s="13"/>
      <c r="L448" s="74">
        <v>0</v>
      </c>
      <c r="M448" s="13"/>
      <c r="N448" s="74">
        <v>0</v>
      </c>
      <c r="O448" s="13"/>
      <c r="P448" s="100">
        <v>0</v>
      </c>
      <c r="Q448" s="13"/>
      <c r="R448" s="16">
        <f t="shared" si="20"/>
        <v>-48810.01</v>
      </c>
    </row>
    <row r="449" spans="1:18" x14ac:dyDescent="0.2">
      <c r="A449" s="3" t="s">
        <v>3856</v>
      </c>
      <c r="B449" s="17">
        <f>SUM(B423:B433)+SUM(B436:B437)+SUM(B440:B441)+SUM(B444:B448)</f>
        <v>-309691028.38999999</v>
      </c>
      <c r="C449" s="13"/>
      <c r="D449" s="18">
        <f>SUM(D423:D433)+SUM(D436:D437)+SUM(D440:D441)+SUM(D444:D448)</f>
        <v>-14294198.85</v>
      </c>
      <c r="E449" s="13"/>
      <c r="F449" s="18">
        <f>SUM(F423:F433)+SUM(F436:F437)+SUM(F440:F441)+SUM(F444:F448)</f>
        <v>6994131.4900000002</v>
      </c>
      <c r="G449" s="13"/>
      <c r="H449" s="18">
        <f>SUM(H423:H433)+SUM(H436:H437)+SUM(H440:H441)+SUM(H444:H448)</f>
        <v>2184.1699999999983</v>
      </c>
      <c r="I449" s="13"/>
      <c r="J449" s="18">
        <f>SUM(J423:J433)+SUM(J436:J437)+SUM(J440:J441)+SUM(J444:J448)</f>
        <v>0</v>
      </c>
      <c r="K449" s="13"/>
      <c r="L449" s="18">
        <f>SUM(L423:L433)+SUM(L436:L437)+SUM(L440:L441)+SUM(L444:L448)</f>
        <v>6300301.3700000001</v>
      </c>
      <c r="M449" s="13"/>
      <c r="N449" s="18">
        <f>SUM(N423:N433)+SUM(N436:N437)+SUM(N440:N441)+SUM(N444:N448)</f>
        <v>-1149916.9300000002</v>
      </c>
      <c r="O449" s="13"/>
      <c r="P449" s="18">
        <f>SUM(P423:P433)+SUM(P436:P437)+SUM(P440:P441)+SUM(P444:P448)</f>
        <v>-233333.24000000002</v>
      </c>
      <c r="Q449" s="13"/>
      <c r="R449" s="17">
        <f>SUM(R423:R433)+SUM(R436:R437)+SUM(R440:R441)+SUM(R444:R448)</f>
        <v>-312071860.37999994</v>
      </c>
    </row>
    <row r="450" spans="1:18" x14ac:dyDescent="0.2">
      <c r="C450" s="13"/>
      <c r="E450" s="13"/>
      <c r="G450" s="13"/>
      <c r="I450" s="13"/>
      <c r="J450" s="17"/>
      <c r="K450" s="13"/>
      <c r="M450" s="13"/>
      <c r="O450" s="13"/>
      <c r="Q450" s="13"/>
    </row>
    <row r="451" spans="1:18" x14ac:dyDescent="0.2">
      <c r="C451" s="13"/>
      <c r="E451" s="13"/>
      <c r="G451" s="13"/>
      <c r="I451" s="13"/>
      <c r="K451" s="13"/>
      <c r="M451" s="13"/>
      <c r="O451" s="13"/>
      <c r="Q451" s="13"/>
    </row>
    <row r="452" spans="1:18" ht="13.5" thickBot="1" x14ac:dyDescent="0.25">
      <c r="A452" s="12" t="s">
        <v>3857</v>
      </c>
      <c r="B452" s="78">
        <f>B449+B420+B217+B91+B80+B33</f>
        <v>-2761518522.9399996</v>
      </c>
      <c r="C452" s="13"/>
      <c r="D452" s="78">
        <f>D449+D420+D217+D91+D80+D33</f>
        <v>-261416216.93000001</v>
      </c>
      <c r="E452" s="13"/>
      <c r="F452" s="78">
        <f>F449+F420+F217+F91+F80+F33</f>
        <v>53506234.400000006</v>
      </c>
      <c r="G452" s="13"/>
      <c r="H452" s="78">
        <f>H449+H420+H217+H91+H80+H33</f>
        <v>-438391.79000000044</v>
      </c>
      <c r="I452" s="13"/>
      <c r="J452" s="78">
        <f>J449+J420+J217+J91+J80+J33</f>
        <v>0</v>
      </c>
      <c r="K452" s="13"/>
      <c r="L452" s="78">
        <f>L449+L420+L217+L91+L80+L33</f>
        <v>17214390.84</v>
      </c>
      <c r="M452" s="13"/>
      <c r="N452" s="78">
        <f>N449+N420+N217+N91+N80+N33</f>
        <v>-1579695.2400000002</v>
      </c>
      <c r="O452" s="13"/>
      <c r="P452" s="78">
        <f>P449+P420+P217+P91+P80+P33</f>
        <v>-689190.81</v>
      </c>
      <c r="Q452" s="13"/>
      <c r="R452" s="78">
        <f>R449+R420+R217+R91+R80+R33</f>
        <v>-2954921392.4700003</v>
      </c>
    </row>
    <row r="453" spans="1:18" ht="13.5" thickTop="1" x14ac:dyDescent="0.2">
      <c r="C453" s="13"/>
      <c r="E453" s="13"/>
      <c r="G453" s="13"/>
      <c r="I453" s="13"/>
      <c r="K453" s="13"/>
      <c r="M453" s="13"/>
      <c r="O453" s="13"/>
      <c r="Q453" s="13"/>
    </row>
    <row r="454" spans="1:18" x14ac:dyDescent="0.2">
      <c r="C454" s="13"/>
      <c r="E454" s="13"/>
      <c r="G454" s="13"/>
      <c r="I454" s="13"/>
      <c r="K454" s="13"/>
      <c r="M454" s="13"/>
      <c r="O454" s="13"/>
      <c r="Q454" s="13"/>
    </row>
    <row r="455" spans="1:18" x14ac:dyDescent="0.2">
      <c r="A455" s="12" t="s">
        <v>15</v>
      </c>
      <c r="C455" s="13"/>
      <c r="E455" s="13"/>
      <c r="G455" s="13"/>
      <c r="I455" s="13"/>
      <c r="K455" s="13"/>
      <c r="M455" s="13"/>
      <c r="O455" s="13"/>
      <c r="Q455" s="13"/>
    </row>
    <row r="456" spans="1:18" x14ac:dyDescent="0.2">
      <c r="A456" s="3" t="s">
        <v>3858</v>
      </c>
      <c r="B456" s="14">
        <v>0</v>
      </c>
      <c r="C456" s="13"/>
      <c r="D456" s="14">
        <v>0</v>
      </c>
      <c r="E456" s="13"/>
      <c r="F456" s="14">
        <v>0</v>
      </c>
      <c r="G456" s="13"/>
      <c r="H456" s="74">
        <v>0</v>
      </c>
      <c r="I456" s="13"/>
      <c r="J456" s="14">
        <v>0</v>
      </c>
      <c r="K456" s="13"/>
      <c r="L456" s="74">
        <v>0</v>
      </c>
      <c r="M456" s="13"/>
      <c r="N456" s="74">
        <v>0</v>
      </c>
      <c r="O456" s="13"/>
      <c r="P456" s="74">
        <v>0</v>
      </c>
      <c r="Q456" s="13"/>
      <c r="R456" s="14">
        <f>SUM(B456:P456)</f>
        <v>0</v>
      </c>
    </row>
    <row r="457" spans="1:18" x14ac:dyDescent="0.2">
      <c r="A457" s="3" t="s">
        <v>3859</v>
      </c>
      <c r="B457" s="14">
        <v>-66039.23</v>
      </c>
      <c r="C457" s="13"/>
      <c r="D457" s="14">
        <v>-10501.56</v>
      </c>
      <c r="E457" s="13"/>
      <c r="F457" s="14">
        <v>0</v>
      </c>
      <c r="G457" s="13"/>
      <c r="H457" s="74">
        <v>0</v>
      </c>
      <c r="I457" s="13"/>
      <c r="J457" s="14">
        <v>0</v>
      </c>
      <c r="K457" s="13"/>
      <c r="L457" s="74">
        <v>0</v>
      </c>
      <c r="M457" s="13"/>
      <c r="N457" s="74">
        <v>0</v>
      </c>
      <c r="O457" s="13"/>
      <c r="P457" s="74">
        <v>0</v>
      </c>
      <c r="Q457" s="13"/>
      <c r="R457" s="14">
        <f>SUM(B457:P457)</f>
        <v>-76540.789999999994</v>
      </c>
    </row>
    <row r="458" spans="1:18" x14ac:dyDescent="0.2">
      <c r="A458" s="3" t="s">
        <v>3860</v>
      </c>
      <c r="B458" s="14">
        <v>13461</v>
      </c>
      <c r="C458" s="13"/>
      <c r="D458" s="14">
        <v>0</v>
      </c>
      <c r="E458" s="13"/>
      <c r="F458" s="14">
        <v>0</v>
      </c>
      <c r="G458" s="13"/>
      <c r="H458" s="74">
        <v>0</v>
      </c>
      <c r="I458" s="13"/>
      <c r="J458" s="14">
        <v>0</v>
      </c>
      <c r="K458" s="13"/>
      <c r="L458" s="74">
        <v>0</v>
      </c>
      <c r="M458" s="13"/>
      <c r="N458" s="74">
        <v>0</v>
      </c>
      <c r="O458" s="13"/>
      <c r="P458" s="74">
        <v>0</v>
      </c>
      <c r="Q458" s="13"/>
      <c r="R458" s="14">
        <f>SUM(B458:P458)</f>
        <v>13461</v>
      </c>
    </row>
    <row r="459" spans="1:18" x14ac:dyDescent="0.2">
      <c r="A459" s="3" t="s">
        <v>3861</v>
      </c>
      <c r="B459" s="17">
        <v>-17788070.079999998</v>
      </c>
      <c r="C459" s="92"/>
      <c r="D459" s="14">
        <v>-7874395.7400000002</v>
      </c>
      <c r="E459" s="92"/>
      <c r="F459" s="14">
        <v>5795318.9000000004</v>
      </c>
      <c r="G459" s="92"/>
      <c r="H459" s="74">
        <v>0</v>
      </c>
      <c r="I459" s="92"/>
      <c r="J459" s="14">
        <v>0</v>
      </c>
      <c r="K459" s="92"/>
      <c r="L459" s="74">
        <v>0</v>
      </c>
      <c r="M459" s="92"/>
      <c r="N459" s="74">
        <v>0</v>
      </c>
      <c r="O459" s="92"/>
      <c r="P459" s="74">
        <v>0</v>
      </c>
      <c r="Q459" s="92"/>
      <c r="R459" s="17">
        <f>SUM(B459:P459)</f>
        <v>-19867146.920000002</v>
      </c>
    </row>
    <row r="460" spans="1:18" x14ac:dyDescent="0.2">
      <c r="A460" s="3" t="s">
        <v>3862</v>
      </c>
      <c r="B460" s="16">
        <v>-26586875.009999998</v>
      </c>
      <c r="C460" s="13"/>
      <c r="D460" s="14">
        <v>-4079922.12</v>
      </c>
      <c r="E460" s="13"/>
      <c r="F460" s="14">
        <v>0</v>
      </c>
      <c r="G460" s="13"/>
      <c r="H460" s="74">
        <v>0</v>
      </c>
      <c r="I460" s="13"/>
      <c r="J460" s="14">
        <v>0</v>
      </c>
      <c r="K460" s="13"/>
      <c r="L460" s="74">
        <v>0</v>
      </c>
      <c r="M460" s="13"/>
      <c r="N460" s="74">
        <v>0</v>
      </c>
      <c r="O460" s="13"/>
      <c r="P460" s="74">
        <v>0</v>
      </c>
      <c r="Q460" s="13"/>
      <c r="R460" s="16">
        <f>SUM(B460:P460)</f>
        <v>-30666797.129999999</v>
      </c>
    </row>
    <row r="461" spans="1:18" x14ac:dyDescent="0.2">
      <c r="A461" s="3" t="s">
        <v>3863</v>
      </c>
      <c r="B461" s="17">
        <f>SUM(B456:B460)</f>
        <v>-44427523.319999993</v>
      </c>
      <c r="C461" s="13"/>
      <c r="D461" s="18">
        <f>SUM(D456:D460)</f>
        <v>-11964819.42</v>
      </c>
      <c r="E461" s="13"/>
      <c r="F461" s="18">
        <f>SUM(F456:F460)</f>
        <v>5795318.9000000004</v>
      </c>
      <c r="G461" s="13"/>
      <c r="H461" s="18">
        <f>SUM(H456:H460)</f>
        <v>0</v>
      </c>
      <c r="I461" s="13"/>
      <c r="J461" s="18">
        <f>SUM(J456:J460)</f>
        <v>0</v>
      </c>
      <c r="K461" s="13"/>
      <c r="L461" s="18">
        <f>SUM(L456:L460)</f>
        <v>0</v>
      </c>
      <c r="M461" s="13"/>
      <c r="N461" s="18">
        <f>SUM(N456:N460)</f>
        <v>0</v>
      </c>
      <c r="O461" s="13"/>
      <c r="P461" s="18">
        <f>SUM(P456:P460)</f>
        <v>0</v>
      </c>
      <c r="Q461" s="13"/>
      <c r="R461" s="17">
        <f>SUM(R456:R460)</f>
        <v>-50597023.840000004</v>
      </c>
    </row>
    <row r="462" spans="1:18" x14ac:dyDescent="0.2">
      <c r="C462" s="13"/>
      <c r="E462" s="13"/>
      <c r="G462" s="13"/>
      <c r="I462" s="13"/>
      <c r="K462" s="13"/>
      <c r="M462" s="13"/>
      <c r="O462" s="13"/>
      <c r="Q462" s="13"/>
    </row>
    <row r="463" spans="1:18" x14ac:dyDescent="0.2">
      <c r="C463" s="13"/>
      <c r="E463" s="13"/>
      <c r="G463" s="13"/>
      <c r="I463" s="13"/>
      <c r="K463" s="13"/>
      <c r="M463" s="13"/>
      <c r="O463" s="13"/>
      <c r="Q463" s="13"/>
    </row>
    <row r="464" spans="1:18" ht="13.5" thickBot="1" x14ac:dyDescent="0.25">
      <c r="A464" s="12" t="s">
        <v>3864</v>
      </c>
      <c r="B464" s="78">
        <f>B461</f>
        <v>-44427523.319999993</v>
      </c>
      <c r="C464" s="13"/>
      <c r="D464" s="78">
        <f>D461</f>
        <v>-11964819.42</v>
      </c>
      <c r="E464" s="13"/>
      <c r="F464" s="78">
        <f>F461</f>
        <v>5795318.9000000004</v>
      </c>
      <c r="G464" s="13"/>
      <c r="H464" s="78">
        <f>H461</f>
        <v>0</v>
      </c>
      <c r="I464" s="13"/>
      <c r="J464" s="78">
        <f>J461</f>
        <v>0</v>
      </c>
      <c r="K464" s="13"/>
      <c r="L464" s="78">
        <f>L461</f>
        <v>0</v>
      </c>
      <c r="M464" s="13"/>
      <c r="N464" s="78">
        <f>N461</f>
        <v>0</v>
      </c>
      <c r="O464" s="13"/>
      <c r="P464" s="78">
        <f>P461</f>
        <v>0</v>
      </c>
      <c r="Q464" s="13"/>
      <c r="R464" s="78">
        <f>R461</f>
        <v>-50597023.840000004</v>
      </c>
    </row>
    <row r="465" spans="2:18" ht="13.5" thickTop="1" x14ac:dyDescent="0.2">
      <c r="C465" s="13"/>
      <c r="E465" s="13"/>
      <c r="G465" s="13"/>
      <c r="I465" s="13"/>
      <c r="K465" s="13"/>
      <c r="M465" s="13"/>
      <c r="O465" s="13"/>
      <c r="Q465" s="13"/>
    </row>
    <row r="466" spans="2:18" x14ac:dyDescent="0.2">
      <c r="C466" s="14"/>
      <c r="E466" s="14"/>
      <c r="G466" s="14"/>
      <c r="I466" s="14"/>
      <c r="K466" s="14"/>
      <c r="M466" s="14"/>
      <c r="O466" s="14"/>
      <c r="Q466" s="14"/>
    </row>
    <row r="467" spans="2:18" x14ac:dyDescent="0.2">
      <c r="C467" s="13"/>
      <c r="E467" s="13"/>
      <c r="G467" s="13"/>
      <c r="I467" s="13"/>
      <c r="K467" s="13"/>
      <c r="M467" s="13"/>
      <c r="O467" s="13"/>
      <c r="Q467" s="13"/>
    </row>
    <row r="468" spans="2:18" x14ac:dyDescent="0.2">
      <c r="C468" s="14"/>
      <c r="E468" s="14"/>
      <c r="G468" s="14"/>
      <c r="I468" s="14"/>
      <c r="K468" s="14"/>
      <c r="M468" s="14"/>
      <c r="O468" s="14"/>
      <c r="Q468" s="14"/>
    </row>
    <row r="469" spans="2:18" x14ac:dyDescent="0.2">
      <c r="C469" s="14"/>
      <c r="E469" s="14"/>
      <c r="G469" s="14"/>
      <c r="I469" s="14"/>
      <c r="K469" s="14"/>
      <c r="M469" s="14"/>
      <c r="O469" s="14"/>
      <c r="Q469" s="14"/>
    </row>
    <row r="470" spans="2:18" x14ac:dyDescent="0.2">
      <c r="B470" s="3"/>
      <c r="C470" s="13"/>
      <c r="E470" s="13"/>
      <c r="G470" s="13"/>
      <c r="I470" s="13"/>
      <c r="K470" s="13"/>
      <c r="M470" s="13"/>
      <c r="O470" s="13"/>
      <c r="Q470" s="13"/>
      <c r="R470" s="3"/>
    </row>
    <row r="471" spans="2:18" x14ac:dyDescent="0.2"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</row>
    <row r="472" spans="2:18" x14ac:dyDescent="0.2">
      <c r="B472" s="3"/>
      <c r="C472" s="13"/>
      <c r="E472" s="13"/>
      <c r="G472" s="13"/>
      <c r="I472" s="13"/>
      <c r="K472" s="13"/>
      <c r="M472" s="13"/>
      <c r="O472" s="13"/>
      <c r="Q472" s="13"/>
      <c r="R472" s="3"/>
    </row>
    <row r="473" spans="2:18" x14ac:dyDescent="0.2">
      <c r="B473" s="3"/>
      <c r="C473" s="13"/>
      <c r="E473" s="13"/>
      <c r="G473" s="13"/>
      <c r="I473" s="13"/>
      <c r="K473" s="13"/>
      <c r="M473" s="13"/>
      <c r="O473" s="13"/>
      <c r="Q473" s="13"/>
      <c r="R473" s="3"/>
    </row>
    <row r="474" spans="2:18" x14ac:dyDescent="0.2">
      <c r="B474" s="3"/>
      <c r="C474" s="13"/>
      <c r="E474" s="13"/>
      <c r="G474" s="13"/>
      <c r="I474" s="13"/>
      <c r="K474" s="13"/>
      <c r="M474" s="13"/>
      <c r="O474" s="13"/>
      <c r="Q474" s="13"/>
      <c r="R474" s="3"/>
    </row>
    <row r="475" spans="2:18" x14ac:dyDescent="0.2">
      <c r="B475" s="3"/>
      <c r="C475" s="13"/>
      <c r="E475" s="13"/>
      <c r="G475" s="13"/>
      <c r="I475" s="13"/>
      <c r="K475" s="13"/>
      <c r="M475" s="13"/>
      <c r="O475" s="13"/>
      <c r="Q475" s="13"/>
      <c r="R475" s="3"/>
    </row>
    <row r="476" spans="2:18" x14ac:dyDescent="0.2">
      <c r="B476" s="3"/>
      <c r="C476" s="13"/>
      <c r="E476" s="13"/>
      <c r="G476" s="13"/>
      <c r="I476" s="13"/>
      <c r="K476" s="13"/>
      <c r="M476" s="13"/>
      <c r="O476" s="13"/>
      <c r="Q476" s="13"/>
      <c r="R476" s="3"/>
    </row>
    <row r="477" spans="2:18" x14ac:dyDescent="0.2">
      <c r="B477" s="3"/>
      <c r="C477" s="13"/>
      <c r="E477" s="13"/>
      <c r="G477" s="13"/>
      <c r="I477" s="13"/>
      <c r="K477" s="13"/>
      <c r="M477" s="13"/>
      <c r="O477" s="13"/>
      <c r="Q477" s="13"/>
      <c r="R477" s="3"/>
    </row>
    <row r="478" spans="2:18" x14ac:dyDescent="0.2">
      <c r="B478" s="3"/>
      <c r="C478" s="13"/>
      <c r="E478" s="13"/>
      <c r="G478" s="13"/>
      <c r="I478" s="13"/>
      <c r="K478" s="13"/>
      <c r="M478" s="13"/>
      <c r="O478" s="13"/>
      <c r="Q478" s="13"/>
      <c r="R478" s="3"/>
    </row>
    <row r="479" spans="2:18" x14ac:dyDescent="0.2">
      <c r="B479" s="3"/>
      <c r="C479" s="13"/>
      <c r="E479" s="13"/>
      <c r="G479" s="13"/>
      <c r="I479" s="13"/>
      <c r="K479" s="13"/>
      <c r="M479" s="13"/>
      <c r="O479" s="13"/>
      <c r="Q479" s="13"/>
      <c r="R479" s="3"/>
    </row>
    <row r="480" spans="2:18" x14ac:dyDescent="0.2">
      <c r="B480" s="3"/>
      <c r="C480" s="13"/>
      <c r="E480" s="13"/>
      <c r="G480" s="13"/>
      <c r="I480" s="13"/>
      <c r="K480" s="13"/>
      <c r="M480" s="13"/>
      <c r="O480" s="13"/>
      <c r="Q480" s="13"/>
      <c r="R480" s="3"/>
    </row>
    <row r="481" spans="2:18" x14ac:dyDescent="0.2">
      <c r="B481" s="3"/>
      <c r="C481" s="13"/>
      <c r="E481" s="13"/>
      <c r="G481" s="13"/>
      <c r="I481" s="13"/>
      <c r="K481" s="13"/>
      <c r="M481" s="13"/>
      <c r="O481" s="13"/>
      <c r="Q481" s="13"/>
      <c r="R481" s="3"/>
    </row>
    <row r="482" spans="2:18" x14ac:dyDescent="0.2">
      <c r="B482" s="3"/>
      <c r="C482" s="13"/>
      <c r="E482" s="13"/>
      <c r="G482" s="13"/>
      <c r="I482" s="13"/>
      <c r="K482" s="13"/>
      <c r="M482" s="13"/>
      <c r="O482" s="13"/>
      <c r="Q482" s="13"/>
      <c r="R482" s="3"/>
    </row>
    <row r="483" spans="2:18" x14ac:dyDescent="0.2">
      <c r="B483" s="3"/>
      <c r="C483" s="13"/>
      <c r="E483" s="13"/>
      <c r="G483" s="13"/>
      <c r="I483" s="13"/>
      <c r="K483" s="13"/>
      <c r="M483" s="13"/>
      <c r="O483" s="13"/>
      <c r="Q483" s="13"/>
      <c r="R483" s="3"/>
    </row>
    <row r="484" spans="2:18" x14ac:dyDescent="0.2">
      <c r="B484" s="3"/>
      <c r="C484" s="13"/>
      <c r="E484" s="13"/>
      <c r="G484" s="13"/>
      <c r="I484" s="13"/>
      <c r="K484" s="13"/>
      <c r="M484" s="13"/>
      <c r="O484" s="13"/>
      <c r="Q484" s="13"/>
      <c r="R484" s="3"/>
    </row>
    <row r="485" spans="2:18" x14ac:dyDescent="0.2">
      <c r="B485" s="3"/>
      <c r="C485" s="13"/>
      <c r="E485" s="13"/>
      <c r="G485" s="13"/>
      <c r="I485" s="13"/>
      <c r="K485" s="13"/>
      <c r="M485" s="13"/>
      <c r="O485" s="13"/>
      <c r="Q485" s="13"/>
      <c r="R485" s="3"/>
    </row>
    <row r="486" spans="2:18" x14ac:dyDescent="0.2">
      <c r="B486" s="3"/>
      <c r="C486" s="13"/>
      <c r="E486" s="13"/>
      <c r="G486" s="13"/>
      <c r="I486" s="13"/>
      <c r="K486" s="13"/>
      <c r="M486" s="13"/>
      <c r="O486" s="13"/>
      <c r="Q486" s="13"/>
      <c r="R486" s="3"/>
    </row>
    <row r="487" spans="2:18" x14ac:dyDescent="0.2">
      <c r="B487" s="3"/>
      <c r="C487" s="13"/>
      <c r="E487" s="13"/>
      <c r="G487" s="13"/>
      <c r="I487" s="13"/>
      <c r="K487" s="13"/>
      <c r="M487" s="13"/>
      <c r="O487" s="13"/>
      <c r="Q487" s="13"/>
      <c r="R487" s="3"/>
    </row>
    <row r="488" spans="2:18" x14ac:dyDescent="0.2">
      <c r="B488" s="3"/>
      <c r="C488" s="13"/>
      <c r="E488" s="13"/>
      <c r="G488" s="13"/>
      <c r="I488" s="13"/>
      <c r="K488" s="13"/>
      <c r="M488" s="13"/>
      <c r="O488" s="13"/>
      <c r="Q488" s="13"/>
      <c r="R488" s="3"/>
    </row>
    <row r="489" spans="2:18" x14ac:dyDescent="0.2">
      <c r="B489" s="3"/>
      <c r="C489" s="13"/>
      <c r="E489" s="13"/>
      <c r="G489" s="13"/>
      <c r="I489" s="13"/>
      <c r="K489" s="13"/>
      <c r="M489" s="13"/>
      <c r="O489" s="13"/>
      <c r="Q489" s="13"/>
      <c r="R489" s="3"/>
    </row>
    <row r="490" spans="2:18" x14ac:dyDescent="0.2">
      <c r="B490" s="3"/>
      <c r="C490" s="13"/>
      <c r="E490" s="13"/>
      <c r="G490" s="13"/>
      <c r="I490" s="13"/>
      <c r="K490" s="13"/>
      <c r="M490" s="13"/>
      <c r="O490" s="13"/>
      <c r="Q490" s="13"/>
      <c r="R490" s="3"/>
    </row>
    <row r="491" spans="2:18" x14ac:dyDescent="0.2">
      <c r="B491" s="3"/>
      <c r="C491" s="13"/>
      <c r="E491" s="13"/>
      <c r="G491" s="13"/>
      <c r="I491" s="13"/>
      <c r="K491" s="13"/>
      <c r="M491" s="13"/>
      <c r="O491" s="13"/>
      <c r="Q491" s="13"/>
      <c r="R491" s="3"/>
    </row>
    <row r="492" spans="2:18" x14ac:dyDescent="0.2">
      <c r="B492" s="3"/>
      <c r="C492" s="13"/>
      <c r="E492" s="13"/>
      <c r="G492" s="13"/>
      <c r="I492" s="13"/>
      <c r="K492" s="13"/>
      <c r="M492" s="13"/>
      <c r="O492" s="13"/>
      <c r="Q492" s="13"/>
      <c r="R492" s="3"/>
    </row>
  </sheetData>
  <mergeCells count="3">
    <mergeCell ref="A1:R1"/>
    <mergeCell ref="A2:R2"/>
    <mergeCell ref="A3:R3"/>
  </mergeCells>
  <printOptions horizontalCentered="1"/>
  <pageMargins left="0.75" right="0.75" top="1" bottom="1" header="0.5" footer="0.5"/>
  <pageSetup scale="67" fitToHeight="0" orientation="landscape" r:id="rId1"/>
  <headerFooter alignWithMargins="0">
    <oddFooter>&amp;R&amp;"Times New Roman,Bold"&amp;12Case No. 2018-00295
Attachment 6 to Response to US DOD-2 Question No. 7   
Page &amp;P of &amp;N
Garrett</oddFooter>
  </headerFooter>
  <rowBreaks count="1" manualBreakCount="1">
    <brk id="92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S82"/>
  <sheetViews>
    <sheetView zoomScale="90" zoomScaleNormal="90" workbookViewId="0">
      <pane xSplit="1" ySplit="7" topLeftCell="B8" activePane="bottomRight" state="frozen"/>
      <selection sqref="A1:R1"/>
      <selection pane="topRight" sqref="A1:R1"/>
      <selection pane="bottomLeft" sqref="A1:R1"/>
      <selection pane="bottomRight" sqref="A1:R1"/>
    </sheetView>
  </sheetViews>
  <sheetFormatPr defaultRowHeight="12.75" outlineLevelRow="1" x14ac:dyDescent="0.2"/>
  <cols>
    <col min="1" max="1" width="36.42578125" style="3" bestFit="1" customWidth="1"/>
    <col min="2" max="2" width="17.7109375" style="14" customWidth="1"/>
    <col min="3" max="3" width="1.7109375" style="3" customWidth="1"/>
    <col min="4" max="4" width="17.7109375" style="14" customWidth="1"/>
    <col min="5" max="5" width="1.7109375" style="3" customWidth="1"/>
    <col min="6" max="6" width="17.7109375" style="14" customWidth="1"/>
    <col min="7" max="7" width="1.7109375" style="3" customWidth="1"/>
    <col min="8" max="8" width="17.7109375" style="14" customWidth="1"/>
    <col min="9" max="9" width="1.7109375" style="3" customWidth="1"/>
    <col min="10" max="10" width="17.7109375" style="14" customWidth="1"/>
    <col min="11" max="11" width="1.7109375" style="3" customWidth="1"/>
    <col min="12" max="12" width="17.7109375" style="14" customWidth="1"/>
    <col min="13" max="13" width="1.7109375" style="3" customWidth="1"/>
    <col min="14" max="14" width="17.7109375" style="14" customWidth="1"/>
    <col min="15" max="15" width="1.7109375" style="3" customWidth="1"/>
    <col min="16" max="16" width="17.7109375" style="14" customWidth="1"/>
    <col min="17" max="17" width="1.7109375" style="3" customWidth="1"/>
    <col min="18" max="18" width="17.7109375" style="14" customWidth="1"/>
    <col min="19" max="16384" width="9.140625" style="3"/>
  </cols>
  <sheetData>
    <row r="1" spans="1:19" s="86" customFormat="1" ht="15.75" x14ac:dyDescent="0.25">
      <c r="A1" s="154" t="s">
        <v>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</row>
    <row r="2" spans="1:19" s="86" customFormat="1" ht="15.75" x14ac:dyDescent="0.25">
      <c r="A2" s="154" t="s">
        <v>3865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</row>
    <row r="3" spans="1:19" x14ac:dyDescent="0.2">
      <c r="A3" s="144" t="str">
        <f>'KU_Summary - Cost - P1 (REG)'!A3:N3</f>
        <v>DECEMBER 2016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95"/>
    </row>
    <row r="4" spans="1:19" x14ac:dyDescent="0.2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95"/>
    </row>
    <row r="6" spans="1:19" x14ac:dyDescent="0.2">
      <c r="B6" s="25" t="s">
        <v>2</v>
      </c>
      <c r="H6" s="25" t="s">
        <v>3</v>
      </c>
      <c r="J6" s="25" t="s">
        <v>38</v>
      </c>
      <c r="L6" s="25"/>
      <c r="N6" s="25"/>
      <c r="P6" s="25"/>
      <c r="R6" s="25" t="s">
        <v>4</v>
      </c>
    </row>
    <row r="7" spans="1:19" x14ac:dyDescent="0.2">
      <c r="B7" s="10" t="s">
        <v>5</v>
      </c>
      <c r="D7" s="10" t="s">
        <v>39</v>
      </c>
      <c r="F7" s="10" t="s">
        <v>7</v>
      </c>
      <c r="H7" s="10" t="s">
        <v>8</v>
      </c>
      <c r="J7" s="10" t="s">
        <v>41</v>
      </c>
      <c r="L7" s="10" t="s">
        <v>42</v>
      </c>
      <c r="N7" s="10" t="s">
        <v>43</v>
      </c>
      <c r="P7" s="10" t="s">
        <v>44</v>
      </c>
      <c r="R7" s="10" t="s">
        <v>5</v>
      </c>
    </row>
    <row r="9" spans="1:19" x14ac:dyDescent="0.2">
      <c r="A9" s="12" t="s">
        <v>12</v>
      </c>
    </row>
    <row r="10" spans="1:19" x14ac:dyDescent="0.2">
      <c r="A10" s="3" t="s">
        <v>3866</v>
      </c>
      <c r="B10" s="14">
        <v>-68006.299999999988</v>
      </c>
      <c r="C10" s="13"/>
      <c r="D10" s="14">
        <v>-527.76</v>
      </c>
      <c r="E10" s="13"/>
      <c r="F10" s="14">
        <v>0</v>
      </c>
      <c r="G10" s="13"/>
      <c r="H10" s="14">
        <v>0</v>
      </c>
      <c r="I10" s="13"/>
      <c r="J10" s="14">
        <v>0</v>
      </c>
      <c r="K10" s="13"/>
      <c r="L10" s="14">
        <v>0</v>
      </c>
      <c r="M10" s="13"/>
      <c r="N10" s="14">
        <v>0</v>
      </c>
      <c r="O10" s="13"/>
      <c r="P10" s="14">
        <v>0</v>
      </c>
      <c r="Q10" s="13"/>
      <c r="R10" s="14">
        <f t="shared" ref="R10:R21" si="0">SUM(B10:P10)</f>
        <v>-68534.059999999983</v>
      </c>
    </row>
    <row r="11" spans="1:19" x14ac:dyDescent="0.2">
      <c r="A11" s="43" t="s">
        <v>3867</v>
      </c>
      <c r="B11" s="14">
        <v>-120133.95000000004</v>
      </c>
      <c r="C11" s="13"/>
      <c r="D11" s="14">
        <v>-9790.17</v>
      </c>
      <c r="E11" s="13"/>
      <c r="F11" s="14">
        <v>4085.36</v>
      </c>
      <c r="G11" s="13"/>
      <c r="H11" s="14">
        <v>0</v>
      </c>
      <c r="I11" s="13"/>
      <c r="J11" s="14">
        <v>0</v>
      </c>
      <c r="K11" s="13"/>
      <c r="L11" s="14">
        <v>2454.2199999999998</v>
      </c>
      <c r="M11" s="13"/>
      <c r="N11" s="14">
        <v>0</v>
      </c>
      <c r="O11" s="13"/>
      <c r="P11" s="14">
        <v>0</v>
      </c>
      <c r="Q11" s="13"/>
      <c r="R11" s="14">
        <f t="shared" si="0"/>
        <v>-123384.54000000004</v>
      </c>
    </row>
    <row r="12" spans="1:19" x14ac:dyDescent="0.2">
      <c r="A12" s="43" t="s">
        <v>3868</v>
      </c>
      <c r="B12" s="14">
        <v>-2920151.84</v>
      </c>
      <c r="C12" s="13"/>
      <c r="D12" s="14">
        <v>-185844.54</v>
      </c>
      <c r="E12" s="13"/>
      <c r="F12" s="14">
        <v>29355.08</v>
      </c>
      <c r="G12" s="13"/>
      <c r="H12" s="14">
        <v>24415.06</v>
      </c>
      <c r="I12" s="13"/>
      <c r="J12" s="14">
        <v>0</v>
      </c>
      <c r="K12" s="13"/>
      <c r="L12" s="14">
        <v>30904.27</v>
      </c>
      <c r="M12" s="13"/>
      <c r="N12" s="14">
        <v>0</v>
      </c>
      <c r="O12" s="13"/>
      <c r="P12" s="14">
        <v>0</v>
      </c>
      <c r="Q12" s="13"/>
      <c r="R12" s="14">
        <f t="shared" si="0"/>
        <v>-3021321.9699999997</v>
      </c>
    </row>
    <row r="13" spans="1:19" x14ac:dyDescent="0.2">
      <c r="A13" s="3" t="s">
        <v>3869</v>
      </c>
      <c r="B13" s="14">
        <v>-11552610.589999998</v>
      </c>
      <c r="C13" s="13"/>
      <c r="D13" s="14">
        <v>-632580.22</v>
      </c>
      <c r="E13" s="13"/>
      <c r="F13" s="14">
        <v>68158.070000000007</v>
      </c>
      <c r="G13" s="13"/>
      <c r="H13" s="14">
        <v>0</v>
      </c>
      <c r="I13" s="13"/>
      <c r="J13" s="14">
        <v>0</v>
      </c>
      <c r="K13" s="13"/>
      <c r="L13" s="14">
        <v>46056.53</v>
      </c>
      <c r="M13" s="13"/>
      <c r="N13" s="14">
        <v>-89.56</v>
      </c>
      <c r="O13" s="13"/>
      <c r="P13" s="14">
        <v>0</v>
      </c>
      <c r="Q13" s="13"/>
      <c r="R13" s="14">
        <f t="shared" si="0"/>
        <v>-12071065.77</v>
      </c>
    </row>
    <row r="14" spans="1:19" x14ac:dyDescent="0.2">
      <c r="A14" s="3" t="s">
        <v>3870</v>
      </c>
      <c r="B14" s="14">
        <v>-8871583.0700000003</v>
      </c>
      <c r="C14" s="13"/>
      <c r="D14" s="14">
        <v>-784016.59</v>
      </c>
      <c r="E14" s="13"/>
      <c r="F14" s="14">
        <v>399793.9</v>
      </c>
      <c r="G14" s="13"/>
      <c r="H14" s="14">
        <v>0</v>
      </c>
      <c r="I14" s="13"/>
      <c r="J14" s="14">
        <v>0</v>
      </c>
      <c r="K14" s="13"/>
      <c r="L14" s="14">
        <v>141478.68</v>
      </c>
      <c r="M14" s="13"/>
      <c r="N14" s="14">
        <v>-339.52</v>
      </c>
      <c r="O14" s="13"/>
      <c r="P14" s="14">
        <v>0</v>
      </c>
      <c r="Q14" s="13"/>
      <c r="R14" s="14">
        <f t="shared" si="0"/>
        <v>-9114666.5999999996</v>
      </c>
    </row>
    <row r="15" spans="1:19" x14ac:dyDescent="0.2">
      <c r="A15" s="3" t="s">
        <v>3871</v>
      </c>
      <c r="B15" s="14">
        <v>0</v>
      </c>
      <c r="C15" s="13"/>
      <c r="D15" s="14">
        <v>0</v>
      </c>
      <c r="E15" s="13"/>
      <c r="F15" s="14">
        <v>0</v>
      </c>
      <c r="G15" s="13"/>
      <c r="H15" s="14">
        <v>0</v>
      </c>
      <c r="I15" s="13"/>
      <c r="J15" s="14">
        <v>0</v>
      </c>
      <c r="K15" s="13"/>
      <c r="L15" s="14">
        <v>0</v>
      </c>
      <c r="M15" s="13"/>
      <c r="N15" s="14">
        <v>0</v>
      </c>
      <c r="O15" s="13"/>
      <c r="P15" s="14">
        <v>0</v>
      </c>
      <c r="Q15" s="13"/>
      <c r="R15" s="14">
        <f t="shared" si="0"/>
        <v>0</v>
      </c>
    </row>
    <row r="16" spans="1:19" x14ac:dyDescent="0.2">
      <c r="A16" s="99" t="s">
        <v>3872</v>
      </c>
      <c r="B16" s="14">
        <v>-476447.46000000008</v>
      </c>
      <c r="C16" s="13"/>
      <c r="D16" s="14">
        <v>-96919.99</v>
      </c>
      <c r="E16" s="13"/>
      <c r="F16" s="14">
        <v>7098.66</v>
      </c>
      <c r="G16" s="13"/>
      <c r="H16" s="14">
        <v>0</v>
      </c>
      <c r="I16" s="13"/>
      <c r="J16" s="14">
        <v>0</v>
      </c>
      <c r="K16" s="13"/>
      <c r="L16" s="14">
        <v>1839.1</v>
      </c>
      <c r="M16" s="13"/>
      <c r="N16" s="14">
        <v>-0.76</v>
      </c>
      <c r="O16" s="13"/>
      <c r="P16" s="14">
        <v>0</v>
      </c>
      <c r="Q16" s="13"/>
      <c r="R16" s="14">
        <f t="shared" si="0"/>
        <v>-564430.45000000007</v>
      </c>
    </row>
    <row r="17" spans="1:18" x14ac:dyDescent="0.2">
      <c r="A17" s="99" t="s">
        <v>3873</v>
      </c>
      <c r="B17" s="14">
        <v>-7299762.5100000007</v>
      </c>
      <c r="C17" s="13"/>
      <c r="D17" s="14">
        <v>-317374.69</v>
      </c>
      <c r="E17" s="13"/>
      <c r="F17" s="14">
        <v>628070.57999999996</v>
      </c>
      <c r="G17" s="13"/>
      <c r="H17" s="14">
        <v>0</v>
      </c>
      <c r="I17" s="13"/>
      <c r="J17" s="14">
        <v>0</v>
      </c>
      <c r="K17" s="13"/>
      <c r="L17" s="14">
        <v>43564.560000000005</v>
      </c>
      <c r="M17" s="13"/>
      <c r="N17" s="14">
        <v>-12482.71</v>
      </c>
      <c r="O17" s="13"/>
      <c r="P17" s="14">
        <v>-1379.3</v>
      </c>
      <c r="Q17" s="13"/>
      <c r="R17" s="14">
        <f t="shared" si="0"/>
        <v>-6959364.0700000012</v>
      </c>
    </row>
    <row r="18" spans="1:18" x14ac:dyDescent="0.2">
      <c r="A18" s="99" t="s">
        <v>3874</v>
      </c>
      <c r="B18" s="14">
        <v>-4107143.2399999998</v>
      </c>
      <c r="C18" s="13"/>
      <c r="D18" s="14">
        <v>-108073.35</v>
      </c>
      <c r="E18" s="13"/>
      <c r="F18" s="14">
        <v>7563.32</v>
      </c>
      <c r="G18" s="13"/>
      <c r="H18" s="14">
        <v>0</v>
      </c>
      <c r="I18" s="13"/>
      <c r="J18" s="14">
        <v>0</v>
      </c>
      <c r="K18" s="13"/>
      <c r="L18" s="14">
        <v>18260.62</v>
      </c>
      <c r="M18" s="13"/>
      <c r="N18" s="14">
        <v>0</v>
      </c>
      <c r="O18" s="13"/>
      <c r="P18" s="14">
        <v>0</v>
      </c>
      <c r="Q18" s="13"/>
      <c r="R18" s="14">
        <f t="shared" si="0"/>
        <v>-4189392.6499999994</v>
      </c>
    </row>
    <row r="19" spans="1:18" x14ac:dyDescent="0.2">
      <c r="A19" s="99" t="s">
        <v>3875</v>
      </c>
      <c r="B19" s="14">
        <v>-2668755.4700000002</v>
      </c>
      <c r="C19" s="13"/>
      <c r="D19" s="14">
        <v>-92939.6</v>
      </c>
      <c r="E19" s="13"/>
      <c r="F19" s="14">
        <v>21535.72</v>
      </c>
      <c r="G19" s="13"/>
      <c r="H19" s="14">
        <v>0</v>
      </c>
      <c r="I19" s="13"/>
      <c r="J19" s="14">
        <v>0</v>
      </c>
      <c r="K19" s="13"/>
      <c r="L19" s="14">
        <v>0</v>
      </c>
      <c r="M19" s="13"/>
      <c r="N19" s="14">
        <v>-177.66</v>
      </c>
      <c r="O19" s="13"/>
      <c r="P19" s="14">
        <v>0</v>
      </c>
      <c r="Q19" s="13"/>
      <c r="R19" s="14">
        <f t="shared" si="0"/>
        <v>-2740337.0100000002</v>
      </c>
    </row>
    <row r="20" spans="1:18" x14ac:dyDescent="0.2">
      <c r="A20" s="99" t="s">
        <v>3876</v>
      </c>
      <c r="B20" s="14">
        <v>-962980.72</v>
      </c>
      <c r="C20" s="13"/>
      <c r="D20" s="14">
        <v>-1136.81</v>
      </c>
      <c r="E20" s="13"/>
      <c r="F20" s="14">
        <v>0</v>
      </c>
      <c r="G20" s="13"/>
      <c r="H20" s="14">
        <v>964117.53</v>
      </c>
      <c r="I20" s="13"/>
      <c r="J20" s="14">
        <v>0</v>
      </c>
      <c r="K20" s="13"/>
      <c r="L20" s="14">
        <v>0</v>
      </c>
      <c r="M20" s="13"/>
      <c r="N20" s="14">
        <v>0</v>
      </c>
      <c r="O20" s="13"/>
      <c r="P20" s="14">
        <v>0</v>
      </c>
      <c r="Q20" s="13"/>
      <c r="R20" s="14">
        <f t="shared" si="0"/>
        <v>0</v>
      </c>
    </row>
    <row r="21" spans="1:18" x14ac:dyDescent="0.2">
      <c r="A21" s="99" t="s">
        <v>3877</v>
      </c>
      <c r="B21" s="16">
        <v>-649132.06999999995</v>
      </c>
      <c r="C21" s="13"/>
      <c r="D21" s="14">
        <v>-133022.44</v>
      </c>
      <c r="E21" s="13"/>
      <c r="F21" s="14">
        <v>103139.88</v>
      </c>
      <c r="G21" s="13"/>
      <c r="H21" s="14">
        <v>-964117.53</v>
      </c>
      <c r="I21" s="13"/>
      <c r="J21" s="17">
        <v>0</v>
      </c>
      <c r="K21" s="13"/>
      <c r="L21" s="14">
        <v>8288.23</v>
      </c>
      <c r="M21" s="13"/>
      <c r="N21" s="14">
        <v>-8.52</v>
      </c>
      <c r="O21" s="13"/>
      <c r="P21" s="14">
        <v>0</v>
      </c>
      <c r="Q21" s="13"/>
      <c r="R21" s="16">
        <f t="shared" si="0"/>
        <v>-1634852.4500000002</v>
      </c>
    </row>
    <row r="22" spans="1:18" x14ac:dyDescent="0.2">
      <c r="A22" s="3" t="s">
        <v>3450</v>
      </c>
      <c r="B22" s="17">
        <f>SUM(B10:B21)</f>
        <v>-39696707.219999999</v>
      </c>
      <c r="C22" s="13"/>
      <c r="D22" s="18">
        <f>SUM(D10:D21)</f>
        <v>-2362226.1599999997</v>
      </c>
      <c r="E22" s="13"/>
      <c r="F22" s="18">
        <f>SUM(F10:F21)</f>
        <v>1268800.5699999998</v>
      </c>
      <c r="G22" s="13"/>
      <c r="H22" s="18">
        <f>SUM(H10:H21)</f>
        <v>24415.060000000056</v>
      </c>
      <c r="I22" s="13"/>
      <c r="J22" s="18">
        <f>SUM(J10:J21)</f>
        <v>0</v>
      </c>
      <c r="K22" s="13"/>
      <c r="L22" s="18">
        <f>SUM(L10:L21)</f>
        <v>292846.20999999996</v>
      </c>
      <c r="M22" s="13"/>
      <c r="N22" s="18">
        <f>SUM(N10:N21)</f>
        <v>-13098.73</v>
      </c>
      <c r="O22" s="13"/>
      <c r="P22" s="18">
        <f>SUM(P10:P21)</f>
        <v>-1379.3</v>
      </c>
      <c r="Q22" s="13"/>
      <c r="R22" s="17">
        <f>SUM(R10:R21)</f>
        <v>-40487349.57</v>
      </c>
    </row>
    <row r="23" spans="1:18" x14ac:dyDescent="0.2">
      <c r="C23" s="13"/>
      <c r="E23" s="13"/>
      <c r="G23" s="13"/>
      <c r="I23" s="13"/>
      <c r="K23" s="13"/>
      <c r="M23" s="13"/>
      <c r="O23" s="13"/>
      <c r="Q23" s="13"/>
    </row>
    <row r="24" spans="1:18" x14ac:dyDescent="0.2">
      <c r="A24" s="12" t="s">
        <v>13</v>
      </c>
      <c r="C24" s="13"/>
      <c r="E24" s="13"/>
      <c r="G24" s="13"/>
      <c r="I24" s="13"/>
      <c r="K24" s="13"/>
      <c r="M24" s="13"/>
      <c r="O24" s="13"/>
      <c r="Q24" s="13"/>
    </row>
    <row r="25" spans="1:18" ht="15" customHeight="1" x14ac:dyDescent="0.2">
      <c r="A25" s="43" t="s">
        <v>3878</v>
      </c>
      <c r="B25" s="14">
        <v>-272626.49000000005</v>
      </c>
      <c r="C25" s="13"/>
      <c r="D25" s="14">
        <v>-20792.900000000001</v>
      </c>
      <c r="E25" s="13"/>
      <c r="F25" s="14">
        <v>1358.41</v>
      </c>
      <c r="G25" s="13"/>
      <c r="H25" s="14">
        <v>0</v>
      </c>
      <c r="I25" s="13"/>
      <c r="J25" s="14">
        <v>0</v>
      </c>
      <c r="K25" s="13"/>
      <c r="L25" s="14">
        <v>6910</v>
      </c>
      <c r="M25" s="13"/>
      <c r="N25" s="14">
        <v>0</v>
      </c>
      <c r="O25" s="13"/>
      <c r="P25" s="14">
        <v>0</v>
      </c>
      <c r="Q25" s="13"/>
      <c r="R25" s="14">
        <f>SUM(B25:P25)</f>
        <v>-285150.9800000001</v>
      </c>
    </row>
    <row r="26" spans="1:18" outlineLevel="1" x14ac:dyDescent="0.2">
      <c r="A26" s="43" t="s">
        <v>3879</v>
      </c>
      <c r="B26" s="14">
        <v>-32038.810000000005</v>
      </c>
      <c r="C26" s="13"/>
      <c r="D26" s="14">
        <v>-490.08</v>
      </c>
      <c r="E26" s="13"/>
      <c r="F26" s="14">
        <v>0</v>
      </c>
      <c r="G26" s="13"/>
      <c r="H26" s="14">
        <v>0</v>
      </c>
      <c r="I26" s="13"/>
      <c r="J26" s="14">
        <v>0</v>
      </c>
      <c r="K26" s="13"/>
      <c r="L26" s="14">
        <v>0</v>
      </c>
      <c r="M26" s="13"/>
      <c r="N26" s="14">
        <v>0</v>
      </c>
      <c r="O26" s="13"/>
      <c r="P26" s="14">
        <v>0</v>
      </c>
      <c r="Q26" s="13"/>
      <c r="R26" s="14">
        <f>SUM(B26:P26)</f>
        <v>-32528.890000000007</v>
      </c>
    </row>
    <row r="27" spans="1:18" outlineLevel="1" x14ac:dyDescent="0.2">
      <c r="A27" s="43" t="s">
        <v>3880</v>
      </c>
      <c r="B27" s="14">
        <v>-11439.95</v>
      </c>
      <c r="C27" s="13"/>
      <c r="D27" s="14">
        <v>-213.12</v>
      </c>
      <c r="E27" s="13"/>
      <c r="F27" s="14">
        <v>0</v>
      </c>
      <c r="G27" s="13"/>
      <c r="H27" s="14">
        <v>0</v>
      </c>
      <c r="I27" s="13"/>
      <c r="J27" s="14">
        <v>0</v>
      </c>
      <c r="K27" s="13"/>
      <c r="L27" s="14">
        <v>0</v>
      </c>
      <c r="M27" s="13"/>
      <c r="N27" s="14">
        <v>0</v>
      </c>
      <c r="O27" s="13"/>
      <c r="P27" s="14">
        <v>0</v>
      </c>
      <c r="Q27" s="13"/>
      <c r="R27" s="14">
        <f>SUM(B27:P27)</f>
        <v>-11653.070000000002</v>
      </c>
    </row>
    <row r="28" spans="1:18" x14ac:dyDescent="0.2">
      <c r="A28" s="3" t="s">
        <v>3479</v>
      </c>
      <c r="B28" s="14">
        <f>SUM(B26:B27)</f>
        <v>-43478.760000000009</v>
      </c>
      <c r="C28" s="13"/>
      <c r="D28" s="14">
        <f>SUM(D26:D27)</f>
        <v>-703.2</v>
      </c>
      <c r="E28" s="13"/>
      <c r="F28" s="14">
        <f>SUM(F26:F27)</f>
        <v>0</v>
      </c>
      <c r="G28" s="13"/>
      <c r="H28" s="14">
        <f>SUM(H26:H27)</f>
        <v>0</v>
      </c>
      <c r="I28" s="13"/>
      <c r="J28" s="14">
        <f>SUM(J26:J27)</f>
        <v>0</v>
      </c>
      <c r="K28" s="13"/>
      <c r="L28" s="14">
        <f>SUM(L26:L27)</f>
        <v>0</v>
      </c>
      <c r="M28" s="13"/>
      <c r="N28" s="14">
        <f>SUM(N26:N27)</f>
        <v>0</v>
      </c>
      <c r="O28" s="13"/>
      <c r="P28" s="14">
        <f>SUM(P26:P27)</f>
        <v>0</v>
      </c>
      <c r="Q28" s="13"/>
      <c r="R28" s="14">
        <f>SUM(R26:R27)</f>
        <v>-44181.960000000006</v>
      </c>
    </row>
    <row r="29" spans="1:18" x14ac:dyDescent="0.2">
      <c r="A29" s="43" t="s">
        <v>3881</v>
      </c>
      <c r="B29" s="14">
        <v>-8387.76</v>
      </c>
      <c r="C29" s="13"/>
      <c r="D29" s="14">
        <v>-151.25</v>
      </c>
      <c r="E29" s="13"/>
      <c r="F29" s="14">
        <v>7397.76</v>
      </c>
      <c r="G29" s="13"/>
      <c r="H29" s="14">
        <v>1141.25</v>
      </c>
      <c r="I29" s="13"/>
      <c r="J29" s="14">
        <v>0</v>
      </c>
      <c r="K29" s="13"/>
      <c r="L29" s="14">
        <v>0</v>
      </c>
      <c r="M29" s="13"/>
      <c r="N29" s="14">
        <v>0</v>
      </c>
      <c r="O29" s="13"/>
      <c r="P29" s="14">
        <v>0</v>
      </c>
      <c r="Q29" s="13"/>
      <c r="R29" s="14">
        <f t="shared" ref="R29:R38" si="1">SUM(B29:P29)</f>
        <v>0</v>
      </c>
    </row>
    <row r="30" spans="1:18" x14ac:dyDescent="0.2">
      <c r="A30" s="43" t="s">
        <v>3882</v>
      </c>
      <c r="B30" s="14">
        <v>308.65000000000055</v>
      </c>
      <c r="C30" s="13"/>
      <c r="D30" s="14">
        <v>0</v>
      </c>
      <c r="E30" s="13"/>
      <c r="F30" s="14">
        <v>0</v>
      </c>
      <c r="G30" s="13"/>
      <c r="H30" s="14">
        <v>0</v>
      </c>
      <c r="I30" s="13"/>
      <c r="J30" s="14">
        <v>0</v>
      </c>
      <c r="K30" s="13"/>
      <c r="L30" s="14">
        <v>0</v>
      </c>
      <c r="M30" s="13"/>
      <c r="N30" s="14">
        <v>0</v>
      </c>
      <c r="O30" s="13"/>
      <c r="P30" s="14">
        <v>0</v>
      </c>
      <c r="Q30" s="13"/>
      <c r="R30" s="14">
        <f t="shared" si="1"/>
        <v>308.65000000000055</v>
      </c>
    </row>
    <row r="31" spans="1:18" x14ac:dyDescent="0.2">
      <c r="A31" s="43" t="s">
        <v>3883</v>
      </c>
      <c r="B31" s="14">
        <v>-7.2759576141834259E-12</v>
      </c>
      <c r="C31" s="13"/>
      <c r="D31" s="14">
        <v>0</v>
      </c>
      <c r="E31" s="13"/>
      <c r="F31" s="14">
        <v>0</v>
      </c>
      <c r="G31" s="13"/>
      <c r="H31" s="14">
        <v>0</v>
      </c>
      <c r="I31" s="13"/>
      <c r="J31" s="14">
        <v>0</v>
      </c>
      <c r="K31" s="13"/>
      <c r="L31" s="14">
        <v>0</v>
      </c>
      <c r="M31" s="13"/>
      <c r="N31" s="14">
        <v>0</v>
      </c>
      <c r="O31" s="13"/>
      <c r="P31" s="14">
        <v>0</v>
      </c>
      <c r="Q31" s="13"/>
      <c r="R31" s="14">
        <f t="shared" si="1"/>
        <v>-7.2759576141834259E-12</v>
      </c>
    </row>
    <row r="32" spans="1:18" x14ac:dyDescent="0.2">
      <c r="A32" s="43" t="s">
        <v>3884</v>
      </c>
      <c r="B32" s="14">
        <v>-3262.8099999999995</v>
      </c>
      <c r="C32" s="13"/>
      <c r="D32" s="14">
        <v>-229.44</v>
      </c>
      <c r="E32" s="13"/>
      <c r="F32" s="14">
        <v>0</v>
      </c>
      <c r="G32" s="13"/>
      <c r="H32" s="14">
        <v>0</v>
      </c>
      <c r="I32" s="13"/>
      <c r="J32" s="14">
        <v>0</v>
      </c>
      <c r="K32" s="13"/>
      <c r="L32" s="14">
        <v>0</v>
      </c>
      <c r="M32" s="13"/>
      <c r="N32" s="14">
        <v>0</v>
      </c>
      <c r="O32" s="13"/>
      <c r="P32" s="14">
        <v>0</v>
      </c>
      <c r="Q32" s="13"/>
      <c r="R32" s="14">
        <f t="shared" si="1"/>
        <v>-3492.2499999999995</v>
      </c>
    </row>
    <row r="33" spans="1:18" x14ac:dyDescent="0.2">
      <c r="A33" s="43" t="s">
        <v>3885</v>
      </c>
      <c r="B33" s="14">
        <v>-168202.28999999998</v>
      </c>
      <c r="C33" s="13"/>
      <c r="D33" s="14">
        <v>-20069.599999999999</v>
      </c>
      <c r="E33" s="13"/>
      <c r="F33" s="14">
        <v>3924.21</v>
      </c>
      <c r="G33" s="13"/>
      <c r="H33" s="14">
        <v>-1141.25</v>
      </c>
      <c r="I33" s="13"/>
      <c r="J33" s="14">
        <v>0</v>
      </c>
      <c r="K33" s="13"/>
      <c r="L33" s="14">
        <v>0</v>
      </c>
      <c r="M33" s="13"/>
      <c r="N33" s="14">
        <v>0</v>
      </c>
      <c r="O33" s="13"/>
      <c r="P33" s="14">
        <v>0</v>
      </c>
      <c r="Q33" s="13"/>
      <c r="R33" s="14">
        <f t="shared" si="1"/>
        <v>-185488.93</v>
      </c>
    </row>
    <row r="34" spans="1:18" x14ac:dyDescent="0.2">
      <c r="A34" s="3" t="s">
        <v>3886</v>
      </c>
      <c r="B34" s="14">
        <v>0</v>
      </c>
      <c r="C34" s="13"/>
      <c r="D34" s="14">
        <v>0</v>
      </c>
      <c r="E34" s="13"/>
      <c r="F34" s="14">
        <v>0</v>
      </c>
      <c r="G34" s="13"/>
      <c r="H34" s="14">
        <v>0</v>
      </c>
      <c r="I34" s="13"/>
      <c r="J34" s="14">
        <v>0</v>
      </c>
      <c r="K34" s="13"/>
      <c r="L34" s="14">
        <v>0</v>
      </c>
      <c r="M34" s="13"/>
      <c r="N34" s="14">
        <v>0</v>
      </c>
      <c r="O34" s="13"/>
      <c r="P34" s="14">
        <v>0</v>
      </c>
      <c r="Q34" s="13"/>
      <c r="R34" s="14">
        <f t="shared" si="1"/>
        <v>0</v>
      </c>
    </row>
    <row r="35" spans="1:18" x14ac:dyDescent="0.2">
      <c r="A35" s="3" t="s">
        <v>3887</v>
      </c>
      <c r="B35" s="14">
        <v>-68653.14</v>
      </c>
      <c r="C35" s="13"/>
      <c r="D35" s="14">
        <v>-25094.400000000001</v>
      </c>
      <c r="E35" s="13"/>
      <c r="F35" s="14">
        <v>0</v>
      </c>
      <c r="G35" s="13"/>
      <c r="H35" s="14">
        <v>0</v>
      </c>
      <c r="I35" s="13"/>
      <c r="J35" s="14">
        <v>0</v>
      </c>
      <c r="K35" s="13"/>
      <c r="L35" s="14">
        <v>0</v>
      </c>
      <c r="M35" s="13"/>
      <c r="N35" s="14">
        <v>0</v>
      </c>
      <c r="O35" s="13"/>
      <c r="P35" s="14">
        <v>0</v>
      </c>
      <c r="Q35" s="13"/>
      <c r="R35" s="14">
        <f>SUM(B35:P35)</f>
        <v>-93747.540000000008</v>
      </c>
    </row>
    <row r="36" spans="1:18" x14ac:dyDescent="0.2">
      <c r="A36" s="3" t="s">
        <v>3888</v>
      </c>
      <c r="B36" s="14">
        <v>-200130.99</v>
      </c>
      <c r="C36" s="13"/>
      <c r="D36" s="14">
        <v>-31067.72</v>
      </c>
      <c r="E36" s="13"/>
      <c r="F36" s="14">
        <v>0</v>
      </c>
      <c r="G36" s="13"/>
      <c r="H36" s="14">
        <v>0</v>
      </c>
      <c r="I36" s="13"/>
      <c r="J36" s="14">
        <v>0</v>
      </c>
      <c r="K36" s="13"/>
      <c r="L36" s="14">
        <v>0</v>
      </c>
      <c r="M36" s="13"/>
      <c r="N36" s="14">
        <v>0</v>
      </c>
      <c r="O36" s="13"/>
      <c r="P36" s="14">
        <v>0</v>
      </c>
      <c r="Q36" s="13"/>
      <c r="R36" s="14">
        <f t="shared" si="1"/>
        <v>-231198.71</v>
      </c>
    </row>
    <row r="37" spans="1:18" x14ac:dyDescent="0.2">
      <c r="A37" s="3" t="s">
        <v>3889</v>
      </c>
      <c r="B37" s="14">
        <v>-330126.60000000003</v>
      </c>
      <c r="C37" s="13"/>
      <c r="D37" s="14">
        <v>-14343.12</v>
      </c>
      <c r="E37" s="13"/>
      <c r="F37" s="14">
        <v>0</v>
      </c>
      <c r="G37" s="13"/>
      <c r="H37" s="14">
        <v>0</v>
      </c>
      <c r="I37" s="13"/>
      <c r="J37" s="14">
        <v>0</v>
      </c>
      <c r="K37" s="13"/>
      <c r="L37" s="14">
        <v>0</v>
      </c>
      <c r="M37" s="13"/>
      <c r="N37" s="14">
        <v>0</v>
      </c>
      <c r="O37" s="13"/>
      <c r="P37" s="14">
        <v>0</v>
      </c>
      <c r="Q37" s="13"/>
      <c r="R37" s="14">
        <f t="shared" si="1"/>
        <v>-344469.72000000003</v>
      </c>
    </row>
    <row r="38" spans="1:18" x14ac:dyDescent="0.2">
      <c r="A38" s="43" t="s">
        <v>3890</v>
      </c>
      <c r="B38" s="16">
        <v>0</v>
      </c>
      <c r="C38" s="13"/>
      <c r="D38" s="14">
        <v>0</v>
      </c>
      <c r="E38" s="13"/>
      <c r="F38" s="14">
        <v>0</v>
      </c>
      <c r="G38" s="13"/>
      <c r="H38" s="14">
        <v>0</v>
      </c>
      <c r="I38" s="13"/>
      <c r="J38" s="17">
        <v>0</v>
      </c>
      <c r="K38" s="13"/>
      <c r="L38" s="14">
        <v>0</v>
      </c>
      <c r="M38" s="13"/>
      <c r="N38" s="14">
        <v>0</v>
      </c>
      <c r="O38" s="13"/>
      <c r="P38" s="14">
        <v>0</v>
      </c>
      <c r="Q38" s="13"/>
      <c r="R38" s="16">
        <f t="shared" si="1"/>
        <v>0</v>
      </c>
    </row>
    <row r="39" spans="1:18" x14ac:dyDescent="0.2">
      <c r="A39" s="3" t="s">
        <v>3495</v>
      </c>
      <c r="B39" s="17">
        <f>B38+B36+B34+B33+B32+B31+B30+B29+B28+B25+B35+B37</f>
        <v>-1094560.19</v>
      </c>
      <c r="C39" s="13"/>
      <c r="D39" s="18">
        <f>D38+D36+D34+D33+D32+D31+D30+D29+D28+D25+D35+D37</f>
        <v>-112451.63</v>
      </c>
      <c r="E39" s="13"/>
      <c r="F39" s="18">
        <f>F38+F36+F34+F33+F32+F31+F30+F29+F28+F25+F35+F37</f>
        <v>12680.380000000001</v>
      </c>
      <c r="G39" s="13"/>
      <c r="H39" s="18">
        <f>H38+H36+H34+H33+H32+H31+H30+H29+H28+H25+H35+H37</f>
        <v>0</v>
      </c>
      <c r="I39" s="13"/>
      <c r="J39" s="18">
        <f>J38+J36+J34+J33+J32+J31+J30+J29+J28+J25+J35+J37</f>
        <v>0</v>
      </c>
      <c r="K39" s="13"/>
      <c r="L39" s="18">
        <f>L38+L36+L34+L33+L32+L31+L30+L29+L28+L25+L35+L37</f>
        <v>6910</v>
      </c>
      <c r="M39" s="13"/>
      <c r="N39" s="18">
        <f>N38+N36+N34+N33+N32+N31+N30+N29+N28+N25+N35+N37</f>
        <v>0</v>
      </c>
      <c r="O39" s="13"/>
      <c r="P39" s="18">
        <f>P38+P36+P34+P33+P32+P31+P30+P29+P28+P25+P35+P37</f>
        <v>0</v>
      </c>
      <c r="Q39" s="17" t="e">
        <f>Q38+#REF!+Q36+#REF!+#REF!+Q34+#REF!+Q33+#REF!+Q32+#REF!+Q31+#REF!+#REF!+#REF!+Q30+#REF!+Q29+#REF!+Q28+Q25+#REF!+#REF!</f>
        <v>#REF!</v>
      </c>
      <c r="R39" s="17">
        <f>R38+R36+R34+R33+R32+R31+R30+R29+R28+R25+R35+R37</f>
        <v>-1187421.4400000002</v>
      </c>
    </row>
    <row r="40" spans="1:18" x14ac:dyDescent="0.2">
      <c r="C40" s="13"/>
      <c r="E40" s="13"/>
      <c r="G40" s="13"/>
      <c r="I40" s="13"/>
      <c r="K40" s="13"/>
      <c r="M40" s="13"/>
      <c r="O40" s="13"/>
      <c r="Q40" s="13"/>
    </row>
    <row r="41" spans="1:18" x14ac:dyDescent="0.2">
      <c r="C41" s="13"/>
      <c r="E41" s="13"/>
      <c r="G41" s="13"/>
      <c r="I41" s="13"/>
      <c r="K41" s="13"/>
      <c r="M41" s="13"/>
      <c r="O41" s="13"/>
      <c r="Q41" s="13"/>
    </row>
    <row r="42" spans="1:18" x14ac:dyDescent="0.2">
      <c r="C42" s="13"/>
      <c r="E42" s="13"/>
      <c r="G42" s="13"/>
      <c r="I42" s="13"/>
      <c r="K42" s="13"/>
      <c r="M42" s="13"/>
      <c r="O42" s="13"/>
      <c r="Q42" s="13"/>
    </row>
    <row r="43" spans="1:18" x14ac:dyDescent="0.2">
      <c r="A43" s="12" t="s">
        <v>18</v>
      </c>
      <c r="C43" s="13"/>
      <c r="E43" s="13"/>
      <c r="G43" s="13"/>
      <c r="I43" s="13"/>
      <c r="K43" s="13"/>
      <c r="M43" s="13"/>
      <c r="O43" s="13"/>
      <c r="Q43" s="13"/>
    </row>
    <row r="44" spans="1:18" x14ac:dyDescent="0.2">
      <c r="A44" s="3" t="s">
        <v>3891</v>
      </c>
      <c r="B44" s="14">
        <v>-1905131.2699999998</v>
      </c>
      <c r="C44" s="13"/>
      <c r="D44" s="14">
        <v>-20540.5</v>
      </c>
      <c r="E44" s="13"/>
      <c r="F44" s="14">
        <v>0</v>
      </c>
      <c r="G44" s="13"/>
      <c r="H44" s="14">
        <v>0</v>
      </c>
      <c r="I44" s="13"/>
      <c r="J44" s="14">
        <v>0</v>
      </c>
      <c r="K44" s="13"/>
      <c r="L44" s="14">
        <v>0</v>
      </c>
      <c r="M44" s="13"/>
      <c r="N44" s="14">
        <v>0</v>
      </c>
      <c r="O44" s="13"/>
      <c r="P44" s="14">
        <v>0</v>
      </c>
      <c r="Q44" s="13"/>
      <c r="R44" s="14">
        <f>SUM(B44:P44)</f>
        <v>-1925671.7699999998</v>
      </c>
    </row>
    <row r="45" spans="1:18" x14ac:dyDescent="0.2">
      <c r="A45" s="99" t="s">
        <v>3892</v>
      </c>
      <c r="B45" s="14">
        <v>-779422.7100000002</v>
      </c>
      <c r="C45" s="13"/>
      <c r="D45" s="14">
        <v>-28313.26</v>
      </c>
      <c r="E45" s="13"/>
      <c r="F45" s="14">
        <v>358.97</v>
      </c>
      <c r="G45" s="13"/>
      <c r="H45" s="14">
        <v>0</v>
      </c>
      <c r="I45" s="13"/>
      <c r="J45" s="14">
        <v>0</v>
      </c>
      <c r="K45" s="13"/>
      <c r="L45" s="14">
        <v>214.73</v>
      </c>
      <c r="M45" s="13"/>
      <c r="N45" s="14">
        <v>0</v>
      </c>
      <c r="O45" s="13"/>
      <c r="P45" s="14">
        <v>0</v>
      </c>
      <c r="Q45" s="13"/>
      <c r="R45" s="14">
        <f t="shared" ref="R45:R51" si="2">SUM(B45:P45)</f>
        <v>-807162.27000000025</v>
      </c>
    </row>
    <row r="46" spans="1:18" x14ac:dyDescent="0.2">
      <c r="A46" s="99" t="s">
        <v>3893</v>
      </c>
      <c r="B46" s="14">
        <v>-7422988.6000000015</v>
      </c>
      <c r="C46" s="13"/>
      <c r="D46" s="14">
        <v>-367699.53</v>
      </c>
      <c r="E46" s="13"/>
      <c r="F46" s="14">
        <v>53813.64</v>
      </c>
      <c r="G46" s="13"/>
      <c r="H46" s="14">
        <v>-21572.61</v>
      </c>
      <c r="I46" s="13"/>
      <c r="J46" s="14">
        <v>0</v>
      </c>
      <c r="K46" s="13"/>
      <c r="L46" s="14">
        <v>50571.83</v>
      </c>
      <c r="M46" s="13"/>
      <c r="N46" s="14">
        <v>0</v>
      </c>
      <c r="O46" s="13"/>
      <c r="P46" s="14">
        <v>0</v>
      </c>
      <c r="Q46" s="13"/>
      <c r="R46" s="14">
        <f>SUM(B46:P46)</f>
        <v>-7707875.2700000023</v>
      </c>
    </row>
    <row r="47" spans="1:18" x14ac:dyDescent="0.2">
      <c r="A47" s="99" t="s">
        <v>3894</v>
      </c>
      <c r="B47" s="14">
        <v>-4827387.7899999991</v>
      </c>
      <c r="C47" s="13"/>
      <c r="D47" s="14">
        <v>-97662.84</v>
      </c>
      <c r="E47" s="13"/>
      <c r="F47" s="14">
        <v>0</v>
      </c>
      <c r="G47" s="13"/>
      <c r="H47" s="14">
        <v>0</v>
      </c>
      <c r="I47" s="13"/>
      <c r="J47" s="14">
        <v>0</v>
      </c>
      <c r="K47" s="13"/>
      <c r="L47" s="14">
        <v>0</v>
      </c>
      <c r="M47" s="13"/>
      <c r="N47" s="14">
        <v>0</v>
      </c>
      <c r="O47" s="13"/>
      <c r="P47" s="14">
        <v>0</v>
      </c>
      <c r="Q47" s="13"/>
      <c r="R47" s="14">
        <f t="shared" si="2"/>
        <v>-4925050.629999999</v>
      </c>
    </row>
    <row r="48" spans="1:18" x14ac:dyDescent="0.2">
      <c r="A48" s="43" t="s">
        <v>3895</v>
      </c>
      <c r="B48" s="14">
        <v>-4544406.2400000012</v>
      </c>
      <c r="C48" s="13"/>
      <c r="D48" s="14">
        <v>-262590.03000000003</v>
      </c>
      <c r="E48" s="13"/>
      <c r="F48" s="14">
        <v>188375.09</v>
      </c>
      <c r="G48" s="13"/>
      <c r="H48" s="14">
        <v>21572.61</v>
      </c>
      <c r="I48" s="13"/>
      <c r="J48" s="14">
        <v>0</v>
      </c>
      <c r="K48" s="13"/>
      <c r="L48" s="14">
        <v>251003.48</v>
      </c>
      <c r="M48" s="13"/>
      <c r="N48" s="14">
        <v>0</v>
      </c>
      <c r="O48" s="13"/>
      <c r="P48" s="14">
        <v>-6280.98</v>
      </c>
      <c r="Q48" s="13"/>
      <c r="R48" s="14">
        <f t="shared" si="2"/>
        <v>-4352326.0700000012</v>
      </c>
    </row>
    <row r="49" spans="1:18" x14ac:dyDescent="0.2">
      <c r="A49" s="99" t="s">
        <v>3896</v>
      </c>
      <c r="B49" s="14">
        <v>-9998755.7399999965</v>
      </c>
      <c r="C49" s="13"/>
      <c r="D49" s="14">
        <v>-325838.62</v>
      </c>
      <c r="E49" s="13"/>
      <c r="F49" s="14">
        <v>65749.100000000006</v>
      </c>
      <c r="G49" s="13"/>
      <c r="H49" s="14">
        <v>0</v>
      </c>
      <c r="I49" s="13"/>
      <c r="J49" s="14">
        <v>0</v>
      </c>
      <c r="K49" s="13"/>
      <c r="L49" s="14">
        <v>77232.25</v>
      </c>
      <c r="M49" s="13"/>
      <c r="N49" s="14">
        <v>0</v>
      </c>
      <c r="O49" s="13"/>
      <c r="P49" s="14">
        <v>-150.57</v>
      </c>
      <c r="Q49" s="13"/>
      <c r="R49" s="14">
        <f t="shared" si="2"/>
        <v>-10181763.579999996</v>
      </c>
    </row>
    <row r="50" spans="1:18" x14ac:dyDescent="0.2">
      <c r="A50" s="99" t="s">
        <v>3897</v>
      </c>
      <c r="B50" s="14">
        <v>0</v>
      </c>
      <c r="C50" s="13"/>
      <c r="D50" s="14">
        <v>0</v>
      </c>
      <c r="E50" s="13"/>
      <c r="F50" s="14">
        <v>0</v>
      </c>
      <c r="G50" s="13"/>
      <c r="H50" s="14">
        <v>0</v>
      </c>
      <c r="I50" s="13"/>
      <c r="J50" s="14">
        <v>0</v>
      </c>
      <c r="K50" s="13"/>
      <c r="L50" s="14">
        <v>0</v>
      </c>
      <c r="M50" s="13"/>
      <c r="N50" s="14">
        <v>0</v>
      </c>
      <c r="O50" s="13"/>
      <c r="P50" s="14">
        <v>0</v>
      </c>
      <c r="Q50" s="13"/>
      <c r="R50" s="14">
        <f t="shared" si="2"/>
        <v>0</v>
      </c>
    </row>
    <row r="51" spans="1:18" x14ac:dyDescent="0.2">
      <c r="A51" s="99" t="s">
        <v>3898</v>
      </c>
      <c r="B51" s="16">
        <v>0</v>
      </c>
      <c r="C51" s="13"/>
      <c r="D51" s="14">
        <v>0</v>
      </c>
      <c r="E51" s="13"/>
      <c r="F51" s="14">
        <v>0</v>
      </c>
      <c r="G51" s="13"/>
      <c r="H51" s="14">
        <v>0</v>
      </c>
      <c r="I51" s="13"/>
      <c r="J51" s="17">
        <v>0</v>
      </c>
      <c r="K51" s="13"/>
      <c r="L51" s="14">
        <v>0</v>
      </c>
      <c r="M51" s="13"/>
      <c r="N51" s="14">
        <v>0</v>
      </c>
      <c r="O51" s="13"/>
      <c r="P51" s="14">
        <v>0</v>
      </c>
      <c r="Q51" s="13"/>
      <c r="R51" s="16">
        <f t="shared" si="2"/>
        <v>0</v>
      </c>
    </row>
    <row r="52" spans="1:18" x14ac:dyDescent="0.2">
      <c r="A52" s="3" t="s">
        <v>3856</v>
      </c>
      <c r="B52" s="17">
        <f>SUM(B44:B51)</f>
        <v>-29478092.350000001</v>
      </c>
      <c r="C52" s="13"/>
      <c r="D52" s="18">
        <f>SUM(D44:D51)</f>
        <v>-1102644.78</v>
      </c>
      <c r="E52" s="13"/>
      <c r="F52" s="18">
        <f>SUM(F44:F51)</f>
        <v>308296.80000000005</v>
      </c>
      <c r="G52" s="13"/>
      <c r="H52" s="18">
        <f>SUM(H44:H51)</f>
        <v>0</v>
      </c>
      <c r="I52" s="13"/>
      <c r="J52" s="18">
        <f>SUM(J44:J51)</f>
        <v>0</v>
      </c>
      <c r="K52" s="13"/>
      <c r="L52" s="18">
        <f>SUM(L44:L51)</f>
        <v>379022.29000000004</v>
      </c>
      <c r="M52" s="13"/>
      <c r="N52" s="18">
        <f>SUM(N44:N51)</f>
        <v>0</v>
      </c>
      <c r="O52" s="13"/>
      <c r="P52" s="18">
        <f>SUM(P44:P51)</f>
        <v>-6431.5499999999993</v>
      </c>
      <c r="Q52" s="13"/>
      <c r="R52" s="17">
        <f>SUM(R44:R51)</f>
        <v>-29899849.589999996</v>
      </c>
    </row>
    <row r="53" spans="1:18" x14ac:dyDescent="0.2">
      <c r="C53" s="13"/>
      <c r="E53" s="13"/>
      <c r="G53" s="13"/>
      <c r="I53" s="13"/>
      <c r="J53" s="17"/>
      <c r="K53" s="13"/>
      <c r="M53" s="13"/>
      <c r="O53" s="13"/>
      <c r="Q53" s="13"/>
    </row>
    <row r="54" spans="1:18" x14ac:dyDescent="0.2">
      <c r="C54" s="13"/>
      <c r="E54" s="13"/>
      <c r="G54" s="13"/>
      <c r="I54" s="13"/>
      <c r="K54" s="13"/>
      <c r="M54" s="13"/>
      <c r="O54" s="13"/>
      <c r="Q54" s="13"/>
    </row>
    <row r="55" spans="1:18" ht="13.5" thickBot="1" x14ac:dyDescent="0.25">
      <c r="A55" s="12" t="s">
        <v>3857</v>
      </c>
      <c r="B55" s="78">
        <f>B52+B39+B22</f>
        <v>-70269359.760000005</v>
      </c>
      <c r="C55" s="13"/>
      <c r="D55" s="78">
        <f>D52+D39+D22</f>
        <v>-3577322.57</v>
      </c>
      <c r="E55" s="13"/>
      <c r="F55" s="78">
        <f>F52+F39+F22</f>
        <v>1589777.75</v>
      </c>
      <c r="G55" s="13"/>
      <c r="H55" s="78">
        <f>H52+H39+H22</f>
        <v>24415.060000000056</v>
      </c>
      <c r="I55" s="13"/>
      <c r="J55" s="78">
        <f>J52+J39+J22</f>
        <v>0</v>
      </c>
      <c r="K55" s="13"/>
      <c r="L55" s="78">
        <f>L52+L39+L22</f>
        <v>678778.5</v>
      </c>
      <c r="M55" s="13"/>
      <c r="N55" s="78">
        <f>N52+N39+N22</f>
        <v>-13098.73</v>
      </c>
      <c r="O55" s="13"/>
      <c r="P55" s="78">
        <f>P52+P39+P22</f>
        <v>-7810.8499999999995</v>
      </c>
      <c r="Q55" s="13"/>
      <c r="R55" s="78">
        <f>R52+R39+R22</f>
        <v>-71574620.599999994</v>
      </c>
    </row>
    <row r="56" spans="1:18" ht="13.5" thickTop="1" x14ac:dyDescent="0.2">
      <c r="C56" s="13"/>
      <c r="E56" s="13"/>
      <c r="G56" s="13"/>
      <c r="I56" s="13"/>
      <c r="K56" s="13"/>
      <c r="M56" s="13"/>
      <c r="O56" s="13"/>
      <c r="Q56" s="13"/>
    </row>
    <row r="57" spans="1:18" x14ac:dyDescent="0.2">
      <c r="C57" s="13"/>
      <c r="E57" s="13"/>
      <c r="G57" s="13"/>
      <c r="I57" s="13"/>
      <c r="K57" s="13"/>
      <c r="M57" s="13"/>
      <c r="O57" s="13"/>
      <c r="Q57" s="13"/>
    </row>
    <row r="58" spans="1:18" x14ac:dyDescent="0.2">
      <c r="C58" s="13"/>
      <c r="E58" s="13"/>
      <c r="G58" s="13"/>
      <c r="I58" s="13"/>
      <c r="K58" s="13"/>
      <c r="M58" s="13"/>
      <c r="O58" s="13"/>
      <c r="Q58" s="13"/>
    </row>
    <row r="59" spans="1:18" x14ac:dyDescent="0.2">
      <c r="C59" s="13"/>
      <c r="E59" s="13"/>
      <c r="G59" s="13"/>
      <c r="I59" s="13"/>
      <c r="K59" s="13"/>
      <c r="M59" s="13"/>
      <c r="O59" s="13"/>
      <c r="Q59" s="13"/>
    </row>
    <row r="60" spans="1:18" x14ac:dyDescent="0.2">
      <c r="C60" s="13"/>
      <c r="E60" s="13"/>
      <c r="G60" s="13"/>
      <c r="I60" s="13"/>
      <c r="K60" s="13"/>
      <c r="M60" s="13"/>
      <c r="O60" s="13"/>
      <c r="Q60" s="13"/>
    </row>
    <row r="61" spans="1:18" x14ac:dyDescent="0.2">
      <c r="C61" s="13"/>
      <c r="E61" s="13"/>
      <c r="G61" s="13"/>
      <c r="I61" s="13"/>
      <c r="K61" s="13"/>
      <c r="M61" s="13"/>
      <c r="O61" s="13"/>
      <c r="Q61" s="13"/>
    </row>
    <row r="62" spans="1:18" x14ac:dyDescent="0.2">
      <c r="C62" s="13"/>
      <c r="E62" s="13"/>
      <c r="G62" s="13"/>
      <c r="I62" s="13"/>
      <c r="K62" s="13"/>
      <c r="M62" s="13"/>
      <c r="O62" s="13"/>
      <c r="Q62" s="13"/>
    </row>
    <row r="63" spans="1:18" x14ac:dyDescent="0.2">
      <c r="C63" s="13"/>
      <c r="E63" s="13"/>
      <c r="G63" s="13"/>
      <c r="I63" s="13"/>
      <c r="K63" s="13"/>
      <c r="M63" s="13"/>
      <c r="O63" s="13"/>
      <c r="Q63" s="13"/>
    </row>
    <row r="64" spans="1:18" x14ac:dyDescent="0.2">
      <c r="C64" s="13"/>
      <c r="E64" s="13"/>
      <c r="G64" s="13"/>
      <c r="I64" s="13"/>
      <c r="K64" s="13"/>
      <c r="M64" s="13"/>
      <c r="O64" s="13"/>
      <c r="Q64" s="13"/>
    </row>
    <row r="65" spans="3:17" x14ac:dyDescent="0.2">
      <c r="C65" s="13"/>
      <c r="E65" s="13"/>
      <c r="G65" s="13"/>
      <c r="I65" s="13"/>
      <c r="K65" s="13"/>
      <c r="M65" s="13"/>
      <c r="O65" s="13"/>
      <c r="Q65" s="13"/>
    </row>
    <row r="66" spans="3:17" x14ac:dyDescent="0.2">
      <c r="C66" s="13"/>
      <c r="E66" s="13"/>
      <c r="G66" s="13"/>
      <c r="I66" s="13"/>
      <c r="K66" s="13"/>
      <c r="M66" s="13"/>
      <c r="O66" s="13"/>
      <c r="Q66" s="13"/>
    </row>
    <row r="67" spans="3:17" x14ac:dyDescent="0.2">
      <c r="C67" s="13"/>
      <c r="E67" s="13"/>
      <c r="G67" s="13"/>
      <c r="I67" s="13"/>
      <c r="K67" s="13"/>
      <c r="M67" s="13"/>
      <c r="O67" s="13"/>
      <c r="Q67" s="13"/>
    </row>
    <row r="68" spans="3:17" x14ac:dyDescent="0.2">
      <c r="C68" s="13"/>
      <c r="E68" s="13"/>
      <c r="G68" s="13"/>
      <c r="I68" s="13"/>
      <c r="K68" s="13"/>
      <c r="M68" s="13"/>
      <c r="O68" s="13"/>
      <c r="Q68" s="13"/>
    </row>
    <row r="69" spans="3:17" x14ac:dyDescent="0.2">
      <c r="C69" s="13"/>
      <c r="E69" s="13"/>
      <c r="G69" s="13"/>
      <c r="I69" s="13"/>
      <c r="K69" s="13"/>
      <c r="M69" s="13"/>
      <c r="O69" s="13"/>
      <c r="Q69" s="13"/>
    </row>
    <row r="70" spans="3:17" x14ac:dyDescent="0.2">
      <c r="C70" s="13"/>
      <c r="E70" s="13"/>
      <c r="G70" s="13"/>
      <c r="I70" s="13"/>
      <c r="K70" s="13"/>
      <c r="M70" s="13"/>
      <c r="O70" s="13"/>
      <c r="Q70" s="13"/>
    </row>
    <row r="71" spans="3:17" x14ac:dyDescent="0.2">
      <c r="C71" s="13"/>
      <c r="E71" s="13"/>
      <c r="G71" s="13"/>
      <c r="I71" s="13"/>
      <c r="K71" s="13"/>
      <c r="M71" s="13"/>
      <c r="O71" s="13"/>
      <c r="Q71" s="13"/>
    </row>
    <row r="72" spans="3:17" x14ac:dyDescent="0.2">
      <c r="C72" s="13"/>
      <c r="E72" s="13"/>
      <c r="G72" s="13"/>
      <c r="I72" s="13"/>
      <c r="K72" s="13"/>
      <c r="M72" s="13"/>
      <c r="O72" s="13"/>
      <c r="Q72" s="13"/>
    </row>
    <row r="73" spans="3:17" x14ac:dyDescent="0.2">
      <c r="C73" s="13"/>
      <c r="E73" s="13"/>
      <c r="G73" s="13"/>
      <c r="I73" s="13"/>
      <c r="K73" s="13"/>
      <c r="M73" s="13"/>
      <c r="O73" s="13"/>
      <c r="Q73" s="13"/>
    </row>
    <row r="74" spans="3:17" x14ac:dyDescent="0.2">
      <c r="C74" s="13"/>
      <c r="E74" s="13"/>
      <c r="G74" s="13"/>
      <c r="I74" s="13"/>
      <c r="K74" s="13"/>
      <c r="M74" s="13"/>
      <c r="O74" s="13"/>
      <c r="Q74" s="13"/>
    </row>
    <row r="75" spans="3:17" x14ac:dyDescent="0.2">
      <c r="C75" s="13"/>
      <c r="E75" s="13"/>
      <c r="G75" s="13"/>
      <c r="I75" s="13"/>
      <c r="K75" s="13"/>
      <c r="M75" s="13"/>
      <c r="O75" s="13"/>
      <c r="Q75" s="13"/>
    </row>
    <row r="76" spans="3:17" x14ac:dyDescent="0.2">
      <c r="C76" s="13"/>
      <c r="E76" s="13"/>
      <c r="G76" s="13"/>
      <c r="I76" s="13"/>
      <c r="K76" s="13"/>
      <c r="M76" s="13"/>
      <c r="O76" s="13"/>
      <c r="Q76" s="13"/>
    </row>
    <row r="77" spans="3:17" x14ac:dyDescent="0.2">
      <c r="C77" s="13"/>
      <c r="E77" s="13"/>
      <c r="G77" s="13"/>
      <c r="I77" s="13"/>
      <c r="K77" s="13"/>
      <c r="M77" s="13"/>
      <c r="O77" s="13"/>
      <c r="Q77" s="13"/>
    </row>
    <row r="78" spans="3:17" x14ac:dyDescent="0.2">
      <c r="C78" s="13"/>
      <c r="E78" s="13"/>
      <c r="G78" s="13"/>
      <c r="I78" s="13"/>
      <c r="K78" s="13"/>
      <c r="M78" s="13"/>
      <c r="O78" s="13"/>
      <c r="Q78" s="13"/>
    </row>
    <row r="79" spans="3:17" x14ac:dyDescent="0.2">
      <c r="C79" s="13"/>
      <c r="E79" s="13"/>
      <c r="G79" s="13"/>
      <c r="I79" s="13"/>
      <c r="K79" s="13"/>
      <c r="M79" s="13"/>
      <c r="O79" s="13"/>
      <c r="Q79" s="13"/>
    </row>
    <row r="80" spans="3:17" x14ac:dyDescent="0.2">
      <c r="C80" s="13"/>
      <c r="E80" s="13"/>
      <c r="G80" s="13"/>
      <c r="I80" s="13"/>
      <c r="K80" s="13"/>
      <c r="M80" s="13"/>
      <c r="O80" s="13"/>
      <c r="Q80" s="13"/>
    </row>
    <row r="81" spans="3:17" x14ac:dyDescent="0.2">
      <c r="C81" s="13"/>
      <c r="E81" s="13"/>
      <c r="G81" s="13"/>
      <c r="I81" s="13"/>
      <c r="K81" s="13"/>
      <c r="M81" s="13"/>
      <c r="O81" s="13"/>
      <c r="Q81" s="13"/>
    </row>
    <row r="82" spans="3:17" x14ac:dyDescent="0.2">
      <c r="C82" s="13"/>
      <c r="E82" s="13"/>
      <c r="G82" s="13"/>
      <c r="I82" s="13"/>
      <c r="K82" s="13"/>
      <c r="M82" s="13"/>
      <c r="O82" s="13"/>
      <c r="Q82" s="13"/>
    </row>
  </sheetData>
  <mergeCells count="3">
    <mergeCell ref="A1:R1"/>
    <mergeCell ref="A2:R2"/>
    <mergeCell ref="A3:R3"/>
  </mergeCells>
  <printOptions horizontalCentered="1"/>
  <pageMargins left="0.75" right="0.75" top="1" bottom="1" header="0.5" footer="0.5"/>
  <pageSetup scale="67" fitToHeight="0" orientation="landscape" r:id="rId1"/>
  <headerFooter alignWithMargins="0">
    <oddFooter>&amp;R&amp;"Times New Roman,Bold"&amp;12Case No. 2018-00295
Attachment 6 to Response to US DOD-2 Question No. 7   
Page &amp;P of &amp;N
Garrett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S57"/>
  <sheetViews>
    <sheetView zoomScale="90" zoomScaleNormal="90" workbookViewId="0">
      <pane xSplit="1" ySplit="9" topLeftCell="B10" activePane="bottomRight" state="frozen"/>
      <selection sqref="A1:R1"/>
      <selection pane="topRight" sqref="A1:R1"/>
      <selection pane="bottomLeft" sqref="A1:R1"/>
      <selection pane="bottomRight" sqref="A1:R1"/>
    </sheetView>
  </sheetViews>
  <sheetFormatPr defaultRowHeight="12.75" x14ac:dyDescent="0.2"/>
  <cols>
    <col min="1" max="1" width="36.42578125" style="3" bestFit="1" customWidth="1"/>
    <col min="2" max="2" width="17.7109375" style="19" customWidth="1"/>
    <col min="3" max="3" width="1.7109375" style="3" customWidth="1"/>
    <col min="4" max="4" width="17.7109375" style="19" customWidth="1"/>
    <col min="5" max="5" width="1.7109375" style="3" customWidth="1"/>
    <col min="6" max="6" width="17.7109375" style="19" customWidth="1"/>
    <col min="7" max="7" width="1.7109375" style="3" customWidth="1"/>
    <col min="8" max="8" width="17.7109375" style="19" customWidth="1"/>
    <col min="9" max="9" width="1.7109375" style="3" customWidth="1"/>
    <col min="10" max="10" width="17.7109375" style="19" customWidth="1"/>
    <col min="11" max="11" width="1.7109375" style="3" customWidth="1"/>
    <col min="12" max="12" width="17.7109375" style="19" customWidth="1"/>
    <col min="13" max="13" width="1.7109375" style="3" customWidth="1"/>
    <col min="14" max="14" width="17.7109375" style="19" customWidth="1"/>
    <col min="15" max="15" width="1.7109375" style="3" customWidth="1"/>
    <col min="16" max="16" width="17.7109375" style="19" customWidth="1"/>
    <col min="17" max="17" width="1.7109375" style="3" customWidth="1"/>
    <col min="18" max="18" width="17.7109375" style="19" customWidth="1"/>
    <col min="19" max="16384" width="9.140625" style="3"/>
  </cols>
  <sheetData>
    <row r="1" spans="1:19" s="86" customFormat="1" ht="15.75" x14ac:dyDescent="0.25">
      <c r="A1" s="154" t="s">
        <v>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</row>
    <row r="2" spans="1:19" s="86" customFormat="1" ht="15.75" x14ac:dyDescent="0.25">
      <c r="A2" s="154" t="s">
        <v>3899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</row>
    <row r="3" spans="1:19" x14ac:dyDescent="0.2">
      <c r="A3" s="144" t="str">
        <f>'KU_Summary - Cost - P1 (REG)'!A3:N3</f>
        <v>DECEMBER 2016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95"/>
    </row>
    <row r="4" spans="1:19" x14ac:dyDescent="0.2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95"/>
    </row>
    <row r="6" spans="1:19" x14ac:dyDescent="0.2">
      <c r="B6" s="25" t="s">
        <v>2</v>
      </c>
      <c r="H6" s="25" t="s">
        <v>3</v>
      </c>
      <c r="J6" s="25" t="s">
        <v>38</v>
      </c>
      <c r="L6" s="25"/>
      <c r="N6" s="25"/>
      <c r="P6" s="25"/>
      <c r="R6" s="25" t="s">
        <v>4</v>
      </c>
    </row>
    <row r="7" spans="1:19" x14ac:dyDescent="0.2">
      <c r="B7" s="10" t="s">
        <v>5</v>
      </c>
      <c r="D7" s="10" t="s">
        <v>39</v>
      </c>
      <c r="F7" s="10" t="s">
        <v>7</v>
      </c>
      <c r="H7" s="10" t="s">
        <v>8</v>
      </c>
      <c r="J7" s="10" t="s">
        <v>41</v>
      </c>
      <c r="L7" s="10" t="s">
        <v>42</v>
      </c>
      <c r="N7" s="10" t="s">
        <v>43</v>
      </c>
      <c r="P7" s="10" t="s">
        <v>44</v>
      </c>
      <c r="R7" s="10" t="s">
        <v>5</v>
      </c>
    </row>
    <row r="9" spans="1:19" x14ac:dyDescent="0.2">
      <c r="A9" s="12" t="s">
        <v>12</v>
      </c>
    </row>
    <row r="10" spans="1:19" x14ac:dyDescent="0.2">
      <c r="A10" s="43" t="s">
        <v>3900</v>
      </c>
      <c r="B10" s="19">
        <v>-2437.8899999999994</v>
      </c>
      <c r="C10" s="98"/>
      <c r="D10" s="14">
        <v>-15.24</v>
      </c>
      <c r="E10" s="98"/>
      <c r="F10" s="14">
        <v>0</v>
      </c>
      <c r="G10" s="98"/>
      <c r="H10" s="14">
        <v>0</v>
      </c>
      <c r="I10" s="98"/>
      <c r="J10" s="19">
        <v>0</v>
      </c>
      <c r="K10" s="98"/>
      <c r="L10" s="14">
        <v>0</v>
      </c>
      <c r="M10" s="98"/>
      <c r="N10" s="14">
        <v>0</v>
      </c>
      <c r="O10" s="98"/>
      <c r="P10" s="14">
        <v>0</v>
      </c>
      <c r="Q10" s="98"/>
      <c r="R10" s="19">
        <f t="shared" ref="R10:R20" si="0">SUM(B10:P10)</f>
        <v>-2453.1299999999992</v>
      </c>
    </row>
    <row r="11" spans="1:19" x14ac:dyDescent="0.2">
      <c r="A11" s="43" t="s">
        <v>3901</v>
      </c>
      <c r="B11" s="19">
        <v>-2563.8200000000002</v>
      </c>
      <c r="C11" s="98"/>
      <c r="D11" s="14">
        <v>-51.48</v>
      </c>
      <c r="E11" s="98"/>
      <c r="F11" s="14">
        <v>0</v>
      </c>
      <c r="G11" s="98"/>
      <c r="H11" s="14">
        <v>0</v>
      </c>
      <c r="I11" s="98"/>
      <c r="J11" s="19">
        <v>0</v>
      </c>
      <c r="K11" s="98"/>
      <c r="L11" s="14">
        <v>0</v>
      </c>
      <c r="M11" s="98"/>
      <c r="N11" s="14">
        <v>0</v>
      </c>
      <c r="O11" s="98"/>
      <c r="P11" s="14">
        <v>0</v>
      </c>
      <c r="Q11" s="98"/>
      <c r="R11" s="19">
        <f t="shared" si="0"/>
        <v>-2615.3000000000002</v>
      </c>
    </row>
    <row r="12" spans="1:19" x14ac:dyDescent="0.2">
      <c r="A12" s="43" t="s">
        <v>3902</v>
      </c>
      <c r="B12" s="19">
        <v>-31452.65</v>
      </c>
      <c r="C12" s="98"/>
      <c r="D12" s="14">
        <v>-1518.24</v>
      </c>
      <c r="E12" s="98"/>
      <c r="F12" s="14">
        <v>0</v>
      </c>
      <c r="G12" s="98"/>
      <c r="H12" s="14">
        <v>0</v>
      </c>
      <c r="I12" s="98"/>
      <c r="J12" s="19">
        <v>0</v>
      </c>
      <c r="K12" s="98"/>
      <c r="L12" s="14">
        <v>0</v>
      </c>
      <c r="M12" s="98"/>
      <c r="N12" s="14">
        <v>0</v>
      </c>
      <c r="O12" s="98"/>
      <c r="P12" s="14">
        <v>0</v>
      </c>
      <c r="Q12" s="98"/>
      <c r="R12" s="19">
        <f t="shared" si="0"/>
        <v>-32970.89</v>
      </c>
    </row>
    <row r="13" spans="1:19" x14ac:dyDescent="0.2">
      <c r="A13" s="3" t="s">
        <v>3903</v>
      </c>
      <c r="B13" s="19">
        <v>-45335.529999999992</v>
      </c>
      <c r="C13" s="98"/>
      <c r="D13" s="14">
        <v>-1113.3599999999999</v>
      </c>
      <c r="E13" s="98"/>
      <c r="F13" s="14">
        <v>0</v>
      </c>
      <c r="G13" s="98"/>
      <c r="H13" s="14">
        <v>0</v>
      </c>
      <c r="I13" s="98"/>
      <c r="J13" s="19">
        <v>0</v>
      </c>
      <c r="K13" s="98"/>
      <c r="L13" s="14">
        <v>0</v>
      </c>
      <c r="M13" s="98"/>
      <c r="N13" s="14">
        <v>0</v>
      </c>
      <c r="O13" s="98"/>
      <c r="P13" s="14">
        <v>0</v>
      </c>
      <c r="Q13" s="98"/>
      <c r="R13" s="19">
        <f t="shared" si="0"/>
        <v>-46448.889999999992</v>
      </c>
    </row>
    <row r="14" spans="1:19" x14ac:dyDescent="0.2">
      <c r="A14" s="43" t="s">
        <v>3904</v>
      </c>
      <c r="B14" s="19">
        <v>-49820.060000000012</v>
      </c>
      <c r="C14" s="98"/>
      <c r="D14" s="14">
        <v>-1510.44</v>
      </c>
      <c r="E14" s="98"/>
      <c r="F14" s="14">
        <v>0</v>
      </c>
      <c r="G14" s="98"/>
      <c r="H14" s="14">
        <v>0</v>
      </c>
      <c r="I14" s="98"/>
      <c r="J14" s="19">
        <v>0</v>
      </c>
      <c r="K14" s="98"/>
      <c r="L14" s="14">
        <v>0</v>
      </c>
      <c r="M14" s="98"/>
      <c r="N14" s="14">
        <v>0</v>
      </c>
      <c r="O14" s="98"/>
      <c r="P14" s="14">
        <v>0</v>
      </c>
      <c r="Q14" s="98"/>
      <c r="R14" s="19">
        <f t="shared" si="0"/>
        <v>-51330.500000000015</v>
      </c>
    </row>
    <row r="15" spans="1:19" x14ac:dyDescent="0.2">
      <c r="A15" s="43" t="s">
        <v>3905</v>
      </c>
      <c r="B15" s="19">
        <v>0</v>
      </c>
      <c r="C15" s="98"/>
      <c r="D15" s="14">
        <v>0</v>
      </c>
      <c r="E15" s="98"/>
      <c r="F15" s="14">
        <v>0</v>
      </c>
      <c r="G15" s="98"/>
      <c r="H15" s="14">
        <v>0</v>
      </c>
      <c r="I15" s="98"/>
      <c r="J15" s="19">
        <v>0</v>
      </c>
      <c r="K15" s="98"/>
      <c r="L15" s="14">
        <v>0</v>
      </c>
      <c r="M15" s="98"/>
      <c r="N15" s="14">
        <v>0</v>
      </c>
      <c r="O15" s="98"/>
      <c r="P15" s="14">
        <v>0</v>
      </c>
      <c r="Q15" s="98"/>
      <c r="R15" s="19">
        <f t="shared" si="0"/>
        <v>0</v>
      </c>
    </row>
    <row r="16" spans="1:19" x14ac:dyDescent="0.2">
      <c r="A16" s="43" t="s">
        <v>3906</v>
      </c>
      <c r="B16" s="19">
        <v>0</v>
      </c>
      <c r="C16" s="98"/>
      <c r="D16" s="14">
        <v>0</v>
      </c>
      <c r="E16" s="98"/>
      <c r="F16" s="14">
        <v>0</v>
      </c>
      <c r="G16" s="98"/>
      <c r="H16" s="14">
        <v>0</v>
      </c>
      <c r="I16" s="98"/>
      <c r="J16" s="19">
        <v>0</v>
      </c>
      <c r="K16" s="98"/>
      <c r="L16" s="14">
        <v>0</v>
      </c>
      <c r="M16" s="98"/>
      <c r="N16" s="14">
        <v>0</v>
      </c>
      <c r="O16" s="98"/>
      <c r="P16" s="14">
        <v>0</v>
      </c>
      <c r="Q16" s="98"/>
      <c r="R16" s="19">
        <f t="shared" si="0"/>
        <v>0</v>
      </c>
    </row>
    <row r="17" spans="1:18" x14ac:dyDescent="0.2">
      <c r="A17" s="43" t="s">
        <v>3907</v>
      </c>
      <c r="B17" s="19">
        <v>-5056.7299999999987</v>
      </c>
      <c r="C17" s="98"/>
      <c r="D17" s="14">
        <v>-76.319999999999993</v>
      </c>
      <c r="E17" s="98"/>
      <c r="F17" s="14">
        <v>0</v>
      </c>
      <c r="G17" s="98"/>
      <c r="H17" s="14">
        <v>0</v>
      </c>
      <c r="I17" s="98"/>
      <c r="J17" s="19">
        <v>0</v>
      </c>
      <c r="K17" s="98"/>
      <c r="L17" s="14">
        <v>0</v>
      </c>
      <c r="M17" s="98"/>
      <c r="N17" s="14">
        <v>0</v>
      </c>
      <c r="O17" s="98"/>
      <c r="P17" s="14">
        <v>0</v>
      </c>
      <c r="Q17" s="98"/>
      <c r="R17" s="19">
        <f t="shared" si="0"/>
        <v>-5133.0499999999984</v>
      </c>
    </row>
    <row r="18" spans="1:18" x14ac:dyDescent="0.2">
      <c r="A18" s="43" t="s">
        <v>3908</v>
      </c>
      <c r="B18" s="19">
        <v>-1139.3100000000002</v>
      </c>
      <c r="C18" s="98"/>
      <c r="D18" s="14">
        <v>-5.16</v>
      </c>
      <c r="E18" s="98"/>
      <c r="F18" s="14">
        <v>0</v>
      </c>
      <c r="G18" s="98"/>
      <c r="H18" s="14">
        <v>0</v>
      </c>
      <c r="I18" s="98"/>
      <c r="J18" s="19">
        <v>0</v>
      </c>
      <c r="K18" s="98"/>
      <c r="L18" s="14">
        <v>0</v>
      </c>
      <c r="M18" s="98"/>
      <c r="N18" s="14">
        <v>0</v>
      </c>
      <c r="O18" s="98"/>
      <c r="P18" s="14">
        <v>0</v>
      </c>
      <c r="Q18" s="98"/>
      <c r="R18" s="19">
        <f t="shared" si="0"/>
        <v>-1144.4700000000003</v>
      </c>
    </row>
    <row r="19" spans="1:18" x14ac:dyDescent="0.2">
      <c r="A19" s="43" t="s">
        <v>3909</v>
      </c>
      <c r="B19" s="19">
        <v>-197.16999999999973</v>
      </c>
      <c r="C19" s="98"/>
      <c r="D19" s="14">
        <v>-96.12</v>
      </c>
      <c r="E19" s="98"/>
      <c r="F19" s="14">
        <v>0</v>
      </c>
      <c r="G19" s="98"/>
      <c r="H19" s="14">
        <v>0</v>
      </c>
      <c r="I19" s="98"/>
      <c r="J19" s="19">
        <v>0</v>
      </c>
      <c r="K19" s="98"/>
      <c r="L19" s="14">
        <v>0</v>
      </c>
      <c r="M19" s="98"/>
      <c r="N19" s="14">
        <v>0</v>
      </c>
      <c r="O19" s="98"/>
      <c r="P19" s="14">
        <v>0</v>
      </c>
      <c r="Q19" s="98"/>
      <c r="R19" s="19">
        <f t="shared" si="0"/>
        <v>-293.28999999999974</v>
      </c>
    </row>
    <row r="20" spans="1:18" x14ac:dyDescent="0.2">
      <c r="A20" s="99" t="s">
        <v>3910</v>
      </c>
      <c r="B20" s="27">
        <v>0</v>
      </c>
      <c r="C20" s="98"/>
      <c r="D20" s="14">
        <v>0</v>
      </c>
      <c r="E20" s="98"/>
      <c r="F20" s="14">
        <v>0</v>
      </c>
      <c r="G20" s="98"/>
      <c r="H20" s="14">
        <v>0</v>
      </c>
      <c r="I20" s="98"/>
      <c r="J20" s="26">
        <v>0</v>
      </c>
      <c r="K20" s="98"/>
      <c r="L20" s="14">
        <v>0</v>
      </c>
      <c r="M20" s="98"/>
      <c r="N20" s="14">
        <v>0</v>
      </c>
      <c r="O20" s="98"/>
      <c r="P20" s="14">
        <v>0</v>
      </c>
      <c r="Q20" s="98"/>
      <c r="R20" s="27">
        <f t="shared" si="0"/>
        <v>0</v>
      </c>
    </row>
    <row r="21" spans="1:18" x14ac:dyDescent="0.2">
      <c r="A21" s="3" t="s">
        <v>3450</v>
      </c>
      <c r="B21" s="26">
        <f>SUM(B10:B20)</f>
        <v>-138003.16000000003</v>
      </c>
      <c r="C21" s="98"/>
      <c r="D21" s="32">
        <f>SUM(D10:D20)</f>
        <v>-4386.3599999999997</v>
      </c>
      <c r="E21" s="98"/>
      <c r="F21" s="32">
        <f>SUM(F10:F20)</f>
        <v>0</v>
      </c>
      <c r="G21" s="98"/>
      <c r="H21" s="32">
        <f>SUM(H10:H20)</f>
        <v>0</v>
      </c>
      <c r="I21" s="98"/>
      <c r="J21" s="32">
        <f>SUM(J10:J20)</f>
        <v>0</v>
      </c>
      <c r="K21" s="98"/>
      <c r="L21" s="32">
        <f>SUM(L10:L20)</f>
        <v>0</v>
      </c>
      <c r="M21" s="98"/>
      <c r="N21" s="32">
        <f>SUM(N10:N20)</f>
        <v>0</v>
      </c>
      <c r="O21" s="98"/>
      <c r="P21" s="32">
        <f>SUM(P10:P20)</f>
        <v>0</v>
      </c>
      <c r="Q21" s="98"/>
      <c r="R21" s="26">
        <f>SUM(R10:R20)</f>
        <v>-142389.52000000002</v>
      </c>
    </row>
    <row r="22" spans="1:18" x14ac:dyDescent="0.2">
      <c r="C22" s="98"/>
      <c r="E22" s="98"/>
      <c r="G22" s="98"/>
      <c r="I22" s="98"/>
      <c r="K22" s="98"/>
      <c r="M22" s="98"/>
      <c r="O22" s="98"/>
      <c r="Q22" s="98"/>
    </row>
    <row r="23" spans="1:18" x14ac:dyDescent="0.2">
      <c r="A23" s="12" t="s">
        <v>18</v>
      </c>
      <c r="C23" s="98"/>
      <c r="E23" s="98"/>
      <c r="G23" s="98"/>
      <c r="I23" s="98"/>
      <c r="K23" s="98"/>
      <c r="M23" s="98"/>
      <c r="O23" s="98"/>
      <c r="Q23" s="98"/>
    </row>
    <row r="24" spans="1:18" x14ac:dyDescent="0.2">
      <c r="A24" s="43" t="s">
        <v>3911</v>
      </c>
      <c r="B24" s="19">
        <v>-361.05999999999995</v>
      </c>
      <c r="C24" s="98"/>
      <c r="D24" s="14">
        <v>-4.2</v>
      </c>
      <c r="E24" s="98"/>
      <c r="F24" s="14">
        <v>0</v>
      </c>
      <c r="G24" s="98"/>
      <c r="H24" s="14">
        <v>0</v>
      </c>
      <c r="I24" s="98"/>
      <c r="J24" s="19">
        <v>0</v>
      </c>
      <c r="K24" s="98"/>
      <c r="L24" s="14">
        <v>0</v>
      </c>
      <c r="M24" s="98"/>
      <c r="N24" s="14">
        <v>0</v>
      </c>
      <c r="O24" s="98"/>
      <c r="P24" s="14">
        <v>0</v>
      </c>
      <c r="Q24" s="98"/>
      <c r="R24" s="19">
        <f>SUM(B24:P24)</f>
        <v>-365.25999999999993</v>
      </c>
    </row>
    <row r="25" spans="1:18" x14ac:dyDescent="0.2">
      <c r="A25" s="43" t="s">
        <v>3912</v>
      </c>
      <c r="B25" s="19">
        <v>-83247.750000000015</v>
      </c>
      <c r="C25" s="98"/>
      <c r="D25" s="14">
        <v>-2947.8</v>
      </c>
      <c r="E25" s="98"/>
      <c r="F25" s="14">
        <v>0</v>
      </c>
      <c r="G25" s="98"/>
      <c r="H25" s="14">
        <v>0</v>
      </c>
      <c r="I25" s="98"/>
      <c r="J25" s="19">
        <v>0</v>
      </c>
      <c r="K25" s="98"/>
      <c r="L25" s="14">
        <v>0</v>
      </c>
      <c r="M25" s="98"/>
      <c r="N25" s="14">
        <v>0</v>
      </c>
      <c r="O25" s="98"/>
      <c r="P25" s="14">
        <v>0</v>
      </c>
      <c r="Q25" s="98"/>
      <c r="R25" s="19">
        <f>SUM(B25:P25)</f>
        <v>-86195.550000000017</v>
      </c>
    </row>
    <row r="26" spans="1:18" x14ac:dyDescent="0.2">
      <c r="A26" s="99" t="s">
        <v>3913</v>
      </c>
      <c r="B26" s="27">
        <v>-50555.189999999995</v>
      </c>
      <c r="C26" s="98"/>
      <c r="D26" s="14">
        <v>-1514.52</v>
      </c>
      <c r="E26" s="98"/>
      <c r="F26" s="14">
        <v>0</v>
      </c>
      <c r="G26" s="98"/>
      <c r="H26" s="14">
        <v>0</v>
      </c>
      <c r="I26" s="98"/>
      <c r="J26" s="26">
        <v>0</v>
      </c>
      <c r="K26" s="98"/>
      <c r="L26" s="14">
        <v>0</v>
      </c>
      <c r="M26" s="98"/>
      <c r="N26" s="14">
        <v>0</v>
      </c>
      <c r="O26" s="98"/>
      <c r="P26" s="14">
        <v>0</v>
      </c>
      <c r="Q26" s="98"/>
      <c r="R26" s="27">
        <f>SUM(B26:P26)</f>
        <v>-52069.709999999992</v>
      </c>
    </row>
    <row r="27" spans="1:18" x14ac:dyDescent="0.2">
      <c r="A27" s="3" t="s">
        <v>3856</v>
      </c>
      <c r="B27" s="26">
        <f>SUM(B24:B26)</f>
        <v>-134164</v>
      </c>
      <c r="C27" s="98"/>
      <c r="D27" s="32">
        <f>SUM(D24:D26)</f>
        <v>-4466.5200000000004</v>
      </c>
      <c r="E27" s="98"/>
      <c r="F27" s="32">
        <f>SUM(F24:F26)</f>
        <v>0</v>
      </c>
      <c r="G27" s="98"/>
      <c r="H27" s="32">
        <f>SUM(H24:H26)</f>
        <v>0</v>
      </c>
      <c r="I27" s="98"/>
      <c r="J27" s="32">
        <f>SUM(J24:J26)</f>
        <v>0</v>
      </c>
      <c r="K27" s="98"/>
      <c r="L27" s="32">
        <f>SUM(L24:L26)</f>
        <v>0</v>
      </c>
      <c r="M27" s="98"/>
      <c r="N27" s="32">
        <f>SUM(N24:N26)</f>
        <v>0</v>
      </c>
      <c r="O27" s="98"/>
      <c r="P27" s="32">
        <f>SUM(P24:P26)</f>
        <v>0</v>
      </c>
      <c r="Q27" s="98"/>
      <c r="R27" s="26">
        <f>SUM(R24:R26)</f>
        <v>-138630.52000000002</v>
      </c>
    </row>
    <row r="28" spans="1:18" x14ac:dyDescent="0.2">
      <c r="C28" s="98"/>
      <c r="E28" s="98"/>
      <c r="G28" s="98"/>
      <c r="I28" s="98"/>
      <c r="J28" s="26"/>
      <c r="K28" s="98"/>
      <c r="M28" s="98"/>
      <c r="O28" s="98"/>
      <c r="Q28" s="98"/>
    </row>
    <row r="29" spans="1:18" x14ac:dyDescent="0.2">
      <c r="C29" s="98"/>
      <c r="E29" s="98"/>
      <c r="G29" s="98"/>
      <c r="I29" s="98"/>
      <c r="K29" s="98"/>
      <c r="M29" s="98"/>
      <c r="O29" s="98"/>
      <c r="Q29" s="98"/>
    </row>
    <row r="30" spans="1:18" ht="13.5" thickBot="1" x14ac:dyDescent="0.25">
      <c r="A30" s="12" t="s">
        <v>3857</v>
      </c>
      <c r="B30" s="33">
        <f>B27+B21</f>
        <v>-272167.16000000003</v>
      </c>
      <c r="C30" s="98"/>
      <c r="D30" s="33">
        <f>D27+D21</f>
        <v>-8852.880000000001</v>
      </c>
      <c r="E30" s="98"/>
      <c r="F30" s="33">
        <f>F27+F21</f>
        <v>0</v>
      </c>
      <c r="G30" s="98"/>
      <c r="H30" s="33">
        <f>H27+H21</f>
        <v>0</v>
      </c>
      <c r="I30" s="98"/>
      <c r="J30" s="33">
        <f>J27+J21</f>
        <v>0</v>
      </c>
      <c r="K30" s="98"/>
      <c r="L30" s="33">
        <f>L27+L21</f>
        <v>0</v>
      </c>
      <c r="M30" s="98"/>
      <c r="N30" s="33">
        <f>N27+N21</f>
        <v>0</v>
      </c>
      <c r="O30" s="98"/>
      <c r="P30" s="33">
        <f>P27+P21</f>
        <v>0</v>
      </c>
      <c r="Q30" s="98"/>
      <c r="R30" s="33">
        <f>R27+R21</f>
        <v>-281020.04000000004</v>
      </c>
    </row>
    <row r="31" spans="1:18" ht="13.5" thickTop="1" x14ac:dyDescent="0.2">
      <c r="C31" s="98"/>
      <c r="E31" s="98"/>
      <c r="G31" s="98"/>
      <c r="I31" s="98"/>
      <c r="K31" s="98"/>
      <c r="M31" s="98"/>
      <c r="O31" s="98"/>
      <c r="Q31" s="98"/>
    </row>
    <row r="32" spans="1:18" x14ac:dyDescent="0.2">
      <c r="C32" s="98"/>
      <c r="E32" s="98"/>
      <c r="G32" s="98"/>
      <c r="I32" s="98"/>
      <c r="K32" s="98"/>
      <c r="M32" s="98"/>
      <c r="O32" s="98"/>
      <c r="Q32" s="98"/>
    </row>
    <row r="33" spans="3:17" x14ac:dyDescent="0.2">
      <c r="C33" s="98"/>
      <c r="E33" s="98"/>
      <c r="G33" s="98"/>
      <c r="I33" s="98"/>
      <c r="K33" s="98"/>
      <c r="M33" s="98"/>
      <c r="O33" s="98"/>
      <c r="Q33" s="98"/>
    </row>
    <row r="34" spans="3:17" x14ac:dyDescent="0.2">
      <c r="C34" s="98"/>
      <c r="E34" s="98"/>
      <c r="G34" s="98"/>
      <c r="I34" s="98"/>
      <c r="K34" s="98"/>
      <c r="M34" s="98"/>
      <c r="O34" s="98"/>
      <c r="Q34" s="98"/>
    </row>
    <row r="35" spans="3:17" x14ac:dyDescent="0.2">
      <c r="C35" s="98"/>
      <c r="E35" s="98"/>
      <c r="G35" s="98"/>
      <c r="I35" s="98"/>
      <c r="K35" s="98"/>
      <c r="M35" s="98"/>
      <c r="O35" s="98"/>
      <c r="Q35" s="98"/>
    </row>
    <row r="36" spans="3:17" x14ac:dyDescent="0.2">
      <c r="C36" s="98"/>
      <c r="E36" s="98"/>
      <c r="G36" s="98"/>
      <c r="I36" s="98"/>
      <c r="K36" s="98"/>
      <c r="M36" s="98"/>
      <c r="O36" s="98"/>
      <c r="Q36" s="98"/>
    </row>
    <row r="37" spans="3:17" x14ac:dyDescent="0.2">
      <c r="C37" s="98"/>
      <c r="E37" s="98"/>
      <c r="G37" s="98"/>
      <c r="I37" s="98"/>
      <c r="K37" s="98"/>
      <c r="M37" s="98"/>
      <c r="O37" s="98"/>
      <c r="Q37" s="98"/>
    </row>
    <row r="38" spans="3:17" x14ac:dyDescent="0.2">
      <c r="C38" s="98"/>
      <c r="E38" s="98"/>
      <c r="G38" s="98"/>
      <c r="I38" s="98"/>
      <c r="K38" s="98"/>
      <c r="M38" s="98"/>
      <c r="O38" s="98"/>
      <c r="Q38" s="98"/>
    </row>
    <row r="39" spans="3:17" x14ac:dyDescent="0.2">
      <c r="C39" s="98"/>
      <c r="E39" s="98"/>
      <c r="G39" s="98"/>
      <c r="I39" s="98"/>
      <c r="K39" s="98"/>
      <c r="M39" s="98"/>
      <c r="O39" s="98"/>
      <c r="Q39" s="98"/>
    </row>
    <row r="40" spans="3:17" x14ac:dyDescent="0.2">
      <c r="C40" s="98"/>
      <c r="E40" s="98"/>
      <c r="G40" s="98"/>
      <c r="I40" s="98"/>
      <c r="K40" s="98"/>
      <c r="M40" s="98"/>
      <c r="O40" s="98"/>
      <c r="Q40" s="98"/>
    </row>
    <row r="41" spans="3:17" x14ac:dyDescent="0.2">
      <c r="C41" s="98"/>
      <c r="E41" s="98"/>
      <c r="G41" s="98"/>
      <c r="I41" s="98"/>
      <c r="K41" s="98"/>
      <c r="M41" s="98"/>
      <c r="O41" s="98"/>
      <c r="Q41" s="98"/>
    </row>
    <row r="42" spans="3:17" x14ac:dyDescent="0.2">
      <c r="C42" s="98"/>
      <c r="E42" s="98"/>
      <c r="G42" s="98"/>
      <c r="I42" s="98"/>
      <c r="K42" s="98"/>
      <c r="M42" s="98"/>
      <c r="O42" s="98"/>
      <c r="Q42" s="98"/>
    </row>
    <row r="43" spans="3:17" x14ac:dyDescent="0.2">
      <c r="C43" s="98"/>
      <c r="E43" s="98"/>
      <c r="G43" s="98"/>
      <c r="I43" s="98"/>
      <c r="K43" s="98"/>
      <c r="M43" s="98"/>
      <c r="O43" s="98"/>
      <c r="Q43" s="98"/>
    </row>
    <row r="44" spans="3:17" x14ac:dyDescent="0.2">
      <c r="C44" s="98"/>
      <c r="E44" s="98"/>
      <c r="G44" s="98"/>
      <c r="I44" s="98"/>
      <c r="K44" s="98"/>
      <c r="M44" s="98"/>
      <c r="O44" s="98"/>
      <c r="Q44" s="98"/>
    </row>
    <row r="45" spans="3:17" x14ac:dyDescent="0.2">
      <c r="C45" s="98"/>
      <c r="E45" s="98"/>
      <c r="G45" s="98"/>
      <c r="I45" s="98"/>
      <c r="K45" s="98"/>
      <c r="M45" s="98"/>
      <c r="O45" s="98"/>
      <c r="Q45" s="98"/>
    </row>
    <row r="46" spans="3:17" x14ac:dyDescent="0.2">
      <c r="C46" s="98"/>
      <c r="E46" s="98"/>
      <c r="G46" s="98"/>
      <c r="I46" s="98"/>
      <c r="K46" s="98"/>
      <c r="M46" s="98"/>
      <c r="O46" s="98"/>
      <c r="Q46" s="98"/>
    </row>
    <row r="47" spans="3:17" x14ac:dyDescent="0.2">
      <c r="C47" s="98"/>
      <c r="E47" s="98"/>
      <c r="G47" s="98"/>
      <c r="I47" s="98"/>
      <c r="K47" s="98"/>
      <c r="M47" s="98"/>
      <c r="O47" s="98"/>
      <c r="Q47" s="98"/>
    </row>
    <row r="48" spans="3:17" x14ac:dyDescent="0.2">
      <c r="C48" s="98"/>
      <c r="E48" s="98"/>
      <c r="G48" s="98"/>
      <c r="I48" s="98"/>
      <c r="K48" s="98"/>
      <c r="M48" s="98"/>
      <c r="O48" s="98"/>
      <c r="Q48" s="98"/>
    </row>
    <row r="49" spans="3:17" x14ac:dyDescent="0.2">
      <c r="C49" s="98"/>
      <c r="E49" s="98"/>
      <c r="G49" s="98"/>
      <c r="I49" s="98"/>
      <c r="K49" s="98"/>
      <c r="M49" s="98"/>
      <c r="O49" s="98"/>
      <c r="Q49" s="98"/>
    </row>
    <row r="50" spans="3:17" x14ac:dyDescent="0.2">
      <c r="C50" s="98"/>
      <c r="E50" s="98"/>
      <c r="G50" s="98"/>
      <c r="I50" s="98"/>
      <c r="K50" s="98"/>
      <c r="M50" s="98"/>
      <c r="O50" s="98"/>
      <c r="Q50" s="98"/>
    </row>
    <row r="51" spans="3:17" x14ac:dyDescent="0.2">
      <c r="C51" s="98"/>
      <c r="E51" s="98"/>
      <c r="G51" s="98"/>
      <c r="I51" s="98"/>
      <c r="K51" s="98"/>
      <c r="M51" s="98"/>
      <c r="O51" s="98"/>
      <c r="Q51" s="98"/>
    </row>
    <row r="52" spans="3:17" x14ac:dyDescent="0.2">
      <c r="C52" s="98"/>
      <c r="E52" s="98"/>
      <c r="G52" s="98"/>
      <c r="I52" s="98"/>
      <c r="K52" s="98"/>
      <c r="M52" s="98"/>
      <c r="O52" s="98"/>
      <c r="Q52" s="98"/>
    </row>
    <row r="53" spans="3:17" x14ac:dyDescent="0.2">
      <c r="C53" s="98"/>
      <c r="E53" s="98"/>
      <c r="G53" s="98"/>
      <c r="I53" s="98"/>
      <c r="K53" s="98"/>
      <c r="M53" s="98"/>
      <c r="O53" s="98"/>
      <c r="Q53" s="98"/>
    </row>
    <row r="54" spans="3:17" x14ac:dyDescent="0.2">
      <c r="C54" s="98"/>
      <c r="E54" s="98"/>
      <c r="G54" s="98"/>
      <c r="I54" s="98"/>
      <c r="K54" s="98"/>
      <c r="M54" s="98"/>
      <c r="O54" s="98"/>
      <c r="Q54" s="98"/>
    </row>
    <row r="55" spans="3:17" x14ac:dyDescent="0.2">
      <c r="C55" s="98"/>
      <c r="E55" s="98"/>
      <c r="G55" s="98"/>
      <c r="I55" s="98"/>
      <c r="K55" s="98"/>
      <c r="M55" s="98"/>
      <c r="O55" s="98"/>
      <c r="Q55" s="98"/>
    </row>
    <row r="56" spans="3:17" x14ac:dyDescent="0.2">
      <c r="C56" s="98"/>
      <c r="E56" s="98"/>
      <c r="G56" s="98"/>
      <c r="I56" s="98"/>
      <c r="K56" s="98"/>
      <c r="M56" s="98"/>
      <c r="O56" s="98"/>
      <c r="Q56" s="98"/>
    </row>
    <row r="57" spans="3:17" x14ac:dyDescent="0.2">
      <c r="C57" s="98"/>
      <c r="E57" s="98"/>
      <c r="G57" s="98"/>
      <c r="I57" s="98"/>
      <c r="K57" s="98"/>
      <c r="M57" s="98"/>
      <c r="O57" s="98"/>
      <c r="Q57" s="98"/>
    </row>
  </sheetData>
  <mergeCells count="3">
    <mergeCell ref="A1:R1"/>
    <mergeCell ref="A2:R2"/>
    <mergeCell ref="A3:R3"/>
  </mergeCells>
  <printOptions horizontalCentered="1"/>
  <pageMargins left="0.75" right="0.75" top="1" bottom="1" header="0.5" footer="0.5"/>
  <pageSetup scale="67" fitToHeight="0" orientation="landscape" r:id="rId1"/>
  <headerFooter alignWithMargins="0">
    <oddFooter>&amp;R&amp;"Times New Roman,Bold"&amp;12Case No. 2018-00295
Attachment 6 to Response to US DOD-2 Question No. 7   
Page &amp;P of &amp;N
Garrett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V313"/>
  <sheetViews>
    <sheetView topLeftCell="A61" workbookViewId="0">
      <selection sqref="A1:R1"/>
    </sheetView>
  </sheetViews>
  <sheetFormatPr defaultRowHeight="12.75" x14ac:dyDescent="0.2"/>
  <cols>
    <col min="1" max="1" width="9.140625" style="3"/>
    <col min="2" max="2" width="36" style="3" bestFit="1" customWidth="1"/>
    <col min="3" max="3" width="18.7109375" style="3" bestFit="1" customWidth="1"/>
    <col min="4" max="4" width="1.5703125" style="3" customWidth="1"/>
    <col min="5" max="5" width="17.7109375" style="3" customWidth="1"/>
    <col min="6" max="6" width="1.5703125" style="3" customWidth="1"/>
    <col min="7" max="7" width="17.7109375" style="3" customWidth="1"/>
    <col min="8" max="8" width="1.5703125" style="3" customWidth="1"/>
    <col min="9" max="9" width="17.7109375" style="3" customWidth="1"/>
    <col min="10" max="10" width="1.5703125" style="3" customWidth="1"/>
    <col min="11" max="11" width="17.7109375" style="3" customWidth="1"/>
    <col min="12" max="12" width="1.5703125" style="3" customWidth="1"/>
    <col min="13" max="13" width="17.7109375" style="3" customWidth="1"/>
    <col min="14" max="14" width="1.5703125" style="3" customWidth="1"/>
    <col min="15" max="15" width="17.7109375" style="3" customWidth="1"/>
    <col min="16" max="16" width="1.5703125" style="3" customWidth="1"/>
    <col min="17" max="17" width="17.7109375" style="3" customWidth="1"/>
    <col min="18" max="18" width="1.5703125" style="3" customWidth="1"/>
    <col min="19" max="19" width="17.7109375" style="3" customWidth="1"/>
    <col min="20" max="20" width="1.5703125" style="3" customWidth="1"/>
    <col min="21" max="21" width="18.7109375" style="3" bestFit="1" customWidth="1"/>
    <col min="22" max="22" width="2.7109375" style="3" customWidth="1"/>
    <col min="23" max="16384" width="9.140625" style="3"/>
  </cols>
  <sheetData>
    <row r="1" spans="1:22" x14ac:dyDescent="0.2">
      <c r="A1" s="142" t="s">
        <v>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"/>
    </row>
    <row r="2" spans="1:22" x14ac:dyDescent="0.2">
      <c r="A2" s="142" t="s">
        <v>3914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"/>
    </row>
    <row r="3" spans="1:22" x14ac:dyDescent="0.2">
      <c r="A3" s="144" t="str">
        <f>'KU_Summary - Cost - P1 (REG)'!A3:N3</f>
        <v>DECEMBER 2016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4"/>
    </row>
    <row r="4" spans="1:22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</row>
    <row r="6" spans="1:22" x14ac:dyDescent="0.2">
      <c r="C6" s="25" t="s">
        <v>2</v>
      </c>
      <c r="E6" s="19"/>
      <c r="G6" s="19"/>
      <c r="I6" s="25" t="s">
        <v>3</v>
      </c>
      <c r="J6" s="25"/>
      <c r="K6" s="25" t="s">
        <v>37</v>
      </c>
      <c r="M6" s="25" t="s">
        <v>38</v>
      </c>
      <c r="O6" s="25"/>
      <c r="Q6" s="25"/>
      <c r="S6" s="25"/>
      <c r="U6" s="25" t="s">
        <v>4</v>
      </c>
      <c r="V6" s="25"/>
    </row>
    <row r="7" spans="1:22" x14ac:dyDescent="0.2">
      <c r="C7" s="10" t="s">
        <v>5</v>
      </c>
      <c r="E7" s="10" t="s">
        <v>39</v>
      </c>
      <c r="G7" s="10" t="s">
        <v>7</v>
      </c>
      <c r="I7" s="10" t="s">
        <v>8</v>
      </c>
      <c r="J7" s="11"/>
      <c r="K7" s="10" t="s">
        <v>40</v>
      </c>
      <c r="M7" s="10" t="s">
        <v>41</v>
      </c>
      <c r="O7" s="10" t="s">
        <v>42</v>
      </c>
      <c r="Q7" s="10" t="s">
        <v>43</v>
      </c>
      <c r="S7" s="10" t="s">
        <v>44</v>
      </c>
      <c r="U7" s="10" t="s">
        <v>5</v>
      </c>
      <c r="V7" s="11"/>
    </row>
    <row r="8" spans="1:22" x14ac:dyDescent="0.2">
      <c r="C8" s="11"/>
      <c r="E8" s="11"/>
      <c r="G8" s="11"/>
      <c r="I8" s="11"/>
      <c r="J8" s="11"/>
      <c r="K8" s="11"/>
      <c r="M8" s="11"/>
      <c r="O8" s="11"/>
      <c r="Q8" s="11"/>
      <c r="S8" s="11"/>
      <c r="U8" s="11"/>
      <c r="V8" s="11"/>
    </row>
    <row r="9" spans="1:22" x14ac:dyDescent="0.2">
      <c r="A9" s="12" t="s">
        <v>45</v>
      </c>
      <c r="C9" s="11"/>
      <c r="E9" s="11"/>
      <c r="G9" s="11"/>
      <c r="I9" s="11"/>
      <c r="J9" s="11"/>
      <c r="K9" s="11"/>
      <c r="M9" s="11"/>
      <c r="O9" s="11"/>
      <c r="Q9" s="11"/>
      <c r="S9" s="11"/>
      <c r="U9" s="11"/>
      <c r="V9" s="11"/>
    </row>
    <row r="10" spans="1:22" x14ac:dyDescent="0.2">
      <c r="B10" s="3" t="s">
        <v>12</v>
      </c>
      <c r="C10" s="17">
        <f>+'KU_Summary - Reserve - P2 (REG)'!C10</f>
        <v>-476527287.24000001</v>
      </c>
      <c r="D10" s="14"/>
      <c r="E10" s="17">
        <f>+'KU_Summary - Reserve - P2 (REG)'!E10</f>
        <v>-34555294.909999996</v>
      </c>
      <c r="F10" s="14"/>
      <c r="G10" s="17">
        <f>+'KU_Summary - Reserve - P2 (REG)'!G10</f>
        <v>20418467.84</v>
      </c>
      <c r="H10" s="14"/>
      <c r="I10" s="17">
        <f>+'KU_Summary - Reserve - P2 (REG)'!I10</f>
        <v>-8393.59</v>
      </c>
      <c r="J10" s="14"/>
      <c r="K10" s="17">
        <f>+'KU_Summary - Reserve - P2 (REG)'!K10</f>
        <v>0</v>
      </c>
      <c r="L10" s="14"/>
      <c r="M10" s="17">
        <f>+'KU_Summary - Reserve - P2 (REG)'!M10</f>
        <v>0</v>
      </c>
      <c r="N10" s="14"/>
      <c r="O10" s="17">
        <f>+'KU_Summary - Reserve - P2 (REG)'!O10</f>
        <v>0</v>
      </c>
      <c r="P10" s="14"/>
      <c r="Q10" s="17">
        <f>+'KU_Summary - Reserve - P2 (REG)'!Q10</f>
        <v>0</v>
      </c>
      <c r="R10" s="19"/>
      <c r="S10" s="17">
        <f>+'KU_Summary - Reserve - P2 (REG)'!S10</f>
        <v>0</v>
      </c>
      <c r="T10" s="19"/>
      <c r="U10" s="19">
        <f>S10+Q10+O10+M10+I10+G10+E10+C10</f>
        <v>-490672507.89999998</v>
      </c>
      <c r="V10" s="19"/>
    </row>
    <row r="11" spans="1:22" x14ac:dyDescent="0.2">
      <c r="B11" s="3" t="s">
        <v>46</v>
      </c>
      <c r="C11" s="17">
        <f>+'KU_Summary - Reserve - P2 (REG)'!C11</f>
        <v>-103531.49999999996</v>
      </c>
      <c r="D11" s="14"/>
      <c r="E11" s="17">
        <f>+'KU_Summary - Reserve - P2 (REG)'!E11</f>
        <v>-23764.83</v>
      </c>
      <c r="F11" s="14"/>
      <c r="G11" s="17">
        <f>+'KU_Summary - Reserve - P2 (REG)'!G11</f>
        <v>2798.53</v>
      </c>
      <c r="H11" s="14"/>
      <c r="I11" s="17">
        <f>+'KU_Summary - Reserve - P2 (REG)'!I11</f>
        <v>0</v>
      </c>
      <c r="J11" s="14"/>
      <c r="K11" s="17">
        <f>+'KU_Summary - Reserve - P2 (REG)'!K11</f>
        <v>0</v>
      </c>
      <c r="L11" s="14"/>
      <c r="M11" s="17">
        <f>+'KU_Summary - Reserve - P2 (REG)'!M11</f>
        <v>0</v>
      </c>
      <c r="N11" s="14"/>
      <c r="O11" s="17">
        <f>+'KU_Summary - Reserve - P2 (REG)'!O11</f>
        <v>0</v>
      </c>
      <c r="P11" s="14"/>
      <c r="Q11" s="17">
        <f>+'KU_Summary - Reserve - P2 (REG)'!Q11</f>
        <v>0</v>
      </c>
      <c r="R11" s="19"/>
      <c r="S11" s="17">
        <f>+'KU_Summary - Reserve - P2 (REG)'!S11</f>
        <v>0</v>
      </c>
      <c r="T11" s="19"/>
      <c r="U11" s="19">
        <f t="shared" ref="U11:U21" si="0">S11+Q11+O11+M11+I11+G11+E11+C11</f>
        <v>-124497.79999999996</v>
      </c>
      <c r="V11" s="19"/>
    </row>
    <row r="12" spans="1:22" x14ac:dyDescent="0.2">
      <c r="B12" s="3" t="s">
        <v>13</v>
      </c>
      <c r="C12" s="17">
        <f>+'KU_Summary - Reserve - P2 (REG)'!C12</f>
        <v>-60276698.080000006</v>
      </c>
      <c r="D12" s="14"/>
      <c r="E12" s="17">
        <f>+'KU_Summary - Reserve - P2 (REG)'!E12</f>
        <v>-11703589.289999999</v>
      </c>
      <c r="F12" s="14"/>
      <c r="G12" s="17">
        <f>+'KU_Summary - Reserve - P2 (REG)'!G12</f>
        <v>11527163.23</v>
      </c>
      <c r="H12" s="14"/>
      <c r="I12" s="17">
        <f>+'KU_Summary - Reserve - P2 (REG)'!I12</f>
        <v>-419164.25</v>
      </c>
      <c r="J12" s="14"/>
      <c r="K12" s="17">
        <f>+'KU_Summary - Reserve - P2 (REG)'!K12</f>
        <v>0</v>
      </c>
      <c r="L12" s="14"/>
      <c r="M12" s="17">
        <f>+'KU_Summary - Reserve - P2 (REG)'!M12</f>
        <v>0</v>
      </c>
      <c r="N12" s="14"/>
      <c r="O12" s="17">
        <f>+'KU_Summary - Reserve - P2 (REG)'!O12</f>
        <v>0</v>
      </c>
      <c r="P12" s="14"/>
      <c r="Q12" s="17">
        <f>+'KU_Summary - Reserve - P2 (REG)'!Q12</f>
        <v>0</v>
      </c>
      <c r="R12" s="19"/>
      <c r="S12" s="17">
        <f>+'KU_Summary - Reserve - P2 (REG)'!S12</f>
        <v>0</v>
      </c>
      <c r="T12" s="19"/>
      <c r="U12" s="19">
        <f t="shared" si="0"/>
        <v>-60872288.390000001</v>
      </c>
      <c r="V12" s="19"/>
    </row>
    <row r="13" spans="1:22" x14ac:dyDescent="0.2">
      <c r="B13" s="3" t="s">
        <v>14</v>
      </c>
      <c r="C13" s="17">
        <f>+'KU_Summary - Reserve - P2 (REG)'!C13</f>
        <v>-11039152.630000001</v>
      </c>
      <c r="D13" s="14"/>
      <c r="E13" s="17">
        <f>+'KU_Summary - Reserve - P2 (REG)'!E13</f>
        <v>-1138303.06</v>
      </c>
      <c r="F13" s="14"/>
      <c r="G13" s="17">
        <f>+'KU_Summary - Reserve - P2 (REG)'!G13</f>
        <v>15195.8</v>
      </c>
      <c r="H13" s="14"/>
      <c r="I13" s="17">
        <f>+'KU_Summary - Reserve - P2 (REG)'!I13</f>
        <v>0</v>
      </c>
      <c r="J13" s="35"/>
      <c r="K13" s="17">
        <f>+'KU_Summary - Reserve - P2 (REG)'!K13</f>
        <v>0</v>
      </c>
      <c r="L13" s="14"/>
      <c r="M13" s="17">
        <f>+'KU_Summary - Reserve - P2 (REG)'!M13</f>
        <v>0</v>
      </c>
      <c r="N13" s="14"/>
      <c r="O13" s="17">
        <f>+'KU_Summary - Reserve - P2 (REG)'!O13</f>
        <v>0</v>
      </c>
      <c r="P13" s="14"/>
      <c r="Q13" s="17">
        <f>+'KU_Summary - Reserve - P2 (REG)'!Q13</f>
        <v>0</v>
      </c>
      <c r="R13" s="19"/>
      <c r="S13" s="17">
        <f>+'KU_Summary - Reserve - P2 (REG)'!S13</f>
        <v>0</v>
      </c>
      <c r="T13" s="19"/>
      <c r="U13" s="19">
        <f t="shared" si="0"/>
        <v>-12162259.890000001</v>
      </c>
      <c r="V13" s="19"/>
    </row>
    <row r="14" spans="1:22" x14ac:dyDescent="0.2">
      <c r="B14" s="3" t="s">
        <v>47</v>
      </c>
      <c r="C14" s="17">
        <f>+'KU_Summary - Reserve - P2 (REG)'!C14</f>
        <v>-27454.46</v>
      </c>
      <c r="D14" s="14"/>
      <c r="E14" s="17">
        <f>+'KU_Summary - Reserve - P2 (REG)'!E14</f>
        <v>-78729.67</v>
      </c>
      <c r="F14" s="14"/>
      <c r="G14" s="17">
        <f>+'KU_Summary - Reserve - P2 (REG)'!G14</f>
        <v>86482.34</v>
      </c>
      <c r="H14" s="14"/>
      <c r="I14" s="17">
        <f>+'KU_Summary - Reserve - P2 (REG)'!I14</f>
        <v>0</v>
      </c>
      <c r="J14" s="14"/>
      <c r="K14" s="17">
        <f>+'KU_Summary - Reserve - P2 (REG)'!K14</f>
        <v>0</v>
      </c>
      <c r="L14" s="14"/>
      <c r="M14" s="17">
        <f>+'KU_Summary - Reserve - P2 (REG)'!M14</f>
        <v>0</v>
      </c>
      <c r="N14" s="14"/>
      <c r="O14" s="17">
        <f>+'KU_Summary - Reserve - P2 (REG)'!O14</f>
        <v>0</v>
      </c>
      <c r="P14" s="14"/>
      <c r="Q14" s="17">
        <f>+'KU_Summary - Reserve - P2 (REG)'!Q14</f>
        <v>0</v>
      </c>
      <c r="R14" s="19"/>
      <c r="S14" s="17">
        <f>+'KU_Summary - Reserve - P2 (REG)'!S14</f>
        <v>0</v>
      </c>
      <c r="T14" s="19"/>
      <c r="U14" s="19">
        <f t="shared" si="0"/>
        <v>-19701.79</v>
      </c>
      <c r="V14" s="19"/>
    </row>
    <row r="15" spans="1:22" x14ac:dyDescent="0.2">
      <c r="B15" s="3" t="s">
        <v>16</v>
      </c>
      <c r="C15" s="17">
        <f>+'KU_Summary - Reserve - P2 (REG)'!C15</f>
        <v>-244434203.74000001</v>
      </c>
      <c r="D15" s="14"/>
      <c r="E15" s="17">
        <f>+'KU_Summary - Reserve - P2 (REG)'!E15</f>
        <v>-33257521.23</v>
      </c>
      <c r="F15" s="14"/>
      <c r="G15" s="17">
        <f>+'KU_Summary - Reserve - P2 (REG)'!G15</f>
        <v>844434.41</v>
      </c>
      <c r="H15" s="14"/>
      <c r="I15" s="17">
        <f>+'KU_Summary - Reserve - P2 (REG)'!I15</f>
        <v>0</v>
      </c>
      <c r="J15" s="14"/>
      <c r="K15" s="17">
        <f>+'KU_Summary - Reserve - P2 (REG)'!K15</f>
        <v>0</v>
      </c>
      <c r="L15" s="14"/>
      <c r="M15" s="17">
        <f>+'KU_Summary - Reserve - P2 (REG)'!M15</f>
        <v>0</v>
      </c>
      <c r="N15" s="14"/>
      <c r="O15" s="17">
        <f>+'KU_Summary - Reserve - P2 (REG)'!O15</f>
        <v>0</v>
      </c>
      <c r="P15" s="14"/>
      <c r="Q15" s="17">
        <f>+'KU_Summary - Reserve - P2 (REG)'!Q15</f>
        <v>0</v>
      </c>
      <c r="R15" s="19"/>
      <c r="S15" s="17">
        <f>+'KU_Summary - Reserve - P2 (REG)'!S15</f>
        <v>0</v>
      </c>
      <c r="T15" s="19"/>
      <c r="U15" s="19">
        <f t="shared" si="0"/>
        <v>-276847290.56</v>
      </c>
      <c r="V15" s="19"/>
    </row>
    <row r="16" spans="1:22" x14ac:dyDescent="0.2">
      <c r="B16" s="3" t="s">
        <v>48</v>
      </c>
      <c r="C16" s="17">
        <f>+'KU_Summary - Reserve - P2 (REG)'!C16</f>
        <v>-12147.939999999995</v>
      </c>
      <c r="D16" s="14"/>
      <c r="E16" s="17">
        <f>+'KU_Summary - Reserve - P2 (REG)'!E16</f>
        <v>-20825.04</v>
      </c>
      <c r="F16" s="14"/>
      <c r="G16" s="17">
        <f>+'KU_Summary - Reserve - P2 (REG)'!G16</f>
        <v>0</v>
      </c>
      <c r="H16" s="14"/>
      <c r="I16" s="17">
        <f>+'KU_Summary - Reserve - P2 (REG)'!I16</f>
        <v>0</v>
      </c>
      <c r="J16" s="14"/>
      <c r="K16" s="17">
        <f>+'KU_Summary - Reserve - P2 (REG)'!K16</f>
        <v>0</v>
      </c>
      <c r="L16" s="14"/>
      <c r="M16" s="17">
        <f>+'KU_Summary - Reserve - P2 (REG)'!M16</f>
        <v>0</v>
      </c>
      <c r="N16" s="14"/>
      <c r="O16" s="17">
        <f>+'KU_Summary - Reserve - P2 (REG)'!O16</f>
        <v>0</v>
      </c>
      <c r="P16" s="14"/>
      <c r="Q16" s="17">
        <f>+'KU_Summary - Reserve - P2 (REG)'!Q16</f>
        <v>0</v>
      </c>
      <c r="R16" s="19"/>
      <c r="S16" s="17">
        <f>+'KU_Summary - Reserve - P2 (REG)'!S16</f>
        <v>0</v>
      </c>
      <c r="T16" s="19"/>
      <c r="U16" s="19">
        <f t="shared" si="0"/>
        <v>-32972.979999999996</v>
      </c>
      <c r="V16" s="19"/>
    </row>
    <row r="17" spans="1:22" x14ac:dyDescent="0.2">
      <c r="B17" s="3" t="s">
        <v>17</v>
      </c>
      <c r="C17" s="17">
        <f>+'KU_Summary - Reserve - P2 (REG)'!C17</f>
        <v>-1335273243.9200001</v>
      </c>
      <c r="D17" s="14"/>
      <c r="E17" s="17">
        <f>+'KU_Summary - Reserve - P2 (REG)'!E17</f>
        <v>-110628877.41</v>
      </c>
      <c r="F17" s="14"/>
      <c r="G17" s="17">
        <f>+'KU_Summary - Reserve - P2 (REG)'!G17</f>
        <v>12726290.15</v>
      </c>
      <c r="H17" s="14"/>
      <c r="I17" s="17">
        <f>+'KU_Summary - Reserve - P2 (REG)'!I17</f>
        <v>0</v>
      </c>
      <c r="J17" s="14"/>
      <c r="K17" s="17">
        <f>+'KU_Summary - Reserve - P2 (REG)'!K17</f>
        <v>0</v>
      </c>
      <c r="L17" s="14"/>
      <c r="M17" s="17">
        <f>+'KU_Summary - Reserve - P2 (REG)'!M17</f>
        <v>0</v>
      </c>
      <c r="N17" s="14"/>
      <c r="O17" s="17">
        <f>+'KU_Summary - Reserve - P2 (REG)'!O17</f>
        <v>0</v>
      </c>
      <c r="P17" s="14"/>
      <c r="Q17" s="17">
        <f>+'KU_Summary - Reserve - P2 (REG)'!Q17</f>
        <v>0</v>
      </c>
      <c r="R17" s="19"/>
      <c r="S17" s="17">
        <f>+'KU_Summary - Reserve - P2 (REG)'!S17</f>
        <v>0</v>
      </c>
      <c r="T17" s="19"/>
      <c r="U17" s="19">
        <f t="shared" si="0"/>
        <v>-1433175831.1800001</v>
      </c>
      <c r="V17" s="19"/>
    </row>
    <row r="18" spans="1:22" x14ac:dyDescent="0.2">
      <c r="B18" s="3" t="s">
        <v>49</v>
      </c>
      <c r="C18" s="17">
        <f>+'KU_Summary - Reserve - P2 (REG)'!C18</f>
        <v>-54584155.829999998</v>
      </c>
      <c r="D18" s="14"/>
      <c r="E18" s="17">
        <f>+'KU_Summary - Reserve - P2 (REG)'!E18</f>
        <v>-40945454.460000001</v>
      </c>
      <c r="F18" s="14"/>
      <c r="G18" s="17">
        <f>+'KU_Summary - Reserve - P2 (REG)'!G18</f>
        <v>2172751.56</v>
      </c>
      <c r="H18" s="14"/>
      <c r="I18" s="17">
        <f>+'KU_Summary - Reserve - P2 (REG)'!I18</f>
        <v>0</v>
      </c>
      <c r="J18" s="14"/>
      <c r="K18" s="17">
        <f>+'KU_Summary - Reserve - P2 (REG)'!K18</f>
        <v>0</v>
      </c>
      <c r="L18" s="14"/>
      <c r="M18" s="17">
        <f>+'KU_Summary - Reserve - P2 (REG)'!M18</f>
        <v>0</v>
      </c>
      <c r="N18" s="14"/>
      <c r="O18" s="17">
        <f>+'KU_Summary - Reserve - P2 (REG)'!O18</f>
        <v>0</v>
      </c>
      <c r="P18" s="14"/>
      <c r="Q18" s="17">
        <f>+'KU_Summary - Reserve - P2 (REG)'!Q18</f>
        <v>0</v>
      </c>
      <c r="R18" s="19"/>
      <c r="S18" s="17">
        <f>+'KU_Summary - Reserve - P2 (REG)'!S18</f>
        <v>0</v>
      </c>
      <c r="T18" s="19"/>
      <c r="U18" s="19">
        <f t="shared" si="0"/>
        <v>-93356858.729999989</v>
      </c>
      <c r="V18" s="19"/>
    </row>
    <row r="19" spans="1:22" x14ac:dyDescent="0.2">
      <c r="B19" s="3" t="s">
        <v>18</v>
      </c>
      <c r="C19" s="17">
        <f>+'KU_Summary - Reserve - P2 (REG)'!C19</f>
        <v>-235295543.80999997</v>
      </c>
      <c r="D19" s="14"/>
      <c r="E19" s="17">
        <f>+'KU_Summary - Reserve - P2 (REG)'!E19</f>
        <v>-11542458.49</v>
      </c>
      <c r="F19" s="14"/>
      <c r="G19" s="17">
        <f>+'KU_Summary - Reserve - P2 (REG)'!G19</f>
        <v>7302428.29</v>
      </c>
      <c r="H19" s="14"/>
      <c r="I19" s="17">
        <f>+'KU_Summary - Reserve - P2 (REG)'!I19</f>
        <v>8393.59</v>
      </c>
      <c r="J19" s="14"/>
      <c r="K19" s="17">
        <f>+'KU_Summary - Reserve - P2 (REG)'!K19</f>
        <v>0</v>
      </c>
      <c r="L19" s="14"/>
      <c r="M19" s="17">
        <f>+'KU_Summary - Reserve - P2 (REG)'!M19</f>
        <v>0</v>
      </c>
      <c r="N19" s="14"/>
      <c r="O19" s="17">
        <f>+'KU_Summary - Reserve - P2 (REG)'!O19</f>
        <v>0</v>
      </c>
      <c r="P19" s="14"/>
      <c r="Q19" s="17">
        <f>+'KU_Summary - Reserve - P2 (REG)'!Q19</f>
        <v>0</v>
      </c>
      <c r="R19" s="19"/>
      <c r="S19" s="17">
        <f>+'KU_Summary - Reserve - P2 (REG)'!S19</f>
        <v>0</v>
      </c>
      <c r="T19" s="19"/>
      <c r="U19" s="19">
        <f t="shared" si="0"/>
        <v>-239527180.41999999</v>
      </c>
      <c r="V19" s="19"/>
    </row>
    <row r="20" spans="1:22" x14ac:dyDescent="0.2">
      <c r="B20" s="3" t="s">
        <v>50</v>
      </c>
      <c r="C20" s="17">
        <f>+'KU_Summary - Reserve - P2 (REG)'!C20</f>
        <v>-43701.109999999993</v>
      </c>
      <c r="D20" s="14"/>
      <c r="E20" s="17">
        <f>+'KU_Summary - Reserve - P2 (REG)'!E20</f>
        <v>-10003</v>
      </c>
      <c r="F20" s="14"/>
      <c r="G20" s="17">
        <f>+'KU_Summary - Reserve - P2 (REG)'!G20</f>
        <v>0</v>
      </c>
      <c r="H20" s="14"/>
      <c r="I20" s="17">
        <f>+'KU_Summary - Reserve - P2 (REG)'!I20</f>
        <v>0</v>
      </c>
      <c r="J20" s="14"/>
      <c r="K20" s="17">
        <f>+'KU_Summary - Reserve - P2 (REG)'!K20</f>
        <v>0</v>
      </c>
      <c r="L20" s="14"/>
      <c r="M20" s="17">
        <f>+'KU_Summary - Reserve - P2 (REG)'!M20</f>
        <v>0</v>
      </c>
      <c r="N20" s="14"/>
      <c r="O20" s="17">
        <f>+'KU_Summary - Reserve - P2 (REG)'!O20</f>
        <v>0</v>
      </c>
      <c r="P20" s="14"/>
      <c r="Q20" s="17">
        <f>+'KU_Summary - Reserve - P2 (REG)'!Q20</f>
        <v>0</v>
      </c>
      <c r="R20" s="19"/>
      <c r="S20" s="17">
        <f>+'KU_Summary - Reserve - P2 (REG)'!S20</f>
        <v>0</v>
      </c>
      <c r="T20" s="19"/>
      <c r="U20" s="19">
        <f t="shared" si="0"/>
        <v>-53704.109999999993</v>
      </c>
      <c r="V20" s="19"/>
    </row>
    <row r="21" spans="1:22" x14ac:dyDescent="0.2">
      <c r="B21" s="3" t="s">
        <v>29</v>
      </c>
      <c r="C21" s="16">
        <f>+'KU_Summary - Reserve - P2 (REG)'!C21</f>
        <v>0</v>
      </c>
      <c r="D21" s="17"/>
      <c r="E21" s="16">
        <f>+'KU_Summary - Reserve - P2 (REG)'!E21</f>
        <v>0</v>
      </c>
      <c r="F21" s="17"/>
      <c r="G21" s="16">
        <f>+'KU_Summary - Reserve - P2 (REG)'!G21</f>
        <v>0</v>
      </c>
      <c r="H21" s="17"/>
      <c r="I21" s="16">
        <f>+'KU_Summary - Reserve - P2 (REG)'!I21</f>
        <v>0</v>
      </c>
      <c r="J21" s="17"/>
      <c r="K21" s="16">
        <f>+'KU_Summary - Reserve - P2 (REG)'!K21</f>
        <v>0</v>
      </c>
      <c r="L21" s="17"/>
      <c r="M21" s="16">
        <f>+'KU_Summary - Reserve - P2 (REG)'!M21</f>
        <v>0</v>
      </c>
      <c r="N21" s="17"/>
      <c r="O21" s="16">
        <f>+'KU_Summary - Reserve - P2 (REG)'!O21</f>
        <v>0</v>
      </c>
      <c r="P21" s="17"/>
      <c r="Q21" s="16">
        <f>+'KU_Summary - Reserve - P2 (REG)'!Q21</f>
        <v>0</v>
      </c>
      <c r="R21" s="26"/>
      <c r="S21" s="16">
        <f>+'KU_Summary - Reserve - P2 (REG)'!S21</f>
        <v>0</v>
      </c>
      <c r="T21" s="26"/>
      <c r="U21" s="27">
        <f t="shared" si="0"/>
        <v>0</v>
      </c>
      <c r="V21" s="26"/>
    </row>
    <row r="22" spans="1:22" x14ac:dyDescent="0.2">
      <c r="B22" s="20"/>
      <c r="C22" s="17">
        <f>SUM(C10:C21)</f>
        <v>-2417617120.2600002</v>
      </c>
      <c r="D22" s="17"/>
      <c r="E22" s="17">
        <f>SUM(E10:E21)</f>
        <v>-243904821.39000002</v>
      </c>
      <c r="F22" s="17"/>
      <c r="G22" s="17">
        <f>SUM(G10:G21)</f>
        <v>55096012.150000006</v>
      </c>
      <c r="H22" s="17"/>
      <c r="I22" s="17">
        <f>SUM(I10:I21)</f>
        <v>-419164.25</v>
      </c>
      <c r="J22" s="17"/>
      <c r="K22" s="17">
        <f>SUM(K10:K21)</f>
        <v>0</v>
      </c>
      <c r="L22" s="17"/>
      <c r="M22" s="17">
        <f>SUM(M10:M21)</f>
        <v>0</v>
      </c>
      <c r="N22" s="17"/>
      <c r="O22" s="17">
        <f>SUM(O10:O21)</f>
        <v>0</v>
      </c>
      <c r="P22" s="17"/>
      <c r="Q22" s="17">
        <f>SUM(Q10:Q21)</f>
        <v>0</v>
      </c>
      <c r="R22" s="26"/>
      <c r="S22" s="17">
        <f>SUM(S10:S21)</f>
        <v>0</v>
      </c>
      <c r="T22" s="26"/>
      <c r="U22" s="17">
        <f>SUM(U10:U21)</f>
        <v>-2606845093.75</v>
      </c>
      <c r="V22" s="17"/>
    </row>
    <row r="23" spans="1:22" x14ac:dyDescent="0.2"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26"/>
      <c r="R23" s="26"/>
      <c r="S23" s="26"/>
      <c r="T23" s="26"/>
      <c r="U23" s="26"/>
      <c r="V23" s="26"/>
    </row>
    <row r="24" spans="1:22" x14ac:dyDescent="0.2">
      <c r="A24" s="12" t="s">
        <v>51</v>
      </c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</row>
    <row r="25" spans="1:22" x14ac:dyDescent="0.2">
      <c r="B25" s="3" t="s">
        <v>12</v>
      </c>
      <c r="C25" s="17">
        <f>+'KU_Summary - Reserve - P2 (REG)'!C25</f>
        <v>-217980316.47999999</v>
      </c>
      <c r="D25" s="17"/>
      <c r="E25" s="17">
        <f>+'KU_Summary - Reserve - P2 (REG)'!E25</f>
        <v>-10862136.82</v>
      </c>
      <c r="F25" s="17"/>
      <c r="G25" s="17">
        <f>+'KU_Summary - Reserve - P2 (REG)'!G25</f>
        <v>0</v>
      </c>
      <c r="H25" s="17"/>
      <c r="I25" s="17">
        <f>+'KU_Summary - Reserve - P2 (REG)'!I25</f>
        <v>6209.42</v>
      </c>
      <c r="J25" s="17"/>
      <c r="K25" s="17">
        <f>+'KU_Summary - Reserve - P2 (REG)'!K25</f>
        <v>0</v>
      </c>
      <c r="L25" s="17"/>
      <c r="M25" s="17">
        <f>+'KU_Summary - Reserve - P2 (REG)'!M25</f>
        <v>0</v>
      </c>
      <c r="N25" s="17"/>
      <c r="O25" s="17">
        <f>+'KU_Summary - Reserve - P2 (REG)'!O25</f>
        <v>5916172.9699999997</v>
      </c>
      <c r="P25" s="17"/>
      <c r="Q25" s="17">
        <f>+'KU_Summary - Reserve - P2 (REG)'!Q25</f>
        <v>0</v>
      </c>
      <c r="R25" s="26"/>
      <c r="S25" s="17">
        <f>+'KU_Summary - Reserve - P2 (REG)'!S25</f>
        <v>-441217.4</v>
      </c>
      <c r="T25" s="26"/>
      <c r="U25" s="26">
        <f t="shared" ref="U25:U34" si="1">S25+Q25+O25+M25+I25+G25+E25+C25</f>
        <v>-223361288.31</v>
      </c>
      <c r="V25" s="26"/>
    </row>
    <row r="26" spans="1:22" x14ac:dyDescent="0.2">
      <c r="B26" s="3" t="s">
        <v>13</v>
      </c>
      <c r="C26" s="17">
        <f>+'KU_Summary - Reserve - P2 (REG)'!C26</f>
        <v>101014.32999999996</v>
      </c>
      <c r="D26" s="17"/>
      <c r="E26" s="17">
        <f>+'KU_Summary - Reserve - P2 (REG)'!E26</f>
        <v>-104165.43</v>
      </c>
      <c r="F26" s="17"/>
      <c r="G26" s="17">
        <f>+'KU_Summary - Reserve - P2 (REG)'!G26</f>
        <v>0</v>
      </c>
      <c r="H26" s="17"/>
      <c r="I26" s="17">
        <f>+'KU_Summary - Reserve - P2 (REG)'!I26</f>
        <v>0</v>
      </c>
      <c r="J26" s="17"/>
      <c r="K26" s="17">
        <f>+'KU_Summary - Reserve - P2 (REG)'!K26</f>
        <v>0</v>
      </c>
      <c r="L26" s="17"/>
      <c r="M26" s="17">
        <f>+'KU_Summary - Reserve - P2 (REG)'!M26</f>
        <v>0</v>
      </c>
      <c r="N26" s="17"/>
      <c r="O26" s="17">
        <f>+'KU_Summary - Reserve - P2 (REG)'!O26</f>
        <v>232604.72</v>
      </c>
      <c r="P26" s="17"/>
      <c r="Q26" s="17">
        <f>+'KU_Summary - Reserve - P2 (REG)'!Q26</f>
        <v>0</v>
      </c>
      <c r="R26" s="26"/>
      <c r="S26" s="17">
        <f>+'KU_Summary - Reserve - P2 (REG)'!S26</f>
        <v>0</v>
      </c>
      <c r="T26" s="26"/>
      <c r="U26" s="19">
        <f t="shared" si="1"/>
        <v>229453.61999999997</v>
      </c>
      <c r="V26" s="19"/>
    </row>
    <row r="27" spans="1:22" x14ac:dyDescent="0.2">
      <c r="B27" s="3" t="s">
        <v>14</v>
      </c>
      <c r="C27" s="17">
        <f>+'KU_Summary - Reserve - P2 (REG)'!C27</f>
        <v>276763.09999999998</v>
      </c>
      <c r="D27" s="17"/>
      <c r="E27" s="17">
        <f>+'KU_Summary - Reserve - P2 (REG)'!E27</f>
        <v>-38359.32</v>
      </c>
      <c r="F27" s="17"/>
      <c r="G27" s="17">
        <f>+'KU_Summary - Reserve - P2 (REG)'!G27</f>
        <v>0</v>
      </c>
      <c r="H27" s="17"/>
      <c r="I27" s="17">
        <f>+'KU_Summary - Reserve - P2 (REG)'!I27</f>
        <v>0</v>
      </c>
      <c r="J27" s="17"/>
      <c r="K27" s="17">
        <f>+'KU_Summary - Reserve - P2 (REG)'!K27</f>
        <v>0</v>
      </c>
      <c r="L27" s="17"/>
      <c r="M27" s="17">
        <f>+'KU_Summary - Reserve - P2 (REG)'!M27</f>
        <v>0</v>
      </c>
      <c r="N27" s="17"/>
      <c r="O27" s="17">
        <f>+'KU_Summary - Reserve - P2 (REG)'!O27</f>
        <v>25862.74</v>
      </c>
      <c r="P27" s="17"/>
      <c r="Q27" s="17">
        <f>+'KU_Summary - Reserve - P2 (REG)'!Q27</f>
        <v>0</v>
      </c>
      <c r="R27" s="26"/>
      <c r="S27" s="17">
        <f>+'KU_Summary - Reserve - P2 (REG)'!S27</f>
        <v>0</v>
      </c>
      <c r="T27" s="26"/>
      <c r="U27" s="26">
        <f t="shared" si="1"/>
        <v>264266.51999999996</v>
      </c>
      <c r="V27" s="26"/>
    </row>
    <row r="28" spans="1:22" x14ac:dyDescent="0.2">
      <c r="B28" s="3" t="s">
        <v>16</v>
      </c>
      <c r="C28" s="17">
        <f>+'KU_Summary - Reserve - P2 (REG)'!C28</f>
        <v>-5427980.8599999994</v>
      </c>
      <c r="D28" s="17"/>
      <c r="E28" s="17">
        <f>+'KU_Summary - Reserve - P2 (REG)'!E28</f>
        <v>-1434802.26</v>
      </c>
      <c r="F28" s="17"/>
      <c r="G28" s="17">
        <f>+'KU_Summary - Reserve - P2 (REG)'!G28</f>
        <v>0</v>
      </c>
      <c r="H28" s="17"/>
      <c r="I28" s="17">
        <f>+'KU_Summary - Reserve - P2 (REG)'!I28</f>
        <v>0</v>
      </c>
      <c r="J28" s="17"/>
      <c r="K28" s="17">
        <f>+'KU_Summary - Reserve - P2 (REG)'!K28</f>
        <v>0</v>
      </c>
      <c r="L28" s="17"/>
      <c r="M28" s="17">
        <f>+'KU_Summary - Reserve - P2 (REG)'!M28</f>
        <v>0</v>
      </c>
      <c r="N28" s="17"/>
      <c r="O28" s="17">
        <f>+'KU_Summary - Reserve - P2 (REG)'!O28</f>
        <v>245309.94</v>
      </c>
      <c r="P28" s="17"/>
      <c r="Q28" s="17">
        <f>+'KU_Summary - Reserve - P2 (REG)'!Q28</f>
        <v>0</v>
      </c>
      <c r="R28" s="26"/>
      <c r="S28" s="17">
        <f>+'KU_Summary - Reserve - P2 (REG)'!S28</f>
        <v>0</v>
      </c>
      <c r="T28" s="26"/>
      <c r="U28" s="26">
        <f t="shared" si="1"/>
        <v>-6617473.1799999997</v>
      </c>
      <c r="V28" s="26"/>
    </row>
    <row r="29" spans="1:22" x14ac:dyDescent="0.2">
      <c r="B29" s="3" t="s">
        <v>48</v>
      </c>
      <c r="C29" s="17">
        <v>0</v>
      </c>
      <c r="D29" s="17"/>
      <c r="E29" s="17">
        <v>0</v>
      </c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26"/>
      <c r="S29" s="17"/>
      <c r="T29" s="26"/>
      <c r="U29" s="26">
        <f t="shared" si="1"/>
        <v>0</v>
      </c>
      <c r="V29" s="26"/>
    </row>
    <row r="30" spans="1:22" x14ac:dyDescent="0.2">
      <c r="B30" s="3" t="s">
        <v>17</v>
      </c>
      <c r="C30" s="17">
        <f>+'KU_Summary - Reserve - P2 (REG)'!C29</f>
        <v>-170460250.25</v>
      </c>
      <c r="D30" s="17"/>
      <c r="E30" s="17">
        <f>+'KU_Summary - Reserve - P2 (REG)'!E29</f>
        <v>-8217769.4699999997</v>
      </c>
      <c r="F30" s="17"/>
      <c r="G30" s="17">
        <f>+'KU_Summary - Reserve - P2 (REG)'!G29</f>
        <v>0</v>
      </c>
      <c r="H30" s="17"/>
      <c r="I30" s="17">
        <f>+'KU_Summary - Reserve - P2 (REG)'!I29</f>
        <v>0</v>
      </c>
      <c r="J30" s="17"/>
      <c r="K30" s="17">
        <f>+'KU_Summary - Reserve - P2 (REG)'!K29</f>
        <v>0</v>
      </c>
      <c r="L30" s="17"/>
      <c r="M30" s="17">
        <f>+'KU_Summary - Reserve - P2 (REG)'!M29</f>
        <v>0</v>
      </c>
      <c r="N30" s="17"/>
      <c r="O30" s="17">
        <f>+'KU_Summary - Reserve - P2 (REG)'!O29</f>
        <v>4793895.3099999996</v>
      </c>
      <c r="P30" s="17"/>
      <c r="Q30" s="17">
        <f>+'KU_Summary - Reserve - P2 (REG)'!Q29</f>
        <v>0</v>
      </c>
      <c r="R30" s="26"/>
      <c r="S30" s="17">
        <f>+'KU_Summary - Reserve - P2 (REG)'!S29</f>
        <v>-16019.469999999998</v>
      </c>
      <c r="T30" s="26"/>
      <c r="U30" s="26">
        <f t="shared" si="1"/>
        <v>-173900143.88</v>
      </c>
      <c r="V30" s="26"/>
    </row>
    <row r="31" spans="1:22" x14ac:dyDescent="0.2">
      <c r="B31" s="3" t="s">
        <v>49</v>
      </c>
      <c r="C31" s="17">
        <v>0</v>
      </c>
      <c r="D31" s="17"/>
      <c r="E31" s="17">
        <v>0</v>
      </c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26"/>
      <c r="S31" s="17"/>
      <c r="T31" s="26"/>
      <c r="U31" s="26">
        <f t="shared" si="1"/>
        <v>0</v>
      </c>
      <c r="V31" s="26"/>
    </row>
    <row r="32" spans="1:22" x14ac:dyDescent="0.2">
      <c r="B32" s="3" t="s">
        <v>18</v>
      </c>
      <c r="C32" s="17">
        <f>+'KU_Summary - Reserve - P2 (REG)'!C30</f>
        <v>-129073842.04000001</v>
      </c>
      <c r="D32" s="17"/>
      <c r="E32" s="17">
        <f>+'KU_Summary - Reserve - P2 (REG)'!E30</f>
        <v>-4333812.09</v>
      </c>
      <c r="F32" s="17"/>
      <c r="G32" s="17">
        <f>+'KU_Summary - Reserve - P2 (REG)'!G30</f>
        <v>0</v>
      </c>
      <c r="H32" s="17"/>
      <c r="I32" s="17">
        <f>+'KU_Summary - Reserve - P2 (REG)'!I30</f>
        <v>-6209.42</v>
      </c>
      <c r="J32" s="17"/>
      <c r="K32" s="17">
        <f>+'KU_Summary - Reserve - P2 (REG)'!K30</f>
        <v>0</v>
      </c>
      <c r="L32" s="17"/>
      <c r="M32" s="17">
        <f>+'KU_Summary - Reserve - P2 (REG)'!M30</f>
        <v>0</v>
      </c>
      <c r="N32" s="17"/>
      <c r="O32" s="17">
        <f>+'KU_Summary - Reserve - P2 (REG)'!O30</f>
        <v>6679323.6600000001</v>
      </c>
      <c r="P32" s="17"/>
      <c r="Q32" s="17">
        <f>+'KU_Summary - Reserve - P2 (REG)'!Q30</f>
        <v>0</v>
      </c>
      <c r="R32" s="26"/>
      <c r="S32" s="17">
        <f>+'KU_Summary - Reserve - P2 (REG)'!S30</f>
        <v>-239764.79</v>
      </c>
      <c r="T32" s="26"/>
      <c r="U32" s="26">
        <f t="shared" si="1"/>
        <v>-126974304.68000001</v>
      </c>
      <c r="V32" s="26"/>
    </row>
    <row r="33" spans="1:22" x14ac:dyDescent="0.2">
      <c r="B33" s="43" t="s">
        <v>50</v>
      </c>
      <c r="C33" s="17">
        <f>+'KU_Summary - Reserve - P2 (REG)'!C31</f>
        <v>0</v>
      </c>
      <c r="D33" s="17"/>
      <c r="E33" s="17">
        <v>0</v>
      </c>
      <c r="F33" s="17"/>
      <c r="G33" s="17">
        <f>+'KU_Summary - Reserve - P2 (REG)'!G31</f>
        <v>0</v>
      </c>
      <c r="H33" s="17"/>
      <c r="I33" s="17">
        <f>+'KU_Summary - Reserve - P2 (REG)'!I31</f>
        <v>0</v>
      </c>
      <c r="J33" s="17"/>
      <c r="K33" s="17">
        <f>+'KU_Summary - Reserve - P2 (REG)'!K31</f>
        <v>0</v>
      </c>
      <c r="L33" s="17"/>
      <c r="M33" s="17">
        <f>+'KU_Summary - Reserve - P2 (REG)'!M31</f>
        <v>0</v>
      </c>
      <c r="N33" s="17"/>
      <c r="O33" s="17">
        <f>+'KU_Summary - Reserve - P2 (REG)'!O31</f>
        <v>0</v>
      </c>
      <c r="P33" s="17"/>
      <c r="Q33" s="17">
        <f>+'KU_Summary - Reserve - P2 (REG)'!Q31</f>
        <v>0</v>
      </c>
      <c r="R33" s="26"/>
      <c r="S33" s="17">
        <f>+'KU_Summary - Reserve - P2 (REG)'!S31</f>
        <v>0</v>
      </c>
      <c r="T33" s="26"/>
      <c r="U33" s="26">
        <f>S33+Q33+O33+M33+I33+G33+E33+C33</f>
        <v>0</v>
      </c>
      <c r="V33" s="26"/>
    </row>
    <row r="34" spans="1:22" x14ac:dyDescent="0.2">
      <c r="B34" s="3" t="s">
        <v>29</v>
      </c>
      <c r="C34" s="16">
        <f>+'KU_Summary - Reserve - P2 (REG)'!C31</f>
        <v>0</v>
      </c>
      <c r="D34" s="17"/>
      <c r="E34" s="16">
        <f>+'KU_Summary - Reserve - P2 (REG)'!E31</f>
        <v>0</v>
      </c>
      <c r="F34" s="17"/>
      <c r="G34" s="16">
        <f>+'KU_Summary - Reserve - P2 (REG)'!G31</f>
        <v>0</v>
      </c>
      <c r="H34" s="17"/>
      <c r="I34" s="16">
        <f>+'KU_Summary - Reserve - P2 (REG)'!I31</f>
        <v>0</v>
      </c>
      <c r="J34" s="17"/>
      <c r="K34" s="16">
        <f>+'KU_Summary - Reserve - P2 (REG)'!K31</f>
        <v>0</v>
      </c>
      <c r="L34" s="17"/>
      <c r="M34" s="16">
        <f>+'KU_Summary - Reserve - P2 (REG)'!M31</f>
        <v>0</v>
      </c>
      <c r="N34" s="17"/>
      <c r="O34" s="16">
        <f>+'KU_Summary - Reserve - P2 (REG)'!O31</f>
        <v>0</v>
      </c>
      <c r="P34" s="17"/>
      <c r="Q34" s="16">
        <f>+'KU_Summary - Reserve - P2 (REG)'!Q31</f>
        <v>0</v>
      </c>
      <c r="R34" s="26"/>
      <c r="S34" s="16">
        <f>+'KU_Summary - Reserve - P2 (REG)'!S31</f>
        <v>0</v>
      </c>
      <c r="T34" s="26"/>
      <c r="U34" s="27">
        <f t="shared" si="1"/>
        <v>0</v>
      </c>
      <c r="V34" s="26"/>
    </row>
    <row r="35" spans="1:22" x14ac:dyDescent="0.2">
      <c r="B35" s="20"/>
      <c r="C35" s="17">
        <f>SUM(C25:C34)</f>
        <v>-522564612.19999999</v>
      </c>
      <c r="D35" s="17"/>
      <c r="E35" s="17">
        <f>SUM(E25:E34)</f>
        <v>-24991045.390000001</v>
      </c>
      <c r="F35" s="17"/>
      <c r="G35" s="17">
        <f>SUM(G25:G34)</f>
        <v>0</v>
      </c>
      <c r="H35" s="17"/>
      <c r="I35" s="17">
        <f>SUM(I25:I34)</f>
        <v>0</v>
      </c>
      <c r="J35" s="17"/>
      <c r="K35" s="17">
        <f>SUM(K25:K34)</f>
        <v>0</v>
      </c>
      <c r="L35" s="17"/>
      <c r="M35" s="17">
        <f>SUM(M25:M34)</f>
        <v>0</v>
      </c>
      <c r="N35" s="17"/>
      <c r="O35" s="17">
        <f>SUM(O25:O34)</f>
        <v>17893169.34</v>
      </c>
      <c r="P35" s="17"/>
      <c r="Q35" s="17">
        <f>SUM(Q25:Q34)</f>
        <v>0</v>
      </c>
      <c r="R35" s="26"/>
      <c r="S35" s="17">
        <f>SUM(S25:S34)</f>
        <v>-697001.66</v>
      </c>
      <c r="T35" s="26"/>
      <c r="U35" s="17">
        <f>SUM(U25:U34)</f>
        <v>-530359489.91000003</v>
      </c>
      <c r="V35" s="17"/>
    </row>
    <row r="36" spans="1:22" x14ac:dyDescent="0.2"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</row>
    <row r="37" spans="1:22" x14ac:dyDescent="0.2">
      <c r="A37" s="12" t="s">
        <v>52</v>
      </c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</row>
    <row r="38" spans="1:22" x14ac:dyDescent="0.2">
      <c r="B38" s="3" t="s">
        <v>12</v>
      </c>
      <c r="C38" s="17">
        <f>+'KU_Summary - Reserve - P2 (REG)'!C35</f>
        <v>51073277.120000012</v>
      </c>
      <c r="D38" s="17"/>
      <c r="E38" s="17">
        <f>+'KU_Summary - Reserve - P2 (REG)'!E35</f>
        <v>1064753.06</v>
      </c>
      <c r="F38" s="17"/>
      <c r="G38" s="17">
        <f>+'KU_Summary - Reserve - P2 (REG)'!G35</f>
        <v>0</v>
      </c>
      <c r="H38" s="17"/>
      <c r="I38" s="17">
        <f>+'KU_Summary - Reserve - P2 (REG)'!I35</f>
        <v>0</v>
      </c>
      <c r="J38" s="17"/>
      <c r="K38" s="17">
        <f>+'KU_Summary - Reserve - P2 (REG)'!K35</f>
        <v>0</v>
      </c>
      <c r="L38" s="17"/>
      <c r="M38" s="17">
        <f>+'KU_Summary - Reserve - P2 (REG)'!M35</f>
        <v>0</v>
      </c>
      <c r="N38" s="17"/>
      <c r="O38" s="17">
        <f>+'KU_Summary - Reserve - P2 (REG)'!O35</f>
        <v>0</v>
      </c>
      <c r="P38" s="17"/>
      <c r="Q38" s="17">
        <f>+'KU_Summary - Reserve - P2 (REG)'!Q35</f>
        <v>-258107.78</v>
      </c>
      <c r="R38" s="26"/>
      <c r="S38" s="17">
        <f>+'KU_Summary - Reserve - P2 (REG)'!S35</f>
        <v>0</v>
      </c>
      <c r="T38" s="26"/>
      <c r="U38" s="26">
        <f t="shared" ref="U38:U44" si="2">S38+Q38+O38+M38+I38+G38+E38+C38</f>
        <v>51879922.400000013</v>
      </c>
      <c r="V38" s="26"/>
    </row>
    <row r="39" spans="1:22" x14ac:dyDescent="0.2">
      <c r="B39" s="3" t="s">
        <v>13</v>
      </c>
      <c r="C39" s="17">
        <f>+'KU_Summary - Reserve - P2 (REG)'!C36</f>
        <v>50823.630000000019</v>
      </c>
      <c r="D39" s="17"/>
      <c r="E39" s="17">
        <f>+'KU_Summary - Reserve - P2 (REG)'!E36</f>
        <v>0</v>
      </c>
      <c r="F39" s="17"/>
      <c r="G39" s="17">
        <f>+'KU_Summary - Reserve - P2 (REG)'!G36</f>
        <v>0</v>
      </c>
      <c r="H39" s="17"/>
      <c r="I39" s="17">
        <f>+'KU_Summary - Reserve - P2 (REG)'!I36</f>
        <v>5187.5200000000004</v>
      </c>
      <c r="J39" s="17"/>
      <c r="K39" s="17">
        <f>+'KU_Summary - Reserve - P2 (REG)'!K36</f>
        <v>0</v>
      </c>
      <c r="L39" s="17"/>
      <c r="M39" s="17">
        <f>+'KU_Summary - Reserve - P2 (REG)'!M36</f>
        <v>0</v>
      </c>
      <c r="N39" s="17"/>
      <c r="O39" s="17">
        <f>+'KU_Summary - Reserve - P2 (REG)'!O36</f>
        <v>0</v>
      </c>
      <c r="P39" s="17"/>
      <c r="Q39" s="17">
        <f>+'KU_Summary - Reserve - P2 (REG)'!Q36</f>
        <v>-154.38999999999942</v>
      </c>
      <c r="R39" s="26"/>
      <c r="S39" s="17">
        <f>+'KU_Summary - Reserve - P2 (REG)'!S36</f>
        <v>0</v>
      </c>
      <c r="T39" s="26"/>
      <c r="U39" s="26">
        <f>S39+Q39+O39+M39+I39+G39+E39+C39</f>
        <v>55856.760000000024</v>
      </c>
      <c r="V39" s="26"/>
    </row>
    <row r="40" spans="1:22" x14ac:dyDescent="0.2">
      <c r="B40" s="3" t="s">
        <v>14</v>
      </c>
      <c r="C40" s="17">
        <f>+'KU_Summary - Reserve - P2 (REG)'!C37</f>
        <v>62509.850000000006</v>
      </c>
      <c r="D40" s="17"/>
      <c r="E40" s="17">
        <f>+'KU_Summary - Reserve - P2 (REG)'!E37</f>
        <v>5619.28</v>
      </c>
      <c r="F40" s="17"/>
      <c r="G40" s="17">
        <f>+'KU_Summary - Reserve - P2 (REG)'!G37</f>
        <v>0</v>
      </c>
      <c r="H40" s="17"/>
      <c r="I40" s="17">
        <f>+'KU_Summary - Reserve - P2 (REG)'!I37</f>
        <v>0</v>
      </c>
      <c r="J40" s="17"/>
      <c r="K40" s="17">
        <f>+'KU_Summary - Reserve - P2 (REG)'!K37</f>
        <v>0</v>
      </c>
      <c r="L40" s="17"/>
      <c r="M40" s="17">
        <f>+'KU_Summary - Reserve - P2 (REG)'!M37</f>
        <v>0</v>
      </c>
      <c r="N40" s="17"/>
      <c r="O40" s="17">
        <f>+'KU_Summary - Reserve - P2 (REG)'!O37</f>
        <v>0</v>
      </c>
      <c r="P40" s="17"/>
      <c r="Q40" s="17">
        <f>+'KU_Summary - Reserve - P2 (REG)'!Q37</f>
        <v>0</v>
      </c>
      <c r="R40" s="26"/>
      <c r="S40" s="17">
        <f>+'KU_Summary - Reserve - P2 (REG)'!S37</f>
        <v>0</v>
      </c>
      <c r="T40" s="26"/>
      <c r="U40" s="26">
        <f t="shared" si="2"/>
        <v>68129.13</v>
      </c>
      <c r="V40" s="26"/>
    </row>
    <row r="41" spans="1:22" x14ac:dyDescent="0.2">
      <c r="B41" s="3" t="s">
        <v>16</v>
      </c>
      <c r="C41" s="17">
        <f>+'KU_Summary - Reserve - P2 (REG)'!C38</f>
        <v>1176591.51</v>
      </c>
      <c r="D41" s="17"/>
      <c r="E41" s="17">
        <f>+'KU_Summary - Reserve - P2 (REG)'!E38</f>
        <v>280526.87</v>
      </c>
      <c r="F41" s="17"/>
      <c r="G41" s="17">
        <f>+'KU_Summary - Reserve - P2 (REG)'!G38</f>
        <v>0</v>
      </c>
      <c r="H41" s="17"/>
      <c r="I41" s="17">
        <f>+'KU_Summary - Reserve - P2 (REG)'!I38</f>
        <v>0</v>
      </c>
      <c r="J41" s="17"/>
      <c r="K41" s="17">
        <f>+'KU_Summary - Reserve - P2 (REG)'!K38</f>
        <v>0</v>
      </c>
      <c r="L41" s="17"/>
      <c r="M41" s="17">
        <f>+'KU_Summary - Reserve - P2 (REG)'!M38</f>
        <v>0</v>
      </c>
      <c r="N41" s="17"/>
      <c r="O41" s="17">
        <f>+'KU_Summary - Reserve - P2 (REG)'!O38</f>
        <v>0</v>
      </c>
      <c r="P41" s="17"/>
      <c r="Q41" s="17">
        <f>+'KU_Summary - Reserve - P2 (REG)'!Q38</f>
        <v>0</v>
      </c>
      <c r="R41" s="26"/>
      <c r="S41" s="17">
        <f>+'KU_Summary - Reserve - P2 (REG)'!S38</f>
        <v>0</v>
      </c>
      <c r="T41" s="26"/>
      <c r="U41" s="26">
        <f t="shared" si="2"/>
        <v>1457118.38</v>
      </c>
      <c r="V41" s="26"/>
    </row>
    <row r="42" spans="1:22" x14ac:dyDescent="0.2">
      <c r="B42" s="3" t="s">
        <v>17</v>
      </c>
      <c r="C42" s="17">
        <f>+'KU_Summary - Reserve - P2 (REG)'!C39</f>
        <v>30648678.270000007</v>
      </c>
      <c r="D42" s="17"/>
      <c r="E42" s="17">
        <f>+'KU_Summary - Reserve - P2 (REG)'!E39</f>
        <v>2057611.76</v>
      </c>
      <c r="F42" s="17"/>
      <c r="G42" s="17">
        <f>+'KU_Summary - Reserve - P2 (REG)'!G39</f>
        <v>0</v>
      </c>
      <c r="H42" s="17"/>
      <c r="I42" s="17">
        <f>+'KU_Summary - Reserve - P2 (REG)'!I39</f>
        <v>0</v>
      </c>
      <c r="J42" s="17"/>
      <c r="K42" s="17">
        <f>+'KU_Summary - Reserve - P2 (REG)'!K39</f>
        <v>0</v>
      </c>
      <c r="L42" s="17"/>
      <c r="M42" s="17">
        <f>+'KU_Summary - Reserve - P2 (REG)'!M39</f>
        <v>0</v>
      </c>
      <c r="N42" s="17"/>
      <c r="O42" s="17">
        <f>+'KU_Summary - Reserve - P2 (REG)'!O39</f>
        <v>0</v>
      </c>
      <c r="P42" s="17"/>
      <c r="Q42" s="17">
        <f>+'KU_Summary - Reserve - P2 (REG)'!Q39</f>
        <v>-184614.87</v>
      </c>
      <c r="R42" s="26"/>
      <c r="S42" s="17">
        <f>+'KU_Summary - Reserve - P2 (REG)'!S39</f>
        <v>0</v>
      </c>
      <c r="T42" s="26"/>
      <c r="U42" s="26">
        <f t="shared" si="2"/>
        <v>32521675.160000008</v>
      </c>
      <c r="V42" s="26"/>
    </row>
    <row r="43" spans="1:22" x14ac:dyDescent="0.2">
      <c r="B43" s="3" t="s">
        <v>18</v>
      </c>
      <c r="C43" s="17">
        <f>+'KU_Summary - Reserve - P2 (REG)'!C40</f>
        <v>25109802.220000003</v>
      </c>
      <c r="D43" s="17"/>
      <c r="E43" s="17">
        <f>+'KU_Summary - Reserve - P2 (REG)'!E40</f>
        <v>484963.43</v>
      </c>
      <c r="F43" s="17"/>
      <c r="G43" s="17">
        <f>+'KU_Summary - Reserve - P2 (REG)'!G40</f>
        <v>0</v>
      </c>
      <c r="H43" s="17"/>
      <c r="I43" s="17">
        <f>+'KU_Summary - Reserve - P2 (REG)'!I40</f>
        <v>0</v>
      </c>
      <c r="J43" s="17"/>
      <c r="K43" s="17">
        <f>+'KU_Summary - Reserve - P2 (REG)'!K40</f>
        <v>0</v>
      </c>
      <c r="L43" s="17"/>
      <c r="M43" s="17">
        <f>+'KU_Summary - Reserve - P2 (REG)'!M40</f>
        <v>0</v>
      </c>
      <c r="N43" s="17"/>
      <c r="O43" s="17">
        <f>+'KU_Summary - Reserve - P2 (REG)'!O40</f>
        <v>0</v>
      </c>
      <c r="P43" s="17"/>
      <c r="Q43" s="17">
        <f>+'KU_Summary - Reserve - P2 (REG)'!Q40</f>
        <v>-1149916.93</v>
      </c>
      <c r="R43" s="26"/>
      <c r="S43" s="17">
        <f>+'KU_Summary - Reserve - P2 (REG)'!S40</f>
        <v>0</v>
      </c>
      <c r="T43" s="26"/>
      <c r="U43" s="26">
        <f t="shared" si="2"/>
        <v>24444848.720000003</v>
      </c>
      <c r="V43" s="26"/>
    </row>
    <row r="44" spans="1:22" x14ac:dyDescent="0.2">
      <c r="B44" s="3" t="s">
        <v>29</v>
      </c>
      <c r="C44" s="16">
        <f>+'KU_Summary - Reserve - P2 (REG)'!C41</f>
        <v>0</v>
      </c>
      <c r="D44" s="17"/>
      <c r="E44" s="16">
        <f>+'KU_Summary - Reserve - P2 (REG)'!E41</f>
        <v>0</v>
      </c>
      <c r="F44" s="17"/>
      <c r="G44" s="16">
        <f>+'KU_Summary - Reserve - P2 (REG)'!G41</f>
        <v>0</v>
      </c>
      <c r="H44" s="17"/>
      <c r="I44" s="16">
        <f>+'KU_Summary - Reserve - P2 (REG)'!I41</f>
        <v>0</v>
      </c>
      <c r="J44" s="17"/>
      <c r="K44" s="16">
        <f>+'KU_Summary - Reserve - P2 (REG)'!K41</f>
        <v>0</v>
      </c>
      <c r="L44" s="17"/>
      <c r="M44" s="16">
        <f>+'KU_Summary - Reserve - P2 (REG)'!M41</f>
        <v>0</v>
      </c>
      <c r="N44" s="17"/>
      <c r="O44" s="16">
        <f>+'KU_Summary - Reserve - P2 (REG)'!O41</f>
        <v>0</v>
      </c>
      <c r="P44" s="17"/>
      <c r="Q44" s="16">
        <f>+'KU_Summary - Reserve - P2 (REG)'!Q41</f>
        <v>0</v>
      </c>
      <c r="R44" s="26"/>
      <c r="S44" s="16">
        <f>+'KU_Summary - Reserve - P2 (REG)'!S41</f>
        <v>0</v>
      </c>
      <c r="T44" s="26"/>
      <c r="U44" s="27">
        <f t="shared" si="2"/>
        <v>0</v>
      </c>
      <c r="V44" s="26"/>
    </row>
    <row r="45" spans="1:22" x14ac:dyDescent="0.2">
      <c r="B45" s="20"/>
      <c r="C45" s="17">
        <f>SUM(C38:C44)</f>
        <v>108121682.60000002</v>
      </c>
      <c r="D45" s="17"/>
      <c r="E45" s="17">
        <f>SUM(E38:E44)</f>
        <v>3893474.4</v>
      </c>
      <c r="F45" s="17"/>
      <c r="G45" s="17">
        <f>SUM(G38:G44)</f>
        <v>0</v>
      </c>
      <c r="H45" s="17"/>
      <c r="I45" s="17">
        <f>SUM(I38:I44)</f>
        <v>5187.5200000000004</v>
      </c>
      <c r="J45" s="17"/>
      <c r="K45" s="17">
        <f>SUM(K38:K44)</f>
        <v>0</v>
      </c>
      <c r="L45" s="17"/>
      <c r="M45" s="17">
        <f>SUM(M38:M44)</f>
        <v>0</v>
      </c>
      <c r="N45" s="17"/>
      <c r="O45" s="17">
        <f>SUM(O38:O44)</f>
        <v>0</v>
      </c>
      <c r="P45" s="17"/>
      <c r="Q45" s="17">
        <f>SUM(Q38:Q44)</f>
        <v>-1592793.97</v>
      </c>
      <c r="R45" s="26"/>
      <c r="S45" s="17">
        <f>SUM(S38:S44)</f>
        <v>0</v>
      </c>
      <c r="T45" s="26"/>
      <c r="U45" s="17">
        <f>SUM(U38:U44)</f>
        <v>110427550.55000003</v>
      </c>
      <c r="V45" s="17"/>
    </row>
    <row r="46" spans="1:22" x14ac:dyDescent="0.2"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</row>
    <row r="47" spans="1:22" x14ac:dyDescent="0.2">
      <c r="A47" s="12" t="s">
        <v>53</v>
      </c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</row>
    <row r="48" spans="1:22" x14ac:dyDescent="0.2">
      <c r="A48" s="12"/>
      <c r="B48" s="3" t="s">
        <v>12</v>
      </c>
      <c r="C48" s="19">
        <f>C10+C25+C38</f>
        <v>-643434326.60000002</v>
      </c>
      <c r="D48" s="19"/>
      <c r="E48" s="19">
        <f>E10+E25+E38</f>
        <v>-44352678.669999994</v>
      </c>
      <c r="F48" s="19"/>
      <c r="G48" s="19">
        <f>G10+G25+G38</f>
        <v>20418467.84</v>
      </c>
      <c r="H48" s="19"/>
      <c r="I48" s="19">
        <f>I10+I25+I38</f>
        <v>-2184.17</v>
      </c>
      <c r="J48" s="19"/>
      <c r="K48" s="19">
        <f>K10+K25+K38</f>
        <v>0</v>
      </c>
      <c r="L48" s="19"/>
      <c r="M48" s="19">
        <f>M10+M25+M38</f>
        <v>0</v>
      </c>
      <c r="N48" s="19"/>
      <c r="O48" s="19">
        <f>O10+O25+O38</f>
        <v>5916172.9699999997</v>
      </c>
      <c r="P48" s="19"/>
      <c r="Q48" s="19">
        <f>Q10+Q25+Q38</f>
        <v>-258107.78</v>
      </c>
      <c r="R48" s="19"/>
      <c r="S48" s="19">
        <f>S10+S25+S38</f>
        <v>-441217.4</v>
      </c>
      <c r="T48" s="19"/>
      <c r="U48" s="26">
        <f>SUM(C48:T48)</f>
        <v>-662153873.80999982</v>
      </c>
      <c r="V48" s="19"/>
    </row>
    <row r="49" spans="1:22" x14ac:dyDescent="0.2">
      <c r="A49" s="12"/>
      <c r="B49" s="3" t="s">
        <v>46</v>
      </c>
      <c r="C49" s="19">
        <f>C11</f>
        <v>-103531.49999999996</v>
      </c>
      <c r="D49" s="19"/>
      <c r="E49" s="19">
        <f>E11</f>
        <v>-23764.83</v>
      </c>
      <c r="F49" s="19"/>
      <c r="G49" s="19">
        <f>G11</f>
        <v>2798.53</v>
      </c>
      <c r="H49" s="19"/>
      <c r="I49" s="19">
        <f>I11</f>
        <v>0</v>
      </c>
      <c r="J49" s="19"/>
      <c r="K49" s="19">
        <f>K11</f>
        <v>0</v>
      </c>
      <c r="L49" s="19"/>
      <c r="M49" s="19">
        <f>M11</f>
        <v>0</v>
      </c>
      <c r="N49" s="19"/>
      <c r="O49" s="19">
        <f>O11</f>
        <v>0</v>
      </c>
      <c r="P49" s="19"/>
      <c r="Q49" s="19">
        <f>Q11</f>
        <v>0</v>
      </c>
      <c r="R49" s="19"/>
      <c r="S49" s="19">
        <f>S11</f>
        <v>0</v>
      </c>
      <c r="T49" s="19"/>
      <c r="U49" s="26">
        <f t="shared" ref="U49:U59" si="3">SUM(C49:T49)</f>
        <v>-124497.79999999996</v>
      </c>
      <c r="V49" s="19"/>
    </row>
    <row r="50" spans="1:22" x14ac:dyDescent="0.2">
      <c r="A50" s="12"/>
      <c r="B50" s="3" t="s">
        <v>13</v>
      </c>
      <c r="C50" s="19">
        <f>C12+C26+C39</f>
        <v>-60124860.120000005</v>
      </c>
      <c r="D50" s="19"/>
      <c r="E50" s="19">
        <f>E12+E26+E39</f>
        <v>-11807754.719999999</v>
      </c>
      <c r="F50" s="19"/>
      <c r="G50" s="19">
        <f>G12+G26+G39</f>
        <v>11527163.23</v>
      </c>
      <c r="H50" s="19"/>
      <c r="I50" s="19">
        <f>I12+I26+I39</f>
        <v>-413976.73</v>
      </c>
      <c r="J50" s="19"/>
      <c r="K50" s="19">
        <f>K12+K26+K39</f>
        <v>0</v>
      </c>
      <c r="L50" s="19"/>
      <c r="M50" s="19">
        <f>M12+M26+M39</f>
        <v>0</v>
      </c>
      <c r="N50" s="19"/>
      <c r="O50" s="19">
        <f>O12+O26+O39</f>
        <v>232604.72</v>
      </c>
      <c r="P50" s="19"/>
      <c r="Q50" s="19">
        <f>Q12+Q26+Q39</f>
        <v>-154.38999999999942</v>
      </c>
      <c r="R50" s="19"/>
      <c r="S50" s="19">
        <f>S12+S26+S39</f>
        <v>0</v>
      </c>
      <c r="T50" s="19"/>
      <c r="U50" s="26">
        <f t="shared" si="3"/>
        <v>-60586978.009999998</v>
      </c>
      <c r="V50" s="19"/>
    </row>
    <row r="51" spans="1:22" x14ac:dyDescent="0.2">
      <c r="A51" s="12"/>
      <c r="B51" s="3" t="s">
        <v>14</v>
      </c>
      <c r="C51" s="19">
        <f>C13+C27+C40</f>
        <v>-10699879.680000002</v>
      </c>
      <c r="D51" s="19"/>
      <c r="E51" s="19">
        <f>E13+E27+E40</f>
        <v>-1171043.1000000001</v>
      </c>
      <c r="F51" s="19"/>
      <c r="G51" s="19">
        <f>G13+G27+G40</f>
        <v>15195.8</v>
      </c>
      <c r="H51" s="19"/>
      <c r="I51" s="19">
        <f>I13+I27+I40</f>
        <v>0</v>
      </c>
      <c r="J51" s="19"/>
      <c r="K51" s="19">
        <f>K13+K27+K40</f>
        <v>0</v>
      </c>
      <c r="L51" s="19"/>
      <c r="M51" s="19">
        <f>M13+M27+M40</f>
        <v>0</v>
      </c>
      <c r="N51" s="19"/>
      <c r="O51" s="19">
        <f>O13+O27+O40</f>
        <v>25862.74</v>
      </c>
      <c r="P51" s="19"/>
      <c r="Q51" s="19">
        <f>Q13+Q27+Q40</f>
        <v>0</v>
      </c>
      <c r="R51" s="19"/>
      <c r="S51" s="19">
        <f>S13+S27+S40</f>
        <v>0</v>
      </c>
      <c r="T51" s="19"/>
      <c r="U51" s="26">
        <f t="shared" si="3"/>
        <v>-11829864.24</v>
      </c>
      <c r="V51" s="19"/>
    </row>
    <row r="52" spans="1:22" x14ac:dyDescent="0.2">
      <c r="A52" s="12"/>
      <c r="B52" s="3" t="s">
        <v>47</v>
      </c>
      <c r="C52" s="19">
        <f>C14</f>
        <v>-27454.46</v>
      </c>
      <c r="D52" s="19"/>
      <c r="E52" s="19">
        <f>E14</f>
        <v>-78729.67</v>
      </c>
      <c r="F52" s="19"/>
      <c r="G52" s="19">
        <f>G14</f>
        <v>86482.34</v>
      </c>
      <c r="H52" s="19"/>
      <c r="I52" s="19">
        <f>I14</f>
        <v>0</v>
      </c>
      <c r="J52" s="19"/>
      <c r="K52" s="19">
        <f>K14</f>
        <v>0</v>
      </c>
      <c r="L52" s="19"/>
      <c r="M52" s="19">
        <f>M14</f>
        <v>0</v>
      </c>
      <c r="N52" s="19"/>
      <c r="O52" s="19">
        <f>O14</f>
        <v>0</v>
      </c>
      <c r="P52" s="19"/>
      <c r="Q52" s="19">
        <f>Q14</f>
        <v>0</v>
      </c>
      <c r="R52" s="19"/>
      <c r="S52" s="19">
        <f>S14</f>
        <v>0</v>
      </c>
      <c r="T52" s="19"/>
      <c r="U52" s="26">
        <f t="shared" si="3"/>
        <v>-19701.790000000008</v>
      </c>
      <c r="V52" s="19"/>
    </row>
    <row r="53" spans="1:22" x14ac:dyDescent="0.2">
      <c r="A53" s="12"/>
      <c r="B53" s="3" t="s">
        <v>16</v>
      </c>
      <c r="C53" s="19">
        <f>C15+C28+C41</f>
        <v>-248685593.09000003</v>
      </c>
      <c r="D53" s="19"/>
      <c r="E53" s="19">
        <f>E15+E28+E41</f>
        <v>-34411796.620000005</v>
      </c>
      <c r="F53" s="19"/>
      <c r="G53" s="19">
        <f>G15+G28+G41</f>
        <v>844434.41</v>
      </c>
      <c r="H53" s="19"/>
      <c r="I53" s="19">
        <f>I15+I28+I41</f>
        <v>0</v>
      </c>
      <c r="J53" s="19"/>
      <c r="K53" s="19">
        <f>K15+K28+K41</f>
        <v>0</v>
      </c>
      <c r="L53" s="19"/>
      <c r="M53" s="19">
        <f>M15+M28+M41</f>
        <v>0</v>
      </c>
      <c r="N53" s="19"/>
      <c r="O53" s="19">
        <f>O15+O28+O41</f>
        <v>245309.94</v>
      </c>
      <c r="P53" s="19"/>
      <c r="Q53" s="19">
        <f>Q15+Q28+Q41</f>
        <v>0</v>
      </c>
      <c r="R53" s="19"/>
      <c r="S53" s="19">
        <f>S15+S28+S41</f>
        <v>0</v>
      </c>
      <c r="T53" s="19"/>
      <c r="U53" s="26">
        <f t="shared" si="3"/>
        <v>-282007645.36000001</v>
      </c>
      <c r="V53" s="19"/>
    </row>
    <row r="54" spans="1:22" x14ac:dyDescent="0.2">
      <c r="A54" s="12"/>
      <c r="B54" s="3" t="s">
        <v>48</v>
      </c>
      <c r="C54" s="19">
        <f>C16+C29</f>
        <v>-12147.939999999995</v>
      </c>
      <c r="D54" s="19"/>
      <c r="E54" s="19">
        <f>E16+E29</f>
        <v>-20825.04</v>
      </c>
      <c r="F54" s="19"/>
      <c r="G54" s="19">
        <f>G16+G29</f>
        <v>0</v>
      </c>
      <c r="H54" s="19"/>
      <c r="I54" s="19">
        <f>I16+I29</f>
        <v>0</v>
      </c>
      <c r="J54" s="19"/>
      <c r="K54" s="19">
        <f>K16+K29</f>
        <v>0</v>
      </c>
      <c r="L54" s="19"/>
      <c r="M54" s="19">
        <f>M16+M29</f>
        <v>0</v>
      </c>
      <c r="N54" s="19"/>
      <c r="O54" s="19">
        <f>O16+O29</f>
        <v>0</v>
      </c>
      <c r="P54" s="19"/>
      <c r="Q54" s="19">
        <f>Q16+Q29</f>
        <v>0</v>
      </c>
      <c r="R54" s="19"/>
      <c r="S54" s="19">
        <f>S16+S29</f>
        <v>0</v>
      </c>
      <c r="T54" s="19"/>
      <c r="U54" s="26">
        <f t="shared" si="3"/>
        <v>-32972.979999999996</v>
      </c>
      <c r="V54" s="19"/>
    </row>
    <row r="55" spans="1:22" x14ac:dyDescent="0.2">
      <c r="A55" s="12"/>
      <c r="B55" s="3" t="s">
        <v>17</v>
      </c>
      <c r="C55" s="19">
        <f>C17+C30+C42</f>
        <v>-1475084815.9000001</v>
      </c>
      <c r="D55" s="19"/>
      <c r="E55" s="19">
        <f>E17+E30+E42</f>
        <v>-116789035.11999999</v>
      </c>
      <c r="F55" s="19"/>
      <c r="G55" s="19">
        <f>G17+G30+G42</f>
        <v>12726290.15</v>
      </c>
      <c r="H55" s="19"/>
      <c r="I55" s="19">
        <f>I17+I30+I42</f>
        <v>0</v>
      </c>
      <c r="J55" s="19"/>
      <c r="K55" s="19">
        <f>K17+K30+K42</f>
        <v>0</v>
      </c>
      <c r="L55" s="19"/>
      <c r="M55" s="19">
        <f>M17+M30+M42</f>
        <v>0</v>
      </c>
      <c r="N55" s="19"/>
      <c r="O55" s="19">
        <f>O17+O30+O42</f>
        <v>4793895.3099999996</v>
      </c>
      <c r="P55" s="19"/>
      <c r="Q55" s="19">
        <f>Q17+Q30+Q42</f>
        <v>-184614.87</v>
      </c>
      <c r="R55" s="19"/>
      <c r="S55" s="19">
        <f>S17+S30+S42</f>
        <v>-16019.469999999998</v>
      </c>
      <c r="T55" s="19"/>
      <c r="U55" s="26">
        <f t="shared" si="3"/>
        <v>-1574554299.8999999</v>
      </c>
      <c r="V55" s="19"/>
    </row>
    <row r="56" spans="1:22" x14ac:dyDescent="0.2">
      <c r="A56" s="12"/>
      <c r="B56" s="3" t="s">
        <v>49</v>
      </c>
      <c r="C56" s="19">
        <f>C18+C31</f>
        <v>-54584155.829999998</v>
      </c>
      <c r="D56" s="19"/>
      <c r="E56" s="19">
        <f>E18+E31</f>
        <v>-40945454.460000001</v>
      </c>
      <c r="F56" s="19"/>
      <c r="G56" s="19">
        <f>G18+G31</f>
        <v>2172751.56</v>
      </c>
      <c r="H56" s="19"/>
      <c r="I56" s="19">
        <f>I18+I31</f>
        <v>0</v>
      </c>
      <c r="J56" s="19"/>
      <c r="K56" s="19">
        <f>K18+K31</f>
        <v>0</v>
      </c>
      <c r="L56" s="19"/>
      <c r="M56" s="19">
        <f>M18+M31</f>
        <v>0</v>
      </c>
      <c r="N56" s="19"/>
      <c r="O56" s="19">
        <f>O18+O31</f>
        <v>0</v>
      </c>
      <c r="P56" s="19"/>
      <c r="Q56" s="19">
        <f>Q18+Q31</f>
        <v>0</v>
      </c>
      <c r="R56" s="19"/>
      <c r="S56" s="19">
        <f>S18+S31</f>
        <v>0</v>
      </c>
      <c r="T56" s="19"/>
      <c r="U56" s="26">
        <f t="shared" si="3"/>
        <v>-93356858.729999989</v>
      </c>
      <c r="V56" s="19"/>
    </row>
    <row r="57" spans="1:22" x14ac:dyDescent="0.2">
      <c r="A57" s="12"/>
      <c r="B57" s="3" t="s">
        <v>18</v>
      </c>
      <c r="C57" s="19">
        <f>C19+C32+C43</f>
        <v>-339259583.62999994</v>
      </c>
      <c r="D57" s="19"/>
      <c r="E57" s="19">
        <f>E19+E32+E43</f>
        <v>-15391307.15</v>
      </c>
      <c r="F57" s="19"/>
      <c r="G57" s="19">
        <f>G19+G32+G43</f>
        <v>7302428.29</v>
      </c>
      <c r="H57" s="19"/>
      <c r="I57" s="19">
        <f>I19+I32+I43</f>
        <v>2184.17</v>
      </c>
      <c r="J57" s="19"/>
      <c r="K57" s="19">
        <f>K19+K32+K43</f>
        <v>0</v>
      </c>
      <c r="L57" s="19"/>
      <c r="M57" s="19">
        <f>M19+M32+M43</f>
        <v>0</v>
      </c>
      <c r="N57" s="19"/>
      <c r="O57" s="19">
        <f>O19+O32+O43</f>
        <v>6679323.6600000001</v>
      </c>
      <c r="P57" s="19"/>
      <c r="Q57" s="19">
        <f>Q19+Q32+Q43</f>
        <v>-1149916.93</v>
      </c>
      <c r="R57" s="19"/>
      <c r="S57" s="19">
        <f>S19+S32+S43</f>
        <v>-239764.79</v>
      </c>
      <c r="T57" s="19"/>
      <c r="U57" s="26">
        <f t="shared" si="3"/>
        <v>-342056636.37999988</v>
      </c>
      <c r="V57" s="19"/>
    </row>
    <row r="58" spans="1:22" x14ac:dyDescent="0.2">
      <c r="A58" s="12"/>
      <c r="B58" s="3" t="s">
        <v>50</v>
      </c>
      <c r="C58" s="19">
        <f>C20+C33</f>
        <v>-43701.109999999993</v>
      </c>
      <c r="D58" s="19"/>
      <c r="E58" s="19">
        <f>E20+E33</f>
        <v>-10003</v>
      </c>
      <c r="F58" s="19"/>
      <c r="G58" s="19">
        <f>G20+G33</f>
        <v>0</v>
      </c>
      <c r="H58" s="19"/>
      <c r="I58" s="19">
        <f>I20+I33</f>
        <v>0</v>
      </c>
      <c r="J58" s="19"/>
      <c r="K58" s="19">
        <f>K20+K33</f>
        <v>0</v>
      </c>
      <c r="L58" s="19"/>
      <c r="M58" s="19">
        <f>M20+M33</f>
        <v>0</v>
      </c>
      <c r="N58" s="19"/>
      <c r="O58" s="19">
        <f>O20+O33</f>
        <v>0</v>
      </c>
      <c r="P58" s="19"/>
      <c r="Q58" s="19">
        <f>Q20+Q33</f>
        <v>0</v>
      </c>
      <c r="R58" s="19"/>
      <c r="S58" s="19">
        <f>S20+S33</f>
        <v>0</v>
      </c>
      <c r="T58" s="19"/>
      <c r="U58" s="26">
        <f t="shared" si="3"/>
        <v>-53704.109999999993</v>
      </c>
      <c r="V58" s="19"/>
    </row>
    <row r="59" spans="1:22" x14ac:dyDescent="0.2">
      <c r="A59" s="12"/>
      <c r="B59" s="3" t="s">
        <v>29</v>
      </c>
      <c r="C59" s="27">
        <v>0</v>
      </c>
      <c r="D59" s="19"/>
      <c r="E59" s="27">
        <v>0</v>
      </c>
      <c r="F59" s="19"/>
      <c r="G59" s="27">
        <v>0</v>
      </c>
      <c r="H59" s="19"/>
      <c r="I59" s="27">
        <v>0</v>
      </c>
      <c r="J59" s="26"/>
      <c r="K59" s="27">
        <v>0</v>
      </c>
      <c r="L59" s="19"/>
      <c r="M59" s="27">
        <v>0</v>
      </c>
      <c r="N59" s="19"/>
      <c r="O59" s="27">
        <v>0</v>
      </c>
      <c r="P59" s="19"/>
      <c r="Q59" s="27">
        <v>0</v>
      </c>
      <c r="R59" s="19"/>
      <c r="S59" s="27">
        <v>0</v>
      </c>
      <c r="T59" s="19"/>
      <c r="U59" s="27">
        <f t="shared" si="3"/>
        <v>0</v>
      </c>
      <c r="V59" s="26"/>
    </row>
    <row r="60" spans="1:22" x14ac:dyDescent="0.2">
      <c r="B60" s="20"/>
      <c r="C60" s="26">
        <f>SUM(C48:C59)</f>
        <v>-2832060049.8600001</v>
      </c>
      <c r="D60" s="26"/>
      <c r="E60" s="26">
        <f>SUM(E48:E59)</f>
        <v>-265002392.38</v>
      </c>
      <c r="F60" s="26"/>
      <c r="G60" s="26">
        <f>SUM(G48:G59)</f>
        <v>55096012.150000006</v>
      </c>
      <c r="H60" s="26"/>
      <c r="I60" s="26">
        <f>SUM(I48:I59)</f>
        <v>-413976.73</v>
      </c>
      <c r="J60" s="26"/>
      <c r="K60" s="26">
        <f>SUM(K48:K59)</f>
        <v>0</v>
      </c>
      <c r="L60" s="26"/>
      <c r="M60" s="26">
        <f>SUM(M48:M59)</f>
        <v>0</v>
      </c>
      <c r="N60" s="26"/>
      <c r="O60" s="26">
        <f>SUM(O48:O59)</f>
        <v>17893169.34</v>
      </c>
      <c r="P60" s="26"/>
      <c r="Q60" s="26">
        <f>SUM(Q48:Q59)</f>
        <v>-1592793.97</v>
      </c>
      <c r="R60" s="26"/>
      <c r="S60" s="26">
        <f>SUM(S48:S59)</f>
        <v>-697001.66</v>
      </c>
      <c r="T60" s="26"/>
      <c r="U60" s="26">
        <f>SUM(U48:U59)</f>
        <v>-3026777033.1099992</v>
      </c>
      <c r="V60" s="26"/>
    </row>
    <row r="61" spans="1:22" x14ac:dyDescent="0.2"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</row>
    <row r="62" spans="1:22" ht="13.5" customHeight="1" x14ac:dyDescent="0.2">
      <c r="A62" s="12" t="s">
        <v>54</v>
      </c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</row>
    <row r="63" spans="1:22" x14ac:dyDescent="0.2">
      <c r="B63" s="3" t="s">
        <v>11</v>
      </c>
      <c r="C63" s="16">
        <f>+'KU_Summary - Reserve - P2 (REG)'!C60</f>
        <v>26635584.070000019</v>
      </c>
      <c r="D63" s="19"/>
      <c r="E63" s="16">
        <f>+'KU_Summary - Reserve - P2 (REG)'!E60</f>
        <v>0</v>
      </c>
      <c r="F63" s="19"/>
      <c r="G63" s="16">
        <f>+'KU_Summary - Reserve - P2 (REG)'!G60</f>
        <v>0</v>
      </c>
      <c r="H63" s="19"/>
      <c r="I63" s="16">
        <f>+'KU_Summary - Reserve - P2 (REG)'!I60</f>
        <v>16751.28</v>
      </c>
      <c r="J63" s="19"/>
      <c r="K63" s="16">
        <f>+'KU_Summary - Reserve - P2 (REG)'!K60</f>
        <v>-192519.02</v>
      </c>
      <c r="L63" s="19"/>
      <c r="M63" s="16">
        <f>+'KU_Summary - Reserve - P2 (REG)'!M60</f>
        <v>-15410854.689999999</v>
      </c>
      <c r="N63" s="19"/>
      <c r="O63" s="16">
        <f>+'KU_Summary - Reserve - P2 (REG)'!O60</f>
        <v>17191464.199999999</v>
      </c>
      <c r="P63" s="19"/>
      <c r="Q63" s="16">
        <f>+'KU_Summary - Reserve - P2 (REG)'!Q60</f>
        <v>-1582878.48</v>
      </c>
      <c r="R63" s="19"/>
      <c r="S63" s="16">
        <f>+'KU_Summary - Reserve - P2 (REG)'!S60</f>
        <v>-481302.58999999997</v>
      </c>
      <c r="T63" s="19"/>
      <c r="U63" s="19">
        <f>S63+Q63+O63+M63+I63+G63+E63+C63+K63</f>
        <v>26176244.770000018</v>
      </c>
      <c r="V63" s="19"/>
    </row>
    <row r="64" spans="1:22" x14ac:dyDescent="0.2">
      <c r="B64" s="20"/>
      <c r="C64" s="31">
        <f>SUM(C63:C63)</f>
        <v>26635584.070000019</v>
      </c>
      <c r="D64" s="19"/>
      <c r="E64" s="31">
        <f>SUM(E63:E63)</f>
        <v>0</v>
      </c>
      <c r="F64" s="19"/>
      <c r="G64" s="31">
        <f>SUM(G63:G63)</f>
        <v>0</v>
      </c>
      <c r="H64" s="19"/>
      <c r="I64" s="31">
        <f>SUM(I63:I63)</f>
        <v>16751.28</v>
      </c>
      <c r="J64" s="26"/>
      <c r="K64" s="31">
        <f>SUM(K63:K63)</f>
        <v>-192519.02</v>
      </c>
      <c r="L64" s="19"/>
      <c r="M64" s="31">
        <f>SUM(M63:M63)</f>
        <v>-15410854.689999999</v>
      </c>
      <c r="N64" s="19"/>
      <c r="O64" s="31">
        <f>SUM(O63:O63)</f>
        <v>17191464.199999999</v>
      </c>
      <c r="P64" s="19"/>
      <c r="Q64" s="31">
        <f>SUM(Q63:Q63)</f>
        <v>-1582878.48</v>
      </c>
      <c r="R64" s="19"/>
      <c r="S64" s="31">
        <f>SUM(S63:S63)</f>
        <v>-481302.58999999997</v>
      </c>
      <c r="T64" s="19"/>
      <c r="U64" s="31">
        <f>SUM(U63:U63)</f>
        <v>26176244.770000018</v>
      </c>
      <c r="V64" s="26"/>
    </row>
    <row r="65" spans="1:22" x14ac:dyDescent="0.2"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</row>
    <row r="66" spans="1:22" x14ac:dyDescent="0.2">
      <c r="B66" s="20" t="s">
        <v>55</v>
      </c>
      <c r="C66" s="27">
        <f>C60+C64</f>
        <v>-2805424465.79</v>
      </c>
      <c r="D66" s="19"/>
      <c r="E66" s="27">
        <f>E60+E64</f>
        <v>-265002392.38</v>
      </c>
      <c r="F66" s="19"/>
      <c r="G66" s="27">
        <f>G60+G64</f>
        <v>55096012.150000006</v>
      </c>
      <c r="H66" s="19"/>
      <c r="I66" s="27">
        <f>I60+I64</f>
        <v>-397225.44999999995</v>
      </c>
      <c r="J66" s="26"/>
      <c r="K66" s="27">
        <f>K60+K64</f>
        <v>-192519.02</v>
      </c>
      <c r="L66" s="19"/>
      <c r="M66" s="27">
        <f>M60+M64</f>
        <v>-15410854.689999999</v>
      </c>
      <c r="N66" s="19"/>
      <c r="O66" s="27">
        <f>O60+O64</f>
        <v>35084633.539999999</v>
      </c>
      <c r="P66" s="19"/>
      <c r="Q66" s="27">
        <f>Q60+Q64</f>
        <v>-3175672.45</v>
      </c>
      <c r="R66" s="19"/>
      <c r="S66" s="27">
        <f>S60+S64</f>
        <v>-1178304.25</v>
      </c>
      <c r="T66" s="19"/>
      <c r="U66" s="27">
        <f>U60+U64</f>
        <v>-3000600788.3399992</v>
      </c>
      <c r="V66" s="26"/>
    </row>
    <row r="67" spans="1:22" x14ac:dyDescent="0.2"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</row>
    <row r="68" spans="1:22" x14ac:dyDescent="0.2">
      <c r="A68" s="12" t="s">
        <v>56</v>
      </c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</row>
    <row r="69" spans="1:22" x14ac:dyDescent="0.2">
      <c r="B69" s="3" t="s">
        <v>11</v>
      </c>
      <c r="C69" s="16">
        <f>+'KU_Summary - Reserve - P2 (REG)'!C66</f>
        <v>-44427523.319999993</v>
      </c>
      <c r="D69" s="26"/>
      <c r="E69" s="16">
        <f>+'KU_Summary - Reserve - P2 (REG)'!E66</f>
        <v>-11964819.42</v>
      </c>
      <c r="F69" s="26"/>
      <c r="G69" s="16">
        <f>+'KU_Summary - Reserve - P2 (REG)'!G66</f>
        <v>5795318.9000000004</v>
      </c>
      <c r="H69" s="26"/>
      <c r="I69" s="16">
        <f>+'KU_Summary - Reserve - P2 (REG)'!I66</f>
        <v>0</v>
      </c>
      <c r="J69" s="26"/>
      <c r="K69" s="16">
        <f>+'KU_Summary - Reserve - P2 (REG)'!K66</f>
        <v>0</v>
      </c>
      <c r="L69" s="26"/>
      <c r="M69" s="16">
        <f>+'KU_Summary - Reserve - P2 (REG)'!M66</f>
        <v>0</v>
      </c>
      <c r="N69" s="26"/>
      <c r="O69" s="16">
        <f>+'KU_Summary - Reserve - P2 (REG)'!O66</f>
        <v>0</v>
      </c>
      <c r="P69" s="26"/>
      <c r="Q69" s="16">
        <f>+'KU_Summary - Reserve - P2 (REG)'!Q66</f>
        <v>0</v>
      </c>
      <c r="R69" s="26"/>
      <c r="S69" s="16">
        <f>+'KU_Summary - Reserve - P2 (REG)'!S66</f>
        <v>0</v>
      </c>
      <c r="T69" s="26"/>
      <c r="U69" s="27">
        <f>S69+Q69+O69+M69+I69+G69+E69+C69</f>
        <v>-50597023.839999989</v>
      </c>
      <c r="V69" s="26"/>
    </row>
    <row r="70" spans="1:22" x14ac:dyDescent="0.2">
      <c r="B70" s="20"/>
      <c r="C70" s="26">
        <f>SUM(C69:C69)</f>
        <v>-44427523.319999993</v>
      </c>
      <c r="D70" s="26"/>
      <c r="E70" s="26">
        <f>SUM(E69:E69)</f>
        <v>-11964819.42</v>
      </c>
      <c r="F70" s="26"/>
      <c r="G70" s="26">
        <f>SUM(G69:G69)</f>
        <v>5795318.9000000004</v>
      </c>
      <c r="H70" s="26"/>
      <c r="I70" s="26">
        <f>SUM(I69:I69)</f>
        <v>0</v>
      </c>
      <c r="J70" s="26"/>
      <c r="K70" s="26">
        <f>SUM(K69:K69)</f>
        <v>0</v>
      </c>
      <c r="L70" s="26"/>
      <c r="M70" s="26">
        <f>SUM(M69:M69)</f>
        <v>0</v>
      </c>
      <c r="N70" s="26"/>
      <c r="O70" s="26">
        <f>SUM(O69:O69)</f>
        <v>0</v>
      </c>
      <c r="P70" s="26"/>
      <c r="Q70" s="26">
        <f>SUM(Q69:Q69)</f>
        <v>0</v>
      </c>
      <c r="R70" s="26"/>
      <c r="S70" s="26">
        <f>SUM(S69:S69)</f>
        <v>0</v>
      </c>
      <c r="T70" s="26"/>
      <c r="U70" s="26">
        <f>SUM(U69:U69)</f>
        <v>-50597023.839999989</v>
      </c>
      <c r="V70" s="26"/>
    </row>
    <row r="71" spans="1:22" x14ac:dyDescent="0.2">
      <c r="B71" s="20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</row>
    <row r="72" spans="1:22" x14ac:dyDescent="0.2"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</row>
    <row r="73" spans="1:22" ht="13.5" thickBot="1" x14ac:dyDescent="0.25">
      <c r="B73" s="20" t="s">
        <v>57</v>
      </c>
      <c r="C73" s="33">
        <f>C66+C70</f>
        <v>-2849851989.1100001</v>
      </c>
      <c r="D73" s="19"/>
      <c r="E73" s="33">
        <f>E66+E70</f>
        <v>-276967211.80000001</v>
      </c>
      <c r="F73" s="19"/>
      <c r="G73" s="33">
        <f>G66+G70</f>
        <v>60891331.050000004</v>
      </c>
      <c r="H73" s="19"/>
      <c r="I73" s="33">
        <f>I66+I70</f>
        <v>-397225.44999999995</v>
      </c>
      <c r="J73" s="26"/>
      <c r="K73" s="33">
        <f>K66+K70</f>
        <v>-192519.02</v>
      </c>
      <c r="L73" s="19"/>
      <c r="M73" s="33">
        <f>M66+M70</f>
        <v>-15410854.689999999</v>
      </c>
      <c r="N73" s="19"/>
      <c r="O73" s="33">
        <f>O66+O70</f>
        <v>35084633.539999999</v>
      </c>
      <c r="P73" s="19"/>
      <c r="Q73" s="33">
        <f>Q66+Q70</f>
        <v>-3175672.45</v>
      </c>
      <c r="R73" s="19"/>
      <c r="S73" s="33">
        <f>S66+S70</f>
        <v>-1178304.25</v>
      </c>
      <c r="T73" s="19"/>
      <c r="U73" s="33">
        <f>U66+U70</f>
        <v>-3051197812.1799994</v>
      </c>
      <c r="V73" s="26"/>
    </row>
    <row r="74" spans="1:22" ht="13.5" thickTop="1" x14ac:dyDescent="0.2">
      <c r="B74" s="20"/>
      <c r="C74" s="26"/>
      <c r="D74" s="19"/>
      <c r="E74" s="26"/>
      <c r="F74" s="19"/>
      <c r="G74" s="26"/>
      <c r="H74" s="19"/>
      <c r="I74" s="26"/>
      <c r="J74" s="26"/>
      <c r="K74" s="26"/>
      <c r="L74" s="19"/>
      <c r="M74" s="26"/>
      <c r="N74" s="19"/>
      <c r="O74" s="26"/>
      <c r="P74" s="19"/>
      <c r="Q74" s="26"/>
      <c r="R74" s="19"/>
      <c r="S74" s="26"/>
      <c r="T74" s="19"/>
      <c r="U74" s="26"/>
      <c r="V74" s="26"/>
    </row>
    <row r="75" spans="1:22" x14ac:dyDescent="0.2"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</row>
    <row r="76" spans="1:22" x14ac:dyDescent="0.2">
      <c r="A76" s="12" t="s">
        <v>58</v>
      </c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</row>
    <row r="77" spans="1:22" ht="13.5" thickBot="1" x14ac:dyDescent="0.25">
      <c r="A77" s="12" t="s">
        <v>59</v>
      </c>
      <c r="C77" s="33">
        <f>'KU_Summary - Cost - P1 (REG)'!D73+'KU_Summary - Reserve - P2 (REG)'!C70</f>
        <v>6232156912.1229973</v>
      </c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33">
        <f>'KU_Summary - Cost - P1 (REG)'!N73+'KU_Summary - Reserve - P2 (REG)'!U70</f>
        <v>6215350113.7530003</v>
      </c>
      <c r="V77" s="26"/>
    </row>
    <row r="78" spans="1:22" ht="13.5" thickTop="1" x14ac:dyDescent="0.2"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</row>
    <row r="79" spans="1:22" x14ac:dyDescent="0.2"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</row>
    <row r="80" spans="1:22" x14ac:dyDescent="0.2"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</row>
    <row r="81" spans="3:22" x14ac:dyDescent="0.2"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</row>
    <row r="82" spans="3:22" x14ac:dyDescent="0.2"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</row>
    <row r="83" spans="3:22" x14ac:dyDescent="0.2"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</row>
    <row r="84" spans="3:22" x14ac:dyDescent="0.2"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</row>
    <row r="85" spans="3:22" x14ac:dyDescent="0.2"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</row>
    <row r="86" spans="3:22" x14ac:dyDescent="0.2"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</row>
    <row r="87" spans="3:22" x14ac:dyDescent="0.2"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</row>
    <row r="88" spans="3:22" x14ac:dyDescent="0.2"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</row>
    <row r="89" spans="3:22" x14ac:dyDescent="0.2"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</row>
    <row r="90" spans="3:22" x14ac:dyDescent="0.2"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</row>
    <row r="91" spans="3:22" x14ac:dyDescent="0.2"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</row>
    <row r="92" spans="3:22" x14ac:dyDescent="0.2"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</row>
    <row r="93" spans="3:22" x14ac:dyDescent="0.2"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</row>
    <row r="94" spans="3:22" x14ac:dyDescent="0.2"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</row>
    <row r="95" spans="3:22" x14ac:dyDescent="0.2"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</row>
    <row r="96" spans="3:22" x14ac:dyDescent="0.2"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</row>
    <row r="97" spans="3:22" x14ac:dyDescent="0.2"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</row>
    <row r="98" spans="3:22" x14ac:dyDescent="0.2"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</row>
    <row r="99" spans="3:22" x14ac:dyDescent="0.2"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</row>
    <row r="100" spans="3:22" x14ac:dyDescent="0.2"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</row>
    <row r="101" spans="3:22" x14ac:dyDescent="0.2"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</row>
    <row r="102" spans="3:22" x14ac:dyDescent="0.2"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</row>
    <row r="103" spans="3:22" x14ac:dyDescent="0.2"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</row>
    <row r="104" spans="3:22" x14ac:dyDescent="0.2"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</row>
    <row r="105" spans="3:22" x14ac:dyDescent="0.2"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</row>
    <row r="106" spans="3:22" x14ac:dyDescent="0.2"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</row>
    <row r="107" spans="3:22" x14ac:dyDescent="0.2"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</row>
    <row r="108" spans="3:22" x14ac:dyDescent="0.2"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</row>
    <row r="109" spans="3:22" x14ac:dyDescent="0.2"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</row>
    <row r="110" spans="3:22" x14ac:dyDescent="0.2"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</row>
    <row r="111" spans="3:22" x14ac:dyDescent="0.2"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</row>
    <row r="112" spans="3:22" x14ac:dyDescent="0.2"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</row>
    <row r="113" spans="3:22" x14ac:dyDescent="0.2"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</row>
    <row r="114" spans="3:22" x14ac:dyDescent="0.2"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</row>
    <row r="115" spans="3:22" x14ac:dyDescent="0.2"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</row>
    <row r="116" spans="3:22" x14ac:dyDescent="0.2"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</row>
    <row r="117" spans="3:22" x14ac:dyDescent="0.2"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</row>
    <row r="118" spans="3:22" x14ac:dyDescent="0.2"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</row>
    <row r="119" spans="3:22" x14ac:dyDescent="0.2"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</row>
    <row r="120" spans="3:22" x14ac:dyDescent="0.2"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</row>
    <row r="121" spans="3:22" x14ac:dyDescent="0.2"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</row>
    <row r="122" spans="3:22" x14ac:dyDescent="0.2"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</row>
    <row r="123" spans="3:22" x14ac:dyDescent="0.2"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</row>
    <row r="124" spans="3:22" x14ac:dyDescent="0.2"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</row>
    <row r="125" spans="3:22" x14ac:dyDescent="0.2"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</row>
    <row r="126" spans="3:22" x14ac:dyDescent="0.2"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</row>
    <row r="127" spans="3:22" x14ac:dyDescent="0.2"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</row>
    <row r="128" spans="3:22" x14ac:dyDescent="0.2"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</row>
    <row r="129" spans="3:22" x14ac:dyDescent="0.2"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</row>
    <row r="130" spans="3:22" x14ac:dyDescent="0.2"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</row>
    <row r="131" spans="3:22" x14ac:dyDescent="0.2"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</row>
    <row r="132" spans="3:22" x14ac:dyDescent="0.2"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</row>
    <row r="133" spans="3:22" x14ac:dyDescent="0.2"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</row>
    <row r="134" spans="3:22" x14ac:dyDescent="0.2"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</row>
    <row r="135" spans="3:22" x14ac:dyDescent="0.2"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</row>
    <row r="136" spans="3:22" x14ac:dyDescent="0.2"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</row>
    <row r="137" spans="3:22" x14ac:dyDescent="0.2"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</row>
    <row r="138" spans="3:22" x14ac:dyDescent="0.2"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</row>
    <row r="139" spans="3:22" x14ac:dyDescent="0.2"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</row>
    <row r="140" spans="3:22" x14ac:dyDescent="0.2"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</row>
    <row r="141" spans="3:22" x14ac:dyDescent="0.2"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</row>
    <row r="142" spans="3:22" x14ac:dyDescent="0.2"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</row>
    <row r="143" spans="3:22" x14ac:dyDescent="0.2"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</row>
    <row r="144" spans="3:22" x14ac:dyDescent="0.2"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</row>
    <row r="145" spans="3:22" x14ac:dyDescent="0.2"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</row>
    <row r="146" spans="3:22" x14ac:dyDescent="0.2"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</row>
    <row r="147" spans="3:22" x14ac:dyDescent="0.2"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</row>
    <row r="148" spans="3:22" x14ac:dyDescent="0.2"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</row>
    <row r="149" spans="3:22" x14ac:dyDescent="0.2"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</row>
    <row r="150" spans="3:22" x14ac:dyDescent="0.2"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</row>
    <row r="151" spans="3:22" x14ac:dyDescent="0.2"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</row>
    <row r="152" spans="3:22" x14ac:dyDescent="0.2"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</row>
    <row r="153" spans="3:22" x14ac:dyDescent="0.2"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</row>
    <row r="154" spans="3:22" x14ac:dyDescent="0.2"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</row>
    <row r="155" spans="3:22" x14ac:dyDescent="0.2"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</row>
    <row r="156" spans="3:22" x14ac:dyDescent="0.2"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</row>
    <row r="157" spans="3:22" x14ac:dyDescent="0.2"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</row>
    <row r="158" spans="3:22" x14ac:dyDescent="0.2"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</row>
    <row r="159" spans="3:22" x14ac:dyDescent="0.2"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</row>
    <row r="160" spans="3:22" x14ac:dyDescent="0.2"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</row>
    <row r="161" spans="3:22" x14ac:dyDescent="0.2"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</row>
    <row r="162" spans="3:22" x14ac:dyDescent="0.2"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</row>
    <row r="163" spans="3:22" x14ac:dyDescent="0.2"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</row>
    <row r="164" spans="3:22" x14ac:dyDescent="0.2"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</row>
    <row r="165" spans="3:22" x14ac:dyDescent="0.2"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</row>
    <row r="166" spans="3:22" x14ac:dyDescent="0.2"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</row>
    <row r="167" spans="3:22" x14ac:dyDescent="0.2"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</row>
    <row r="168" spans="3:22" x14ac:dyDescent="0.2"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</row>
    <row r="169" spans="3:22" x14ac:dyDescent="0.2"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</row>
    <row r="170" spans="3:22" x14ac:dyDescent="0.2"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</row>
    <row r="171" spans="3:22" x14ac:dyDescent="0.2"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</row>
    <row r="172" spans="3:22" x14ac:dyDescent="0.2"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34"/>
    </row>
    <row r="173" spans="3:22" x14ac:dyDescent="0.2"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4"/>
    </row>
    <row r="174" spans="3:22" x14ac:dyDescent="0.2"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U174" s="34"/>
      <c r="V174" s="34"/>
    </row>
    <row r="175" spans="3:22" x14ac:dyDescent="0.2"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</row>
    <row r="176" spans="3:22" x14ac:dyDescent="0.2"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</row>
    <row r="177" spans="3:22" x14ac:dyDescent="0.2"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4"/>
      <c r="S177" s="34"/>
      <c r="T177" s="34"/>
      <c r="U177" s="34"/>
      <c r="V177" s="34"/>
    </row>
    <row r="178" spans="3:22" x14ac:dyDescent="0.2"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  <c r="R178" s="34"/>
      <c r="S178" s="34"/>
      <c r="T178" s="34"/>
      <c r="U178" s="34"/>
      <c r="V178" s="34"/>
    </row>
    <row r="179" spans="3:22" x14ac:dyDescent="0.2"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</row>
    <row r="180" spans="3:22" x14ac:dyDescent="0.2"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  <c r="R180" s="34"/>
      <c r="S180" s="34"/>
      <c r="T180" s="34"/>
      <c r="U180" s="34"/>
      <c r="V180" s="34"/>
    </row>
    <row r="181" spans="3:22" x14ac:dyDescent="0.2"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  <c r="R181" s="34"/>
      <c r="S181" s="34"/>
      <c r="T181" s="34"/>
      <c r="U181" s="34"/>
      <c r="V181" s="34"/>
    </row>
    <row r="182" spans="3:22" x14ac:dyDescent="0.2"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  <c r="R182" s="34"/>
      <c r="S182" s="34"/>
      <c r="T182" s="34"/>
      <c r="U182" s="34"/>
      <c r="V182" s="34"/>
    </row>
    <row r="183" spans="3:22" x14ac:dyDescent="0.2"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  <c r="R183" s="34"/>
      <c r="S183" s="34"/>
      <c r="T183" s="34"/>
      <c r="U183" s="34"/>
      <c r="V183" s="34"/>
    </row>
    <row r="184" spans="3:22" x14ac:dyDescent="0.2"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  <c r="R184" s="34"/>
      <c r="S184" s="34"/>
      <c r="T184" s="34"/>
      <c r="U184" s="34"/>
      <c r="V184" s="34"/>
    </row>
    <row r="185" spans="3:22" x14ac:dyDescent="0.2"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  <c r="R185" s="34"/>
      <c r="S185" s="34"/>
      <c r="T185" s="34"/>
      <c r="U185" s="34"/>
      <c r="V185" s="34"/>
    </row>
    <row r="186" spans="3:22" x14ac:dyDescent="0.2"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34"/>
      <c r="S186" s="34"/>
      <c r="T186" s="34"/>
      <c r="U186" s="34"/>
      <c r="V186" s="34"/>
    </row>
    <row r="187" spans="3:22" x14ac:dyDescent="0.2"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  <c r="R187" s="34"/>
      <c r="S187" s="34"/>
      <c r="T187" s="34"/>
      <c r="U187" s="34"/>
      <c r="V187" s="34"/>
    </row>
    <row r="188" spans="3:22" x14ac:dyDescent="0.2"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  <c r="R188" s="34"/>
      <c r="S188" s="34"/>
      <c r="T188" s="34"/>
      <c r="U188" s="34"/>
      <c r="V188" s="34"/>
    </row>
    <row r="189" spans="3:22" x14ac:dyDescent="0.2"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  <c r="R189" s="34"/>
      <c r="S189" s="34"/>
      <c r="T189" s="34"/>
      <c r="U189" s="34"/>
      <c r="V189" s="34"/>
    </row>
    <row r="190" spans="3:22" x14ac:dyDescent="0.2"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  <c r="R190" s="34"/>
      <c r="S190" s="34"/>
      <c r="T190" s="34"/>
      <c r="U190" s="34"/>
      <c r="V190" s="34"/>
    </row>
    <row r="191" spans="3:22" x14ac:dyDescent="0.2"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  <c r="R191" s="34"/>
      <c r="S191" s="34"/>
      <c r="T191" s="34"/>
      <c r="U191" s="34"/>
      <c r="V191" s="34"/>
    </row>
    <row r="192" spans="3:22" x14ac:dyDescent="0.2"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  <c r="R192" s="34"/>
      <c r="S192" s="34"/>
      <c r="T192" s="34"/>
      <c r="U192" s="34"/>
      <c r="V192" s="34"/>
    </row>
    <row r="193" spans="3:22" x14ac:dyDescent="0.2"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  <c r="R193" s="34"/>
      <c r="S193" s="34"/>
      <c r="T193" s="34"/>
      <c r="U193" s="34"/>
      <c r="V193" s="34"/>
    </row>
    <row r="194" spans="3:22" x14ac:dyDescent="0.2"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  <c r="R194" s="34"/>
      <c r="S194" s="34"/>
      <c r="T194" s="34"/>
      <c r="U194" s="34"/>
      <c r="V194" s="34"/>
    </row>
    <row r="195" spans="3:22" x14ac:dyDescent="0.2"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  <c r="R195" s="34"/>
      <c r="S195" s="34"/>
      <c r="T195" s="34"/>
      <c r="U195" s="34"/>
      <c r="V195" s="34"/>
    </row>
    <row r="196" spans="3:22" x14ac:dyDescent="0.2"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  <c r="R196" s="34"/>
      <c r="S196" s="34"/>
      <c r="T196" s="34"/>
      <c r="U196" s="34"/>
      <c r="V196" s="34"/>
    </row>
    <row r="197" spans="3:22" x14ac:dyDescent="0.2"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  <c r="R197" s="34"/>
      <c r="S197" s="34"/>
      <c r="T197" s="34"/>
      <c r="U197" s="34"/>
      <c r="V197" s="34"/>
    </row>
    <row r="198" spans="3:22" x14ac:dyDescent="0.2"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  <c r="R198" s="34"/>
      <c r="S198" s="34"/>
      <c r="T198" s="34"/>
      <c r="U198" s="34"/>
      <c r="V198" s="34"/>
    </row>
    <row r="199" spans="3:22" x14ac:dyDescent="0.2"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  <c r="R199" s="34"/>
      <c r="S199" s="34"/>
      <c r="T199" s="34"/>
      <c r="U199" s="34"/>
      <c r="V199" s="34"/>
    </row>
    <row r="200" spans="3:22" x14ac:dyDescent="0.2"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4"/>
      <c r="R200" s="34"/>
      <c r="S200" s="34"/>
      <c r="T200" s="34"/>
      <c r="U200" s="34"/>
      <c r="V200" s="34"/>
    </row>
    <row r="201" spans="3:22" x14ac:dyDescent="0.2"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  <c r="R201" s="34"/>
      <c r="S201" s="34"/>
      <c r="T201" s="34"/>
      <c r="U201" s="34"/>
      <c r="V201" s="34"/>
    </row>
    <row r="202" spans="3:22" x14ac:dyDescent="0.2"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  <c r="R202" s="34"/>
      <c r="S202" s="34"/>
      <c r="T202" s="34"/>
      <c r="U202" s="34"/>
      <c r="V202" s="34"/>
    </row>
    <row r="203" spans="3:22" x14ac:dyDescent="0.2"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  <c r="R203" s="34"/>
      <c r="S203" s="34"/>
      <c r="T203" s="34"/>
      <c r="U203" s="34"/>
      <c r="V203" s="34"/>
    </row>
    <row r="204" spans="3:22" x14ac:dyDescent="0.2"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  <c r="R204" s="34"/>
      <c r="S204" s="34"/>
      <c r="T204" s="34"/>
      <c r="U204" s="34"/>
      <c r="V204" s="34"/>
    </row>
    <row r="205" spans="3:22" x14ac:dyDescent="0.2"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  <c r="R205" s="34"/>
      <c r="S205" s="34"/>
      <c r="T205" s="34"/>
      <c r="U205" s="34"/>
      <c r="V205" s="34"/>
    </row>
    <row r="206" spans="3:22" x14ac:dyDescent="0.2"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  <c r="R206" s="34"/>
      <c r="S206" s="34"/>
      <c r="T206" s="34"/>
      <c r="U206" s="34"/>
      <c r="V206" s="34"/>
    </row>
    <row r="207" spans="3:22" x14ac:dyDescent="0.2"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  <c r="R207" s="34"/>
      <c r="S207" s="34"/>
      <c r="T207" s="34"/>
      <c r="U207" s="34"/>
      <c r="V207" s="34"/>
    </row>
    <row r="208" spans="3:22" x14ac:dyDescent="0.2"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  <c r="R208" s="34"/>
      <c r="S208" s="34"/>
      <c r="T208" s="34"/>
      <c r="U208" s="34"/>
      <c r="V208" s="34"/>
    </row>
    <row r="209" spans="3:22" x14ac:dyDescent="0.2"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  <c r="R209" s="34"/>
      <c r="S209" s="34"/>
      <c r="T209" s="34"/>
      <c r="U209" s="34"/>
      <c r="V209" s="34"/>
    </row>
    <row r="210" spans="3:22" x14ac:dyDescent="0.2"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  <c r="R210" s="34"/>
      <c r="S210" s="34"/>
      <c r="T210" s="34"/>
      <c r="U210" s="34"/>
      <c r="V210" s="34"/>
    </row>
    <row r="211" spans="3:22" x14ac:dyDescent="0.2"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  <c r="R211" s="34"/>
      <c r="S211" s="34"/>
      <c r="T211" s="34"/>
      <c r="U211" s="34"/>
      <c r="V211" s="34"/>
    </row>
    <row r="212" spans="3:22" x14ac:dyDescent="0.2"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  <c r="R212" s="34"/>
      <c r="S212" s="34"/>
      <c r="T212" s="34"/>
      <c r="U212" s="34"/>
      <c r="V212" s="34"/>
    </row>
    <row r="213" spans="3:22" x14ac:dyDescent="0.2"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  <c r="R213" s="34"/>
      <c r="S213" s="34"/>
      <c r="T213" s="34"/>
      <c r="U213" s="34"/>
      <c r="V213" s="34"/>
    </row>
    <row r="214" spans="3:22" x14ac:dyDescent="0.2"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  <c r="R214" s="34"/>
      <c r="S214" s="34"/>
      <c r="T214" s="34"/>
      <c r="U214" s="34"/>
      <c r="V214" s="34"/>
    </row>
    <row r="215" spans="3:22" x14ac:dyDescent="0.2"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  <c r="R215" s="34"/>
      <c r="S215" s="34"/>
      <c r="T215" s="34"/>
      <c r="U215" s="34"/>
      <c r="V215" s="34"/>
    </row>
    <row r="216" spans="3:22" x14ac:dyDescent="0.2"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  <c r="R216" s="34"/>
      <c r="S216" s="34"/>
      <c r="T216" s="34"/>
      <c r="U216" s="34"/>
      <c r="V216" s="34"/>
    </row>
    <row r="217" spans="3:22" x14ac:dyDescent="0.2"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  <c r="R217" s="34"/>
      <c r="S217" s="34"/>
      <c r="T217" s="34"/>
      <c r="U217" s="34"/>
      <c r="V217" s="34"/>
    </row>
    <row r="218" spans="3:22" x14ac:dyDescent="0.2"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  <c r="R218" s="34"/>
      <c r="S218" s="34"/>
      <c r="T218" s="34"/>
      <c r="U218" s="34"/>
      <c r="V218" s="34"/>
    </row>
    <row r="219" spans="3:22" x14ac:dyDescent="0.2"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  <c r="R219" s="34"/>
      <c r="S219" s="34"/>
      <c r="T219" s="34"/>
      <c r="U219" s="34"/>
      <c r="V219" s="34"/>
    </row>
    <row r="220" spans="3:22" x14ac:dyDescent="0.2"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  <c r="R220" s="34"/>
      <c r="S220" s="34"/>
      <c r="T220" s="34"/>
      <c r="U220" s="34"/>
      <c r="V220" s="34"/>
    </row>
    <row r="221" spans="3:22" x14ac:dyDescent="0.2"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  <c r="R221" s="34"/>
      <c r="S221" s="34"/>
      <c r="T221" s="34"/>
      <c r="U221" s="34"/>
      <c r="V221" s="34"/>
    </row>
    <row r="222" spans="3:22" x14ac:dyDescent="0.2"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  <c r="R222" s="34"/>
      <c r="S222" s="34"/>
      <c r="T222" s="34"/>
      <c r="U222" s="34"/>
      <c r="V222" s="34"/>
    </row>
    <row r="223" spans="3:22" x14ac:dyDescent="0.2"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  <c r="R223" s="34"/>
      <c r="S223" s="34"/>
      <c r="T223" s="34"/>
      <c r="U223" s="34"/>
      <c r="V223" s="34"/>
    </row>
    <row r="224" spans="3:22" x14ac:dyDescent="0.2"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  <c r="R224" s="34"/>
      <c r="S224" s="34"/>
      <c r="T224" s="34"/>
      <c r="U224" s="34"/>
      <c r="V224" s="34"/>
    </row>
    <row r="225" spans="3:22" x14ac:dyDescent="0.2"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  <c r="R225" s="34"/>
      <c r="S225" s="34"/>
      <c r="T225" s="34"/>
      <c r="U225" s="34"/>
      <c r="V225" s="34"/>
    </row>
    <row r="226" spans="3:22" x14ac:dyDescent="0.2"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  <c r="R226" s="34"/>
      <c r="S226" s="34"/>
      <c r="T226" s="34"/>
      <c r="U226" s="34"/>
      <c r="V226" s="34"/>
    </row>
    <row r="227" spans="3:22" x14ac:dyDescent="0.2"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  <c r="R227" s="34"/>
      <c r="S227" s="34"/>
      <c r="T227" s="34"/>
      <c r="U227" s="34"/>
      <c r="V227" s="34"/>
    </row>
    <row r="228" spans="3:22" x14ac:dyDescent="0.2"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  <c r="R228" s="34"/>
      <c r="S228" s="34"/>
      <c r="T228" s="34"/>
      <c r="U228" s="34"/>
      <c r="V228" s="34"/>
    </row>
    <row r="229" spans="3:22" x14ac:dyDescent="0.2"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  <c r="R229" s="34"/>
      <c r="S229" s="34"/>
      <c r="T229" s="34"/>
      <c r="U229" s="34"/>
      <c r="V229" s="34"/>
    </row>
    <row r="230" spans="3:22" x14ac:dyDescent="0.2"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  <c r="R230" s="34"/>
      <c r="S230" s="34"/>
      <c r="T230" s="34"/>
      <c r="U230" s="34"/>
      <c r="V230" s="34"/>
    </row>
    <row r="231" spans="3:22" x14ac:dyDescent="0.2"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  <c r="R231" s="34"/>
      <c r="S231" s="34"/>
      <c r="T231" s="34"/>
      <c r="U231" s="34"/>
      <c r="V231" s="34"/>
    </row>
    <row r="232" spans="3:22" x14ac:dyDescent="0.2"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  <c r="R232" s="34"/>
      <c r="S232" s="34"/>
      <c r="T232" s="34"/>
      <c r="U232" s="34"/>
      <c r="V232" s="34"/>
    </row>
    <row r="233" spans="3:22" x14ac:dyDescent="0.2"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  <c r="R233" s="34"/>
      <c r="S233" s="34"/>
      <c r="T233" s="34"/>
      <c r="U233" s="34"/>
      <c r="V233" s="34"/>
    </row>
    <row r="234" spans="3:22" x14ac:dyDescent="0.2"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  <c r="R234" s="34"/>
      <c r="S234" s="34"/>
      <c r="T234" s="34"/>
      <c r="U234" s="34"/>
      <c r="V234" s="34"/>
    </row>
    <row r="235" spans="3:22" x14ac:dyDescent="0.2"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  <c r="R235" s="34"/>
      <c r="S235" s="34"/>
      <c r="T235" s="34"/>
      <c r="U235" s="34"/>
      <c r="V235" s="34"/>
    </row>
    <row r="236" spans="3:22" x14ac:dyDescent="0.2"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  <c r="R236" s="34"/>
      <c r="S236" s="34"/>
      <c r="T236" s="34"/>
      <c r="U236" s="34"/>
      <c r="V236" s="34"/>
    </row>
    <row r="237" spans="3:22" x14ac:dyDescent="0.2"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  <c r="R237" s="34"/>
      <c r="S237" s="34"/>
      <c r="T237" s="34"/>
      <c r="U237" s="34"/>
      <c r="V237" s="34"/>
    </row>
    <row r="238" spans="3:22" x14ac:dyDescent="0.2"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  <c r="R238" s="34"/>
      <c r="S238" s="34"/>
      <c r="T238" s="34"/>
      <c r="U238" s="34"/>
      <c r="V238" s="34"/>
    </row>
    <row r="239" spans="3:22" x14ac:dyDescent="0.2"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  <c r="R239" s="34"/>
      <c r="S239" s="34"/>
      <c r="T239" s="34"/>
      <c r="U239" s="34"/>
      <c r="V239" s="34"/>
    </row>
    <row r="240" spans="3:22" x14ac:dyDescent="0.2">
      <c r="C240" s="34"/>
      <c r="D240" s="34"/>
      <c r="E240" s="34"/>
      <c r="F240" s="34"/>
      <c r="G240" s="34"/>
      <c r="H240" s="34"/>
      <c r="I240" s="34"/>
      <c r="J240" s="34"/>
      <c r="K240" s="34"/>
      <c r="L240" s="34"/>
      <c r="M240" s="34"/>
      <c r="N240" s="34"/>
      <c r="O240" s="34"/>
      <c r="P240" s="34"/>
      <c r="Q240" s="34"/>
      <c r="R240" s="34"/>
      <c r="S240" s="34"/>
      <c r="T240" s="34"/>
      <c r="U240" s="34"/>
      <c r="V240" s="34"/>
    </row>
    <row r="241" spans="3:22" x14ac:dyDescent="0.2">
      <c r="C241" s="34"/>
      <c r="D241" s="34"/>
      <c r="E241" s="34"/>
      <c r="F241" s="34"/>
      <c r="G241" s="34"/>
      <c r="H241" s="34"/>
      <c r="I241" s="34"/>
      <c r="J241" s="34"/>
      <c r="K241" s="34"/>
      <c r="L241" s="34"/>
      <c r="M241" s="34"/>
      <c r="N241" s="34"/>
      <c r="O241" s="34"/>
      <c r="P241" s="34"/>
      <c r="Q241" s="34"/>
      <c r="R241" s="34"/>
      <c r="S241" s="34"/>
      <c r="T241" s="34"/>
      <c r="U241" s="34"/>
      <c r="V241" s="34"/>
    </row>
    <row r="242" spans="3:22" x14ac:dyDescent="0.2">
      <c r="C242" s="34"/>
      <c r="D242" s="34"/>
      <c r="E242" s="34"/>
      <c r="F242" s="34"/>
      <c r="G242" s="34"/>
      <c r="H242" s="34"/>
      <c r="I242" s="34"/>
      <c r="J242" s="34"/>
      <c r="K242" s="34"/>
      <c r="L242" s="34"/>
      <c r="M242" s="34"/>
      <c r="N242" s="34"/>
      <c r="O242" s="34"/>
      <c r="P242" s="34"/>
      <c r="Q242" s="34"/>
      <c r="R242" s="34"/>
      <c r="S242" s="34"/>
      <c r="T242" s="34"/>
      <c r="U242" s="34"/>
      <c r="V242" s="34"/>
    </row>
    <row r="243" spans="3:22" x14ac:dyDescent="0.2">
      <c r="C243" s="34"/>
      <c r="D243" s="34"/>
      <c r="E243" s="34"/>
      <c r="F243" s="34"/>
      <c r="G243" s="34"/>
      <c r="H243" s="34"/>
      <c r="I243" s="34"/>
      <c r="J243" s="34"/>
      <c r="K243" s="34"/>
      <c r="L243" s="34"/>
      <c r="M243" s="34"/>
      <c r="N243" s="34"/>
      <c r="O243" s="34"/>
      <c r="P243" s="34"/>
      <c r="Q243" s="34"/>
      <c r="R243" s="34"/>
      <c r="S243" s="34"/>
      <c r="T243" s="34"/>
      <c r="U243" s="34"/>
      <c r="V243" s="34"/>
    </row>
    <row r="244" spans="3:22" x14ac:dyDescent="0.2">
      <c r="C244" s="34"/>
      <c r="D244" s="34"/>
      <c r="E244" s="34"/>
      <c r="F244" s="34"/>
      <c r="G244" s="34"/>
      <c r="H244" s="34"/>
      <c r="I244" s="34"/>
      <c r="J244" s="34"/>
      <c r="K244" s="34"/>
      <c r="L244" s="34"/>
      <c r="M244" s="34"/>
      <c r="N244" s="34"/>
      <c r="O244" s="34"/>
      <c r="P244" s="34"/>
      <c r="Q244" s="34"/>
      <c r="R244" s="34"/>
      <c r="S244" s="34"/>
      <c r="T244" s="34"/>
      <c r="U244" s="34"/>
      <c r="V244" s="34"/>
    </row>
    <row r="245" spans="3:22" x14ac:dyDescent="0.2">
      <c r="C245" s="34"/>
      <c r="D245" s="34"/>
      <c r="E245" s="34"/>
      <c r="F245" s="34"/>
      <c r="G245" s="34"/>
      <c r="H245" s="34"/>
      <c r="I245" s="34"/>
      <c r="J245" s="34"/>
      <c r="K245" s="34"/>
      <c r="L245" s="34"/>
      <c r="M245" s="34"/>
      <c r="N245" s="34"/>
      <c r="O245" s="34"/>
      <c r="P245" s="34"/>
      <c r="Q245" s="34"/>
      <c r="R245" s="34"/>
      <c r="S245" s="34"/>
      <c r="T245" s="34"/>
      <c r="U245" s="34"/>
      <c r="V245" s="34"/>
    </row>
    <row r="246" spans="3:22" x14ac:dyDescent="0.2">
      <c r="C246" s="34"/>
      <c r="D246" s="34"/>
      <c r="E246" s="34"/>
      <c r="F246" s="34"/>
      <c r="G246" s="34"/>
      <c r="H246" s="34"/>
      <c r="I246" s="34"/>
      <c r="J246" s="34"/>
      <c r="K246" s="34"/>
      <c r="L246" s="34"/>
      <c r="M246" s="34"/>
      <c r="N246" s="34"/>
      <c r="O246" s="34"/>
      <c r="P246" s="34"/>
      <c r="Q246" s="34"/>
      <c r="R246" s="34"/>
      <c r="S246" s="34"/>
      <c r="T246" s="34"/>
      <c r="U246" s="34"/>
      <c r="V246" s="34"/>
    </row>
    <row r="247" spans="3:22" x14ac:dyDescent="0.2">
      <c r="C247" s="34"/>
      <c r="D247" s="34"/>
      <c r="E247" s="34"/>
      <c r="F247" s="34"/>
      <c r="G247" s="34"/>
      <c r="H247" s="34"/>
      <c r="I247" s="34"/>
      <c r="J247" s="34"/>
      <c r="K247" s="34"/>
      <c r="L247" s="34"/>
      <c r="M247" s="34"/>
      <c r="N247" s="34"/>
      <c r="O247" s="34"/>
      <c r="P247" s="34"/>
      <c r="Q247" s="34"/>
      <c r="R247" s="34"/>
      <c r="S247" s="34"/>
      <c r="T247" s="34"/>
      <c r="U247" s="34"/>
      <c r="V247" s="34"/>
    </row>
    <row r="248" spans="3:22" x14ac:dyDescent="0.2">
      <c r="C248" s="34"/>
      <c r="D248" s="34"/>
      <c r="E248" s="34"/>
      <c r="F248" s="34"/>
      <c r="G248" s="34"/>
      <c r="H248" s="34"/>
      <c r="I248" s="34"/>
      <c r="J248" s="34"/>
      <c r="K248" s="34"/>
      <c r="L248" s="34"/>
      <c r="M248" s="34"/>
      <c r="N248" s="34"/>
      <c r="O248" s="34"/>
      <c r="P248" s="34"/>
      <c r="Q248" s="34"/>
      <c r="R248" s="34"/>
      <c r="S248" s="34"/>
      <c r="T248" s="34"/>
      <c r="U248" s="34"/>
      <c r="V248" s="34"/>
    </row>
    <row r="249" spans="3:22" x14ac:dyDescent="0.2">
      <c r="C249" s="34"/>
      <c r="D249" s="34"/>
      <c r="E249" s="34"/>
      <c r="F249" s="34"/>
      <c r="G249" s="34"/>
      <c r="H249" s="34"/>
      <c r="I249" s="34"/>
      <c r="J249" s="34"/>
      <c r="K249" s="34"/>
      <c r="L249" s="34"/>
      <c r="M249" s="34"/>
      <c r="N249" s="34"/>
      <c r="O249" s="34"/>
      <c r="P249" s="34"/>
      <c r="Q249" s="34"/>
      <c r="R249" s="34"/>
      <c r="S249" s="34"/>
      <c r="T249" s="34"/>
      <c r="U249" s="34"/>
      <c r="V249" s="34"/>
    </row>
    <row r="250" spans="3:22" x14ac:dyDescent="0.2"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4"/>
      <c r="R250" s="34"/>
      <c r="S250" s="34"/>
      <c r="T250" s="34"/>
      <c r="U250" s="34"/>
      <c r="V250" s="34"/>
    </row>
    <row r="251" spans="3:22" x14ac:dyDescent="0.2">
      <c r="C251" s="34"/>
      <c r="D251" s="34"/>
      <c r="E251" s="34"/>
      <c r="F251" s="34"/>
      <c r="G251" s="34"/>
      <c r="H251" s="34"/>
      <c r="I251" s="34"/>
      <c r="J251" s="34"/>
      <c r="K251" s="34"/>
      <c r="L251" s="34"/>
      <c r="M251" s="34"/>
      <c r="N251" s="34"/>
      <c r="O251" s="34"/>
      <c r="P251" s="34"/>
      <c r="Q251" s="34"/>
      <c r="R251" s="34"/>
      <c r="S251" s="34"/>
      <c r="T251" s="34"/>
      <c r="U251" s="34"/>
      <c r="V251" s="34"/>
    </row>
    <row r="252" spans="3:22" x14ac:dyDescent="0.2">
      <c r="C252" s="34"/>
      <c r="D252" s="34"/>
      <c r="E252" s="34"/>
      <c r="F252" s="34"/>
      <c r="G252" s="34"/>
      <c r="H252" s="34"/>
      <c r="I252" s="34"/>
      <c r="J252" s="34"/>
      <c r="K252" s="34"/>
      <c r="L252" s="34"/>
      <c r="M252" s="34"/>
      <c r="N252" s="34"/>
      <c r="O252" s="34"/>
      <c r="P252" s="34"/>
      <c r="Q252" s="34"/>
      <c r="R252" s="34"/>
      <c r="S252" s="34"/>
      <c r="T252" s="34"/>
      <c r="U252" s="34"/>
      <c r="V252" s="34"/>
    </row>
    <row r="253" spans="3:22" x14ac:dyDescent="0.2"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4"/>
      <c r="R253" s="34"/>
      <c r="S253" s="34"/>
      <c r="T253" s="34"/>
      <c r="U253" s="34"/>
      <c r="V253" s="34"/>
    </row>
    <row r="254" spans="3:22" x14ac:dyDescent="0.2">
      <c r="C254" s="34"/>
      <c r="D254" s="34"/>
      <c r="E254" s="34"/>
      <c r="F254" s="34"/>
      <c r="G254" s="34"/>
      <c r="H254" s="34"/>
      <c r="I254" s="34"/>
      <c r="J254" s="34"/>
      <c r="K254" s="34"/>
      <c r="L254" s="34"/>
      <c r="M254" s="34"/>
      <c r="N254" s="34"/>
      <c r="O254" s="34"/>
      <c r="P254" s="34"/>
      <c r="Q254" s="34"/>
      <c r="R254" s="34"/>
      <c r="S254" s="34"/>
      <c r="T254" s="34"/>
      <c r="U254" s="34"/>
      <c r="V254" s="34"/>
    </row>
    <row r="255" spans="3:22" x14ac:dyDescent="0.2">
      <c r="C255" s="34"/>
      <c r="D255" s="34"/>
      <c r="E255" s="34"/>
      <c r="F255" s="34"/>
      <c r="G255" s="34"/>
      <c r="H255" s="34"/>
      <c r="I255" s="34"/>
      <c r="J255" s="34"/>
      <c r="K255" s="34"/>
      <c r="L255" s="34"/>
      <c r="M255" s="34"/>
      <c r="N255" s="34"/>
      <c r="O255" s="34"/>
      <c r="P255" s="34"/>
      <c r="Q255" s="34"/>
      <c r="R255" s="34"/>
      <c r="S255" s="34"/>
      <c r="T255" s="34"/>
      <c r="U255" s="34"/>
      <c r="V255" s="34"/>
    </row>
    <row r="256" spans="3:22" x14ac:dyDescent="0.2">
      <c r="C256" s="34"/>
      <c r="D256" s="34"/>
      <c r="E256" s="34"/>
      <c r="F256" s="34"/>
      <c r="G256" s="34"/>
      <c r="H256" s="34"/>
      <c r="I256" s="34"/>
      <c r="J256" s="34"/>
      <c r="K256" s="34"/>
      <c r="L256" s="34"/>
      <c r="M256" s="34"/>
      <c r="N256" s="34"/>
      <c r="O256" s="34"/>
      <c r="P256" s="34"/>
      <c r="Q256" s="34"/>
      <c r="R256" s="34"/>
      <c r="S256" s="34"/>
      <c r="T256" s="34"/>
      <c r="U256" s="34"/>
      <c r="V256" s="34"/>
    </row>
    <row r="257" spans="3:22" x14ac:dyDescent="0.2">
      <c r="C257" s="34"/>
      <c r="D257" s="34"/>
      <c r="E257" s="34"/>
      <c r="F257" s="34"/>
      <c r="G257" s="34"/>
      <c r="H257" s="34"/>
      <c r="I257" s="34"/>
      <c r="J257" s="34"/>
      <c r="K257" s="34"/>
      <c r="L257" s="34"/>
      <c r="M257" s="34"/>
      <c r="N257" s="34"/>
      <c r="O257" s="34"/>
      <c r="P257" s="34"/>
      <c r="Q257" s="34"/>
      <c r="R257" s="34"/>
      <c r="S257" s="34"/>
      <c r="T257" s="34"/>
      <c r="U257" s="34"/>
      <c r="V257" s="34"/>
    </row>
    <row r="258" spans="3:22" x14ac:dyDescent="0.2">
      <c r="C258" s="34"/>
      <c r="D258" s="34"/>
      <c r="E258" s="34"/>
      <c r="F258" s="34"/>
      <c r="G258" s="34"/>
      <c r="H258" s="34"/>
      <c r="I258" s="34"/>
      <c r="J258" s="34"/>
      <c r="K258" s="34"/>
      <c r="L258" s="34"/>
      <c r="M258" s="34"/>
      <c r="N258" s="34"/>
      <c r="O258" s="34"/>
      <c r="P258" s="34"/>
      <c r="Q258" s="34"/>
      <c r="R258" s="34"/>
      <c r="S258" s="34"/>
      <c r="T258" s="34"/>
      <c r="U258" s="34"/>
      <c r="V258" s="34"/>
    </row>
    <row r="259" spans="3:22" x14ac:dyDescent="0.2">
      <c r="C259" s="34"/>
      <c r="D259" s="34"/>
      <c r="E259" s="34"/>
      <c r="F259" s="34"/>
      <c r="G259" s="34"/>
      <c r="H259" s="34"/>
      <c r="I259" s="34"/>
      <c r="J259" s="34"/>
      <c r="K259" s="34"/>
      <c r="L259" s="34"/>
      <c r="M259" s="34"/>
      <c r="N259" s="34"/>
      <c r="O259" s="34"/>
      <c r="P259" s="34"/>
      <c r="Q259" s="34"/>
      <c r="R259" s="34"/>
      <c r="S259" s="34"/>
      <c r="T259" s="34"/>
      <c r="U259" s="34"/>
      <c r="V259" s="34"/>
    </row>
    <row r="260" spans="3:22" x14ac:dyDescent="0.2">
      <c r="C260" s="34"/>
      <c r="D260" s="34"/>
      <c r="E260" s="34"/>
      <c r="F260" s="34"/>
      <c r="G260" s="34"/>
      <c r="H260" s="34"/>
      <c r="I260" s="34"/>
      <c r="J260" s="34"/>
      <c r="K260" s="34"/>
      <c r="L260" s="34"/>
      <c r="M260" s="34"/>
      <c r="N260" s="34"/>
      <c r="O260" s="34"/>
      <c r="P260" s="34"/>
      <c r="Q260" s="34"/>
      <c r="R260" s="34"/>
      <c r="S260" s="34"/>
      <c r="T260" s="34"/>
      <c r="U260" s="34"/>
      <c r="V260" s="34"/>
    </row>
    <row r="261" spans="3:22" x14ac:dyDescent="0.2">
      <c r="C261" s="34"/>
      <c r="D261" s="34"/>
      <c r="E261" s="34"/>
      <c r="F261" s="34"/>
      <c r="G261" s="34"/>
      <c r="H261" s="34"/>
      <c r="I261" s="34"/>
      <c r="J261" s="34"/>
      <c r="K261" s="34"/>
      <c r="L261" s="34"/>
      <c r="M261" s="34"/>
      <c r="N261" s="34"/>
      <c r="O261" s="34"/>
      <c r="P261" s="34"/>
      <c r="Q261" s="34"/>
      <c r="R261" s="34"/>
      <c r="S261" s="34"/>
      <c r="T261" s="34"/>
      <c r="U261" s="34"/>
      <c r="V261" s="34"/>
    </row>
    <row r="262" spans="3:22" x14ac:dyDescent="0.2">
      <c r="C262" s="34"/>
      <c r="D262" s="34"/>
      <c r="E262" s="34"/>
      <c r="F262" s="34"/>
      <c r="G262" s="34"/>
      <c r="H262" s="34"/>
      <c r="I262" s="34"/>
      <c r="J262" s="34"/>
      <c r="K262" s="34"/>
      <c r="L262" s="34"/>
      <c r="M262" s="34"/>
      <c r="N262" s="34"/>
      <c r="O262" s="34"/>
      <c r="P262" s="34"/>
      <c r="Q262" s="34"/>
      <c r="R262" s="34"/>
      <c r="S262" s="34"/>
      <c r="T262" s="34"/>
      <c r="U262" s="34"/>
      <c r="V262" s="34"/>
    </row>
    <row r="263" spans="3:22" x14ac:dyDescent="0.2">
      <c r="C263" s="34"/>
      <c r="D263" s="34"/>
      <c r="E263" s="34"/>
      <c r="F263" s="34"/>
      <c r="G263" s="34"/>
      <c r="H263" s="34"/>
      <c r="I263" s="34"/>
      <c r="J263" s="34"/>
      <c r="K263" s="34"/>
      <c r="L263" s="34"/>
      <c r="M263" s="34"/>
      <c r="N263" s="34"/>
      <c r="O263" s="34"/>
      <c r="P263" s="34"/>
      <c r="Q263" s="34"/>
      <c r="R263" s="34"/>
      <c r="S263" s="34"/>
      <c r="T263" s="34"/>
      <c r="U263" s="34"/>
      <c r="V263" s="34"/>
    </row>
    <row r="264" spans="3:22" x14ac:dyDescent="0.2">
      <c r="C264" s="34"/>
      <c r="D264" s="34"/>
      <c r="E264" s="34"/>
      <c r="F264" s="34"/>
      <c r="G264" s="34"/>
      <c r="H264" s="34"/>
      <c r="I264" s="34"/>
      <c r="J264" s="34"/>
      <c r="K264" s="34"/>
      <c r="L264" s="34"/>
      <c r="M264" s="34"/>
      <c r="N264" s="34"/>
      <c r="O264" s="34"/>
      <c r="P264" s="34"/>
      <c r="Q264" s="34"/>
      <c r="R264" s="34"/>
      <c r="S264" s="34"/>
      <c r="T264" s="34"/>
      <c r="U264" s="34"/>
      <c r="V264" s="34"/>
    </row>
    <row r="265" spans="3:22" x14ac:dyDescent="0.2">
      <c r="C265" s="34"/>
      <c r="D265" s="34"/>
      <c r="E265" s="34"/>
      <c r="F265" s="34"/>
      <c r="G265" s="34"/>
      <c r="H265" s="34"/>
      <c r="I265" s="34"/>
      <c r="J265" s="34"/>
      <c r="K265" s="34"/>
      <c r="L265" s="34"/>
      <c r="M265" s="34"/>
      <c r="N265" s="34"/>
      <c r="O265" s="34"/>
      <c r="P265" s="34"/>
      <c r="Q265" s="34"/>
      <c r="R265" s="34"/>
      <c r="S265" s="34"/>
      <c r="T265" s="34"/>
      <c r="U265" s="34"/>
      <c r="V265" s="34"/>
    </row>
    <row r="266" spans="3:22" x14ac:dyDescent="0.2">
      <c r="C266" s="34"/>
      <c r="D266" s="34"/>
      <c r="E266" s="34"/>
      <c r="F266" s="34"/>
      <c r="G266" s="34"/>
      <c r="H266" s="34"/>
      <c r="I266" s="34"/>
      <c r="J266" s="34"/>
      <c r="K266" s="34"/>
      <c r="L266" s="34"/>
      <c r="M266" s="34"/>
      <c r="N266" s="34"/>
      <c r="O266" s="34"/>
      <c r="P266" s="34"/>
      <c r="Q266" s="34"/>
      <c r="R266" s="34"/>
      <c r="S266" s="34"/>
      <c r="T266" s="34"/>
      <c r="U266" s="34"/>
      <c r="V266" s="34"/>
    </row>
    <row r="267" spans="3:22" x14ac:dyDescent="0.2">
      <c r="C267" s="34"/>
      <c r="D267" s="34"/>
      <c r="E267" s="34"/>
      <c r="F267" s="34"/>
      <c r="G267" s="34"/>
      <c r="H267" s="34"/>
      <c r="I267" s="34"/>
      <c r="J267" s="34"/>
      <c r="K267" s="34"/>
      <c r="L267" s="34"/>
      <c r="M267" s="34"/>
      <c r="N267" s="34"/>
      <c r="O267" s="34"/>
      <c r="P267" s="34"/>
      <c r="Q267" s="34"/>
      <c r="R267" s="34"/>
      <c r="S267" s="34"/>
      <c r="T267" s="34"/>
      <c r="U267" s="34"/>
      <c r="V267" s="34"/>
    </row>
    <row r="268" spans="3:22" x14ac:dyDescent="0.2">
      <c r="C268" s="34"/>
      <c r="D268" s="34"/>
      <c r="E268" s="34"/>
      <c r="F268" s="34"/>
      <c r="G268" s="34"/>
      <c r="H268" s="34"/>
      <c r="I268" s="34"/>
      <c r="J268" s="34"/>
      <c r="K268" s="34"/>
      <c r="L268" s="34"/>
      <c r="M268" s="34"/>
      <c r="N268" s="34"/>
      <c r="O268" s="34"/>
      <c r="P268" s="34"/>
      <c r="Q268" s="34"/>
      <c r="R268" s="34"/>
      <c r="S268" s="34"/>
      <c r="T268" s="34"/>
      <c r="U268" s="34"/>
      <c r="V268" s="34"/>
    </row>
    <row r="269" spans="3:22" x14ac:dyDescent="0.2">
      <c r="C269" s="34"/>
      <c r="D269" s="34"/>
      <c r="E269" s="34"/>
      <c r="F269" s="34"/>
      <c r="G269" s="34"/>
      <c r="H269" s="34"/>
      <c r="I269" s="34"/>
      <c r="J269" s="34"/>
      <c r="K269" s="34"/>
      <c r="L269" s="34"/>
      <c r="M269" s="34"/>
      <c r="N269" s="34"/>
      <c r="O269" s="34"/>
      <c r="P269" s="34"/>
      <c r="Q269" s="34"/>
      <c r="R269" s="34"/>
      <c r="S269" s="34"/>
      <c r="T269" s="34"/>
      <c r="U269" s="34"/>
      <c r="V269" s="34"/>
    </row>
    <row r="270" spans="3:22" x14ac:dyDescent="0.2">
      <c r="C270" s="34"/>
      <c r="D270" s="34"/>
      <c r="E270" s="34"/>
      <c r="F270" s="34"/>
      <c r="G270" s="34"/>
      <c r="H270" s="34"/>
      <c r="I270" s="34"/>
      <c r="J270" s="34"/>
      <c r="K270" s="34"/>
      <c r="L270" s="34"/>
      <c r="M270" s="34"/>
      <c r="N270" s="34"/>
      <c r="O270" s="34"/>
      <c r="P270" s="34"/>
      <c r="Q270" s="34"/>
      <c r="R270" s="34"/>
      <c r="S270" s="34"/>
      <c r="T270" s="34"/>
      <c r="U270" s="34"/>
      <c r="V270" s="34"/>
    </row>
    <row r="271" spans="3:22" x14ac:dyDescent="0.2">
      <c r="C271" s="34"/>
      <c r="D271" s="34"/>
      <c r="E271" s="34"/>
      <c r="F271" s="34"/>
      <c r="G271" s="34"/>
      <c r="H271" s="34"/>
      <c r="I271" s="34"/>
      <c r="J271" s="34"/>
      <c r="K271" s="34"/>
      <c r="L271" s="34"/>
      <c r="M271" s="34"/>
      <c r="N271" s="34"/>
      <c r="O271" s="34"/>
      <c r="P271" s="34"/>
      <c r="Q271" s="34"/>
      <c r="R271" s="34"/>
      <c r="S271" s="34"/>
      <c r="T271" s="34"/>
      <c r="U271" s="34"/>
      <c r="V271" s="34"/>
    </row>
    <row r="272" spans="3:22" x14ac:dyDescent="0.2">
      <c r="C272" s="34"/>
      <c r="D272" s="34"/>
      <c r="E272" s="34"/>
      <c r="F272" s="34"/>
      <c r="G272" s="34"/>
      <c r="H272" s="34"/>
      <c r="I272" s="34"/>
      <c r="J272" s="34"/>
      <c r="K272" s="34"/>
      <c r="L272" s="34"/>
      <c r="M272" s="34"/>
      <c r="N272" s="34"/>
      <c r="O272" s="34"/>
      <c r="P272" s="34"/>
      <c r="Q272" s="34"/>
      <c r="R272" s="34"/>
      <c r="S272" s="34"/>
      <c r="T272" s="34"/>
      <c r="U272" s="34"/>
      <c r="V272" s="34"/>
    </row>
    <row r="273" spans="3:22" x14ac:dyDescent="0.2">
      <c r="C273" s="34"/>
      <c r="D273" s="34"/>
      <c r="E273" s="34"/>
      <c r="F273" s="34"/>
      <c r="G273" s="34"/>
      <c r="H273" s="34"/>
      <c r="I273" s="34"/>
      <c r="J273" s="34"/>
      <c r="K273" s="34"/>
      <c r="L273" s="34"/>
      <c r="M273" s="34"/>
      <c r="N273" s="34"/>
      <c r="O273" s="34"/>
      <c r="P273" s="34"/>
      <c r="Q273" s="34"/>
      <c r="R273" s="34"/>
      <c r="S273" s="34"/>
      <c r="T273" s="34"/>
      <c r="U273" s="34"/>
      <c r="V273" s="34"/>
    </row>
    <row r="274" spans="3:22" x14ac:dyDescent="0.2">
      <c r="C274" s="34"/>
      <c r="D274" s="34"/>
      <c r="E274" s="34"/>
      <c r="F274" s="34"/>
      <c r="G274" s="34"/>
      <c r="H274" s="34"/>
      <c r="I274" s="34"/>
      <c r="J274" s="34"/>
      <c r="K274" s="34"/>
      <c r="L274" s="34"/>
      <c r="M274" s="34"/>
      <c r="N274" s="34"/>
      <c r="O274" s="34"/>
      <c r="P274" s="34"/>
      <c r="Q274" s="34"/>
      <c r="R274" s="34"/>
      <c r="S274" s="34"/>
      <c r="T274" s="34"/>
      <c r="U274" s="34"/>
      <c r="V274" s="34"/>
    </row>
    <row r="275" spans="3:22" x14ac:dyDescent="0.2">
      <c r="C275" s="34"/>
      <c r="D275" s="34"/>
      <c r="E275" s="34"/>
      <c r="F275" s="34"/>
      <c r="G275" s="34"/>
      <c r="H275" s="34"/>
      <c r="I275" s="34"/>
      <c r="J275" s="34"/>
      <c r="K275" s="34"/>
      <c r="L275" s="34"/>
      <c r="M275" s="34"/>
      <c r="N275" s="34"/>
      <c r="O275" s="34"/>
      <c r="P275" s="34"/>
      <c r="Q275" s="34"/>
      <c r="R275" s="34"/>
      <c r="S275" s="34"/>
      <c r="T275" s="34"/>
      <c r="U275" s="34"/>
      <c r="V275" s="34"/>
    </row>
    <row r="276" spans="3:22" x14ac:dyDescent="0.2">
      <c r="C276" s="34"/>
      <c r="D276" s="34"/>
      <c r="E276" s="34"/>
      <c r="F276" s="34"/>
      <c r="G276" s="34"/>
      <c r="H276" s="34"/>
      <c r="I276" s="34"/>
      <c r="J276" s="34"/>
      <c r="K276" s="34"/>
      <c r="L276" s="34"/>
      <c r="M276" s="34"/>
      <c r="N276" s="34"/>
      <c r="O276" s="34"/>
      <c r="P276" s="34"/>
      <c r="Q276" s="34"/>
      <c r="R276" s="34"/>
      <c r="S276" s="34"/>
      <c r="T276" s="34"/>
      <c r="U276" s="34"/>
      <c r="V276" s="34"/>
    </row>
    <row r="277" spans="3:22" x14ac:dyDescent="0.2">
      <c r="C277" s="34"/>
      <c r="D277" s="34"/>
      <c r="E277" s="34"/>
      <c r="F277" s="34"/>
      <c r="G277" s="34"/>
      <c r="H277" s="34"/>
      <c r="I277" s="34"/>
      <c r="J277" s="34"/>
      <c r="K277" s="34"/>
      <c r="L277" s="34"/>
      <c r="M277" s="34"/>
      <c r="N277" s="34"/>
      <c r="O277" s="34"/>
      <c r="P277" s="34"/>
      <c r="Q277" s="34"/>
      <c r="R277" s="34"/>
      <c r="S277" s="34"/>
      <c r="T277" s="34"/>
      <c r="U277" s="34"/>
      <c r="V277" s="34"/>
    </row>
    <row r="278" spans="3:22" x14ac:dyDescent="0.2">
      <c r="C278" s="34"/>
      <c r="D278" s="34"/>
      <c r="E278" s="34"/>
      <c r="F278" s="34"/>
      <c r="G278" s="34"/>
      <c r="H278" s="34"/>
      <c r="I278" s="34"/>
      <c r="J278" s="34"/>
      <c r="K278" s="34"/>
      <c r="L278" s="34"/>
      <c r="M278" s="34"/>
      <c r="N278" s="34"/>
      <c r="O278" s="34"/>
      <c r="P278" s="34"/>
      <c r="Q278" s="34"/>
      <c r="R278" s="34"/>
      <c r="S278" s="34"/>
      <c r="T278" s="34"/>
      <c r="U278" s="34"/>
      <c r="V278" s="34"/>
    </row>
    <row r="279" spans="3:22" x14ac:dyDescent="0.2">
      <c r="C279" s="34"/>
      <c r="D279" s="34"/>
      <c r="E279" s="34"/>
      <c r="F279" s="34"/>
      <c r="G279" s="34"/>
      <c r="H279" s="34"/>
      <c r="I279" s="34"/>
      <c r="J279" s="34"/>
      <c r="K279" s="34"/>
      <c r="L279" s="34"/>
      <c r="M279" s="34"/>
      <c r="N279" s="34"/>
      <c r="O279" s="34"/>
      <c r="P279" s="34"/>
      <c r="Q279" s="34"/>
      <c r="R279" s="34"/>
      <c r="S279" s="34"/>
      <c r="T279" s="34"/>
      <c r="U279" s="34"/>
      <c r="V279" s="34"/>
    </row>
    <row r="280" spans="3:22" x14ac:dyDescent="0.2">
      <c r="C280" s="34"/>
      <c r="D280" s="34"/>
      <c r="E280" s="34"/>
      <c r="F280" s="34"/>
      <c r="G280" s="34"/>
      <c r="H280" s="34"/>
      <c r="I280" s="34"/>
      <c r="J280" s="34"/>
      <c r="K280" s="34"/>
      <c r="L280" s="34"/>
      <c r="M280" s="34"/>
      <c r="N280" s="34"/>
      <c r="O280" s="34"/>
      <c r="P280" s="34"/>
      <c r="Q280" s="34"/>
      <c r="R280" s="34"/>
      <c r="S280" s="34"/>
      <c r="T280" s="34"/>
      <c r="U280" s="34"/>
      <c r="V280" s="34"/>
    </row>
    <row r="281" spans="3:22" x14ac:dyDescent="0.2">
      <c r="C281" s="34"/>
      <c r="D281" s="34"/>
      <c r="E281" s="34"/>
      <c r="F281" s="34"/>
      <c r="G281" s="34"/>
      <c r="H281" s="34"/>
      <c r="I281" s="34"/>
      <c r="J281" s="34"/>
      <c r="K281" s="34"/>
      <c r="L281" s="34"/>
      <c r="M281" s="34"/>
      <c r="N281" s="34"/>
      <c r="O281" s="34"/>
      <c r="P281" s="34"/>
      <c r="Q281" s="34"/>
      <c r="R281" s="34"/>
      <c r="S281" s="34"/>
      <c r="T281" s="34"/>
      <c r="U281" s="34"/>
      <c r="V281" s="34"/>
    </row>
    <row r="282" spans="3:22" x14ac:dyDescent="0.2">
      <c r="C282" s="34"/>
      <c r="D282" s="34"/>
      <c r="E282" s="34"/>
      <c r="F282" s="34"/>
      <c r="G282" s="34"/>
      <c r="H282" s="34"/>
      <c r="I282" s="34"/>
      <c r="J282" s="34"/>
      <c r="K282" s="34"/>
      <c r="L282" s="34"/>
      <c r="M282" s="34"/>
      <c r="N282" s="34"/>
      <c r="O282" s="34"/>
      <c r="P282" s="34"/>
      <c r="Q282" s="34"/>
      <c r="R282" s="34"/>
      <c r="S282" s="34"/>
      <c r="T282" s="34"/>
      <c r="U282" s="34"/>
      <c r="V282" s="34"/>
    </row>
    <row r="283" spans="3:22" x14ac:dyDescent="0.2">
      <c r="C283" s="34"/>
      <c r="D283" s="34"/>
      <c r="E283" s="34"/>
      <c r="F283" s="34"/>
      <c r="G283" s="34"/>
      <c r="H283" s="34"/>
      <c r="I283" s="34"/>
      <c r="J283" s="34"/>
      <c r="K283" s="34"/>
      <c r="L283" s="34"/>
      <c r="M283" s="34"/>
      <c r="N283" s="34"/>
      <c r="O283" s="34"/>
      <c r="P283" s="34"/>
      <c r="Q283" s="34"/>
      <c r="R283" s="34"/>
      <c r="S283" s="34"/>
      <c r="T283" s="34"/>
      <c r="U283" s="34"/>
      <c r="V283" s="34"/>
    </row>
    <row r="284" spans="3:22" x14ac:dyDescent="0.2">
      <c r="C284" s="34"/>
      <c r="D284" s="34"/>
      <c r="E284" s="34"/>
      <c r="F284" s="34"/>
      <c r="G284" s="34"/>
      <c r="H284" s="34"/>
      <c r="I284" s="34"/>
      <c r="J284" s="34"/>
      <c r="K284" s="34"/>
      <c r="L284" s="34"/>
      <c r="M284" s="34"/>
      <c r="N284" s="34"/>
      <c r="O284" s="34"/>
      <c r="P284" s="34"/>
      <c r="Q284" s="34"/>
      <c r="R284" s="34"/>
      <c r="S284" s="34"/>
      <c r="T284" s="34"/>
      <c r="U284" s="34"/>
      <c r="V284" s="34"/>
    </row>
    <row r="285" spans="3:22" x14ac:dyDescent="0.2">
      <c r="C285" s="34"/>
      <c r="D285" s="34"/>
      <c r="E285" s="34"/>
      <c r="F285" s="34"/>
      <c r="G285" s="34"/>
      <c r="H285" s="34"/>
      <c r="I285" s="34"/>
      <c r="J285" s="34"/>
      <c r="K285" s="34"/>
      <c r="L285" s="34"/>
      <c r="M285" s="34"/>
      <c r="N285" s="34"/>
      <c r="O285" s="34"/>
      <c r="P285" s="34"/>
      <c r="Q285" s="34"/>
      <c r="R285" s="34"/>
      <c r="S285" s="34"/>
      <c r="T285" s="34"/>
      <c r="U285" s="34"/>
      <c r="V285" s="34"/>
    </row>
    <row r="286" spans="3:22" x14ac:dyDescent="0.2">
      <c r="C286" s="34"/>
      <c r="D286" s="34"/>
      <c r="E286" s="34"/>
      <c r="F286" s="34"/>
      <c r="G286" s="34"/>
      <c r="H286" s="34"/>
      <c r="I286" s="34"/>
      <c r="J286" s="34"/>
      <c r="K286" s="34"/>
      <c r="L286" s="34"/>
      <c r="M286" s="34"/>
      <c r="N286" s="34"/>
      <c r="O286" s="34"/>
      <c r="P286" s="34"/>
      <c r="Q286" s="34"/>
      <c r="R286" s="34"/>
      <c r="S286" s="34"/>
      <c r="T286" s="34"/>
      <c r="U286" s="34"/>
      <c r="V286" s="34"/>
    </row>
    <row r="287" spans="3:22" x14ac:dyDescent="0.2">
      <c r="C287" s="34"/>
      <c r="D287" s="34"/>
      <c r="E287" s="34"/>
      <c r="F287" s="34"/>
      <c r="G287" s="34"/>
      <c r="H287" s="34"/>
      <c r="I287" s="34"/>
      <c r="J287" s="34"/>
      <c r="K287" s="34"/>
      <c r="L287" s="34"/>
      <c r="M287" s="34"/>
      <c r="N287" s="34"/>
      <c r="O287" s="34"/>
      <c r="P287" s="34"/>
      <c r="Q287" s="34"/>
      <c r="R287" s="34"/>
      <c r="S287" s="34"/>
      <c r="T287" s="34"/>
      <c r="U287" s="34"/>
      <c r="V287" s="34"/>
    </row>
    <row r="288" spans="3:22" x14ac:dyDescent="0.2">
      <c r="C288" s="34"/>
      <c r="D288" s="34"/>
      <c r="E288" s="34"/>
      <c r="F288" s="34"/>
      <c r="G288" s="34"/>
      <c r="H288" s="34"/>
      <c r="I288" s="34"/>
      <c r="J288" s="34"/>
      <c r="K288" s="34"/>
      <c r="L288" s="34"/>
      <c r="M288" s="34"/>
      <c r="N288" s="34"/>
      <c r="O288" s="34"/>
      <c r="P288" s="34"/>
      <c r="Q288" s="34"/>
      <c r="R288" s="34"/>
      <c r="S288" s="34"/>
      <c r="T288" s="34"/>
      <c r="U288" s="34"/>
      <c r="V288" s="34"/>
    </row>
    <row r="289" spans="3:22" x14ac:dyDescent="0.2">
      <c r="C289" s="34"/>
      <c r="D289" s="34"/>
      <c r="E289" s="34"/>
      <c r="F289" s="34"/>
      <c r="G289" s="34"/>
      <c r="H289" s="34"/>
      <c r="I289" s="34"/>
      <c r="J289" s="34"/>
      <c r="K289" s="34"/>
      <c r="L289" s="34"/>
      <c r="M289" s="34"/>
      <c r="N289" s="34"/>
      <c r="O289" s="34"/>
      <c r="P289" s="34"/>
      <c r="Q289" s="34"/>
      <c r="R289" s="34"/>
      <c r="S289" s="34"/>
      <c r="T289" s="34"/>
      <c r="U289" s="34"/>
      <c r="V289" s="34"/>
    </row>
    <row r="290" spans="3:22" x14ac:dyDescent="0.2">
      <c r="C290" s="34"/>
      <c r="D290" s="34"/>
      <c r="E290" s="34"/>
      <c r="F290" s="34"/>
      <c r="G290" s="34"/>
      <c r="H290" s="34"/>
      <c r="I290" s="34"/>
      <c r="J290" s="34"/>
      <c r="K290" s="34"/>
      <c r="L290" s="34"/>
      <c r="M290" s="34"/>
      <c r="N290" s="34"/>
      <c r="O290" s="34"/>
      <c r="P290" s="34"/>
      <c r="Q290" s="34"/>
      <c r="R290" s="34"/>
      <c r="S290" s="34"/>
      <c r="T290" s="34"/>
      <c r="U290" s="34"/>
      <c r="V290" s="34"/>
    </row>
    <row r="291" spans="3:22" x14ac:dyDescent="0.2">
      <c r="C291" s="34"/>
      <c r="D291" s="34"/>
      <c r="E291" s="34"/>
      <c r="F291" s="34"/>
      <c r="G291" s="34"/>
      <c r="H291" s="34"/>
      <c r="I291" s="34"/>
      <c r="J291" s="34"/>
      <c r="K291" s="34"/>
      <c r="L291" s="34"/>
      <c r="M291" s="34"/>
      <c r="N291" s="34"/>
      <c r="O291" s="34"/>
      <c r="P291" s="34"/>
      <c r="Q291" s="34"/>
      <c r="R291" s="34"/>
      <c r="S291" s="34"/>
      <c r="T291" s="34"/>
      <c r="U291" s="34"/>
      <c r="V291" s="34"/>
    </row>
    <row r="292" spans="3:22" x14ac:dyDescent="0.2">
      <c r="C292" s="34"/>
      <c r="D292" s="34"/>
      <c r="E292" s="34"/>
      <c r="F292" s="34"/>
      <c r="G292" s="34"/>
      <c r="H292" s="34"/>
      <c r="I292" s="34"/>
      <c r="J292" s="34"/>
      <c r="K292" s="34"/>
      <c r="L292" s="34"/>
      <c r="M292" s="34"/>
      <c r="N292" s="34"/>
      <c r="O292" s="34"/>
      <c r="P292" s="34"/>
      <c r="Q292" s="34"/>
      <c r="R292" s="34"/>
      <c r="S292" s="34"/>
      <c r="T292" s="34"/>
      <c r="U292" s="34"/>
      <c r="V292" s="34"/>
    </row>
    <row r="293" spans="3:22" x14ac:dyDescent="0.2">
      <c r="C293" s="34"/>
      <c r="D293" s="34"/>
      <c r="E293" s="34"/>
      <c r="F293" s="34"/>
      <c r="G293" s="34"/>
      <c r="H293" s="34"/>
      <c r="I293" s="34"/>
      <c r="J293" s="34"/>
      <c r="K293" s="34"/>
      <c r="L293" s="34"/>
      <c r="M293" s="34"/>
      <c r="N293" s="34"/>
      <c r="O293" s="34"/>
      <c r="P293" s="34"/>
      <c r="Q293" s="34"/>
      <c r="R293" s="34"/>
      <c r="S293" s="34"/>
      <c r="T293" s="34"/>
      <c r="U293" s="34"/>
      <c r="V293" s="34"/>
    </row>
    <row r="294" spans="3:22" x14ac:dyDescent="0.2">
      <c r="C294" s="34"/>
      <c r="D294" s="34"/>
      <c r="E294" s="34"/>
      <c r="F294" s="34"/>
      <c r="G294" s="34"/>
      <c r="H294" s="34"/>
      <c r="I294" s="34"/>
      <c r="J294" s="34"/>
      <c r="K294" s="34"/>
      <c r="L294" s="34"/>
      <c r="M294" s="34"/>
      <c r="N294" s="34"/>
      <c r="O294" s="34"/>
      <c r="P294" s="34"/>
      <c r="Q294" s="34"/>
      <c r="R294" s="34"/>
      <c r="S294" s="34"/>
      <c r="T294" s="34"/>
      <c r="U294" s="34"/>
      <c r="V294" s="34"/>
    </row>
    <row r="295" spans="3:22" x14ac:dyDescent="0.2">
      <c r="C295" s="34"/>
      <c r="D295" s="34"/>
      <c r="E295" s="34"/>
      <c r="F295" s="34"/>
      <c r="G295" s="34"/>
      <c r="H295" s="34"/>
      <c r="I295" s="34"/>
      <c r="J295" s="34"/>
      <c r="K295" s="34"/>
      <c r="L295" s="34"/>
      <c r="M295" s="34"/>
      <c r="N295" s="34"/>
      <c r="O295" s="34"/>
      <c r="P295" s="34"/>
      <c r="Q295" s="34"/>
      <c r="R295" s="34"/>
      <c r="S295" s="34"/>
      <c r="T295" s="34"/>
      <c r="U295" s="34"/>
      <c r="V295" s="34"/>
    </row>
    <row r="296" spans="3:22" x14ac:dyDescent="0.2">
      <c r="C296" s="34"/>
      <c r="D296" s="34"/>
      <c r="E296" s="34"/>
      <c r="F296" s="34"/>
      <c r="G296" s="34"/>
      <c r="H296" s="34"/>
      <c r="I296" s="34"/>
      <c r="J296" s="34"/>
      <c r="K296" s="34"/>
      <c r="L296" s="34"/>
      <c r="M296" s="34"/>
      <c r="N296" s="34"/>
      <c r="O296" s="34"/>
      <c r="P296" s="34"/>
      <c r="Q296" s="34"/>
      <c r="R296" s="34"/>
      <c r="S296" s="34"/>
      <c r="T296" s="34"/>
      <c r="U296" s="34"/>
      <c r="V296" s="34"/>
    </row>
    <row r="297" spans="3:22" x14ac:dyDescent="0.2">
      <c r="C297" s="34"/>
      <c r="D297" s="34"/>
      <c r="E297" s="34"/>
      <c r="F297" s="34"/>
      <c r="G297" s="34"/>
      <c r="H297" s="34"/>
      <c r="I297" s="34"/>
      <c r="J297" s="34"/>
      <c r="K297" s="34"/>
      <c r="L297" s="34"/>
      <c r="M297" s="34"/>
      <c r="N297" s="34"/>
      <c r="O297" s="34"/>
      <c r="P297" s="34"/>
      <c r="Q297" s="34"/>
      <c r="R297" s="34"/>
      <c r="S297" s="34"/>
      <c r="T297" s="34"/>
      <c r="U297" s="34"/>
      <c r="V297" s="34"/>
    </row>
    <row r="298" spans="3:22" x14ac:dyDescent="0.2">
      <c r="C298" s="34"/>
      <c r="D298" s="34"/>
      <c r="E298" s="34"/>
      <c r="F298" s="34"/>
      <c r="G298" s="34"/>
      <c r="H298" s="34"/>
      <c r="I298" s="34"/>
      <c r="J298" s="34"/>
      <c r="K298" s="34"/>
      <c r="L298" s="34"/>
      <c r="M298" s="34"/>
      <c r="N298" s="34"/>
      <c r="O298" s="34"/>
      <c r="P298" s="34"/>
      <c r="Q298" s="34"/>
      <c r="R298" s="34"/>
      <c r="S298" s="34"/>
      <c r="T298" s="34"/>
      <c r="U298" s="34"/>
      <c r="V298" s="34"/>
    </row>
    <row r="299" spans="3:22" x14ac:dyDescent="0.2">
      <c r="C299" s="34"/>
      <c r="D299" s="34"/>
      <c r="E299" s="34"/>
      <c r="F299" s="34"/>
      <c r="G299" s="34"/>
      <c r="H299" s="34"/>
      <c r="I299" s="34"/>
      <c r="J299" s="34"/>
      <c r="K299" s="34"/>
      <c r="L299" s="34"/>
      <c r="M299" s="34"/>
      <c r="N299" s="34"/>
      <c r="O299" s="34"/>
      <c r="P299" s="34"/>
      <c r="Q299" s="34"/>
      <c r="R299" s="34"/>
      <c r="S299" s="34"/>
      <c r="T299" s="34"/>
      <c r="U299" s="34"/>
      <c r="V299" s="34"/>
    </row>
    <row r="300" spans="3:22" x14ac:dyDescent="0.2">
      <c r="C300" s="34"/>
      <c r="D300" s="34"/>
      <c r="E300" s="34"/>
      <c r="F300" s="34"/>
      <c r="G300" s="34"/>
      <c r="H300" s="34"/>
      <c r="I300" s="34"/>
      <c r="J300" s="34"/>
      <c r="K300" s="34"/>
      <c r="L300" s="34"/>
      <c r="M300" s="34"/>
      <c r="N300" s="34"/>
      <c r="O300" s="34"/>
      <c r="P300" s="34"/>
      <c r="Q300" s="34"/>
      <c r="R300" s="34"/>
      <c r="S300" s="34"/>
      <c r="T300" s="34"/>
      <c r="U300" s="34"/>
      <c r="V300" s="34"/>
    </row>
    <row r="301" spans="3:22" x14ac:dyDescent="0.2">
      <c r="C301" s="34"/>
      <c r="D301" s="34"/>
      <c r="E301" s="34"/>
      <c r="F301" s="34"/>
      <c r="G301" s="34"/>
      <c r="H301" s="34"/>
      <c r="I301" s="34"/>
      <c r="J301" s="34"/>
      <c r="K301" s="34"/>
      <c r="L301" s="34"/>
      <c r="M301" s="34"/>
      <c r="N301" s="34"/>
      <c r="O301" s="34"/>
      <c r="P301" s="34"/>
      <c r="Q301" s="34"/>
      <c r="R301" s="34"/>
      <c r="S301" s="34"/>
      <c r="T301" s="34"/>
      <c r="U301" s="34"/>
      <c r="V301" s="34"/>
    </row>
    <row r="302" spans="3:22" x14ac:dyDescent="0.2">
      <c r="C302" s="34"/>
      <c r="D302" s="34"/>
      <c r="E302" s="34"/>
      <c r="F302" s="34"/>
      <c r="G302" s="34"/>
      <c r="H302" s="34"/>
      <c r="I302" s="34"/>
      <c r="J302" s="34"/>
      <c r="K302" s="34"/>
      <c r="L302" s="34"/>
      <c r="M302" s="34"/>
      <c r="N302" s="34"/>
      <c r="O302" s="34"/>
      <c r="P302" s="34"/>
      <c r="Q302" s="34"/>
      <c r="R302" s="34"/>
      <c r="S302" s="34"/>
      <c r="T302" s="34"/>
      <c r="U302" s="34"/>
      <c r="V302" s="34"/>
    </row>
    <row r="303" spans="3:22" x14ac:dyDescent="0.2">
      <c r="C303" s="34"/>
      <c r="D303" s="34"/>
      <c r="E303" s="34"/>
      <c r="F303" s="34"/>
      <c r="G303" s="34"/>
      <c r="H303" s="34"/>
      <c r="I303" s="34"/>
      <c r="J303" s="34"/>
      <c r="K303" s="34"/>
      <c r="L303" s="34"/>
      <c r="M303" s="34"/>
      <c r="N303" s="34"/>
      <c r="O303" s="34"/>
      <c r="P303" s="34"/>
      <c r="Q303" s="34"/>
      <c r="R303" s="34"/>
      <c r="S303" s="34"/>
      <c r="T303" s="34"/>
      <c r="U303" s="34"/>
      <c r="V303" s="34"/>
    </row>
    <row r="304" spans="3:22" x14ac:dyDescent="0.2">
      <c r="C304" s="34"/>
      <c r="D304" s="34"/>
      <c r="E304" s="34"/>
      <c r="F304" s="34"/>
      <c r="G304" s="34"/>
      <c r="H304" s="34"/>
      <c r="I304" s="34"/>
      <c r="J304" s="34"/>
      <c r="K304" s="34"/>
      <c r="L304" s="34"/>
      <c r="M304" s="34"/>
      <c r="N304" s="34"/>
      <c r="O304" s="34"/>
      <c r="P304" s="34"/>
      <c r="Q304" s="34"/>
      <c r="R304" s="34"/>
      <c r="S304" s="34"/>
      <c r="T304" s="34"/>
      <c r="U304" s="34"/>
      <c r="V304" s="34"/>
    </row>
    <row r="305" spans="3:22" x14ac:dyDescent="0.2">
      <c r="C305" s="34"/>
      <c r="D305" s="34"/>
      <c r="E305" s="34"/>
      <c r="F305" s="34"/>
      <c r="G305" s="34"/>
      <c r="H305" s="34"/>
      <c r="I305" s="34"/>
      <c r="J305" s="34"/>
      <c r="K305" s="34"/>
      <c r="L305" s="34"/>
      <c r="M305" s="34"/>
      <c r="N305" s="34"/>
      <c r="O305" s="34"/>
      <c r="P305" s="34"/>
      <c r="Q305" s="34"/>
      <c r="R305" s="34"/>
      <c r="S305" s="34"/>
      <c r="T305" s="34"/>
      <c r="U305" s="34"/>
      <c r="V305" s="34"/>
    </row>
    <row r="306" spans="3:22" x14ac:dyDescent="0.2">
      <c r="C306" s="34"/>
      <c r="D306" s="34"/>
      <c r="E306" s="34"/>
      <c r="F306" s="34"/>
      <c r="G306" s="34"/>
      <c r="H306" s="34"/>
      <c r="I306" s="34"/>
      <c r="J306" s="34"/>
      <c r="K306" s="34"/>
      <c r="L306" s="34"/>
      <c r="M306" s="34"/>
      <c r="N306" s="34"/>
      <c r="O306" s="34"/>
      <c r="P306" s="34"/>
      <c r="Q306" s="34"/>
      <c r="R306" s="34"/>
      <c r="S306" s="34"/>
      <c r="T306" s="34"/>
      <c r="U306" s="34"/>
      <c r="V306" s="34"/>
    </row>
    <row r="307" spans="3:22" x14ac:dyDescent="0.2">
      <c r="C307" s="34"/>
      <c r="D307" s="34"/>
      <c r="E307" s="34"/>
      <c r="F307" s="34"/>
      <c r="G307" s="34"/>
      <c r="H307" s="34"/>
      <c r="I307" s="34"/>
      <c r="J307" s="34"/>
      <c r="K307" s="34"/>
      <c r="L307" s="34"/>
      <c r="M307" s="34"/>
      <c r="N307" s="34"/>
      <c r="O307" s="34"/>
      <c r="P307" s="34"/>
      <c r="Q307" s="34"/>
      <c r="R307" s="34"/>
      <c r="S307" s="34"/>
      <c r="T307" s="34"/>
      <c r="U307" s="34"/>
      <c r="V307" s="34"/>
    </row>
    <row r="308" spans="3:22" x14ac:dyDescent="0.2">
      <c r="C308" s="34"/>
      <c r="D308" s="34"/>
      <c r="E308" s="34"/>
      <c r="F308" s="34"/>
      <c r="G308" s="34"/>
      <c r="H308" s="34"/>
      <c r="I308" s="34"/>
      <c r="J308" s="34"/>
      <c r="K308" s="34"/>
      <c r="L308" s="34"/>
      <c r="M308" s="34"/>
      <c r="N308" s="34"/>
      <c r="O308" s="34"/>
      <c r="P308" s="34"/>
      <c r="Q308" s="34"/>
      <c r="R308" s="34"/>
      <c r="S308" s="34"/>
      <c r="T308" s="34"/>
      <c r="U308" s="34"/>
      <c r="V308" s="34"/>
    </row>
    <row r="309" spans="3:22" x14ac:dyDescent="0.2">
      <c r="C309" s="34"/>
      <c r="D309" s="34"/>
      <c r="E309" s="34"/>
      <c r="F309" s="34"/>
      <c r="G309" s="34"/>
      <c r="H309" s="34"/>
      <c r="I309" s="34"/>
      <c r="J309" s="34"/>
      <c r="K309" s="34"/>
      <c r="L309" s="34"/>
      <c r="M309" s="34"/>
      <c r="N309" s="34"/>
      <c r="O309" s="34"/>
      <c r="P309" s="34"/>
      <c r="Q309" s="34"/>
      <c r="R309" s="34"/>
      <c r="S309" s="34"/>
      <c r="T309" s="34"/>
      <c r="U309" s="34"/>
      <c r="V309" s="34"/>
    </row>
    <row r="310" spans="3:22" x14ac:dyDescent="0.2">
      <c r="C310" s="34"/>
      <c r="D310" s="34"/>
      <c r="E310" s="34"/>
      <c r="F310" s="34"/>
      <c r="G310" s="34"/>
      <c r="H310" s="34"/>
      <c r="I310" s="34"/>
      <c r="J310" s="34"/>
      <c r="K310" s="34"/>
      <c r="L310" s="34"/>
      <c r="M310" s="34"/>
      <c r="N310" s="34"/>
      <c r="O310" s="34"/>
      <c r="P310" s="34"/>
      <c r="Q310" s="34"/>
      <c r="R310" s="34"/>
      <c r="S310" s="34"/>
      <c r="T310" s="34"/>
      <c r="U310" s="34"/>
      <c r="V310" s="34"/>
    </row>
    <row r="311" spans="3:22" x14ac:dyDescent="0.2">
      <c r="C311" s="34"/>
      <c r="D311" s="34"/>
      <c r="E311" s="34"/>
      <c r="F311" s="34"/>
      <c r="G311" s="34"/>
      <c r="H311" s="34"/>
      <c r="I311" s="34"/>
      <c r="J311" s="34"/>
      <c r="K311" s="34"/>
      <c r="L311" s="34"/>
      <c r="M311" s="34"/>
      <c r="N311" s="34"/>
      <c r="O311" s="34"/>
      <c r="P311" s="34"/>
      <c r="Q311" s="34"/>
      <c r="R311" s="34"/>
      <c r="S311" s="34"/>
      <c r="T311" s="34"/>
      <c r="U311" s="34"/>
      <c r="V311" s="34"/>
    </row>
    <row r="312" spans="3:22" x14ac:dyDescent="0.2">
      <c r="C312" s="34"/>
      <c r="D312" s="34"/>
      <c r="E312" s="34"/>
      <c r="F312" s="34"/>
      <c r="G312" s="34"/>
      <c r="H312" s="34"/>
      <c r="I312" s="34"/>
      <c r="J312" s="34"/>
      <c r="K312" s="34"/>
      <c r="L312" s="34"/>
      <c r="M312" s="34"/>
      <c r="N312" s="34"/>
      <c r="O312" s="34"/>
      <c r="P312" s="34"/>
      <c r="Q312" s="34"/>
      <c r="R312" s="34"/>
      <c r="S312" s="34"/>
      <c r="T312" s="34"/>
      <c r="U312" s="34"/>
      <c r="V312" s="34"/>
    </row>
    <row r="313" spans="3:22" x14ac:dyDescent="0.2">
      <c r="C313" s="34"/>
      <c r="D313" s="34"/>
      <c r="E313" s="34"/>
      <c r="F313" s="34"/>
      <c r="G313" s="34"/>
      <c r="H313" s="34"/>
      <c r="I313" s="34"/>
      <c r="J313" s="34"/>
      <c r="K313" s="34"/>
      <c r="L313" s="34"/>
      <c r="M313" s="34"/>
      <c r="N313" s="34"/>
      <c r="O313" s="34"/>
      <c r="P313" s="34"/>
      <c r="Q313" s="34"/>
      <c r="R313" s="34"/>
      <c r="S313" s="34"/>
      <c r="T313" s="34"/>
      <c r="U313" s="34"/>
      <c r="V313" s="34"/>
    </row>
  </sheetData>
  <mergeCells count="3">
    <mergeCell ref="A1:U1"/>
    <mergeCell ref="A2:U2"/>
    <mergeCell ref="A3:U3"/>
  </mergeCells>
  <printOptions horizontalCentered="1"/>
  <pageMargins left="0.75" right="0.75" top="1" bottom="1" header="0.5" footer="0.5"/>
  <pageSetup scale="67" fitToHeight="0" orientation="landscape" r:id="rId1"/>
  <headerFooter alignWithMargins="0">
    <oddFooter>&amp;R&amp;"Times New Roman,Bold"&amp;12Case No. 2018-00295
Attachment 6 to Response to US DOD-2 Question No. 7   
Page &amp;P of &amp;N
Garrett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T466"/>
  <sheetViews>
    <sheetView topLeftCell="A433" zoomScale="80" zoomScaleNormal="80" workbookViewId="0">
      <selection sqref="A1:R1"/>
    </sheetView>
  </sheetViews>
  <sheetFormatPr defaultRowHeight="12.75" outlineLevelRow="1" x14ac:dyDescent="0.2"/>
  <cols>
    <col min="1" max="1" width="36.42578125" style="3" bestFit="1" customWidth="1"/>
    <col min="2" max="2" width="18.42578125" style="14" bestFit="1" customWidth="1"/>
    <col min="3" max="3" width="1.7109375" style="3" customWidth="1"/>
    <col min="4" max="4" width="17.7109375" style="14" customWidth="1"/>
    <col min="5" max="5" width="1.7109375" style="3" customWidth="1"/>
    <col min="6" max="6" width="17.7109375" style="14" customWidth="1"/>
    <col min="7" max="7" width="1.7109375" style="3" customWidth="1"/>
    <col min="8" max="8" width="17.7109375" style="14" customWidth="1"/>
    <col min="9" max="9" width="1.7109375" style="3" customWidth="1"/>
    <col min="10" max="10" width="17.7109375" style="14" customWidth="1"/>
    <col min="11" max="11" width="1.7109375" style="3" customWidth="1"/>
    <col min="12" max="12" width="17.7109375" style="14" customWidth="1"/>
    <col min="13" max="13" width="1.7109375" style="3" customWidth="1"/>
    <col min="14" max="14" width="17.7109375" style="14" customWidth="1"/>
    <col min="15" max="15" width="1.7109375" style="3" customWidth="1"/>
    <col min="16" max="16" width="17.7109375" style="14" customWidth="1"/>
    <col min="17" max="17" width="1.7109375" style="3" customWidth="1"/>
    <col min="18" max="18" width="18.42578125" style="14" bestFit="1" customWidth="1"/>
    <col min="19" max="16384" width="9.140625" style="3"/>
  </cols>
  <sheetData>
    <row r="1" spans="1:19" s="86" customFormat="1" ht="15.75" x14ac:dyDescent="0.25">
      <c r="A1" s="154" t="s">
        <v>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</row>
    <row r="2" spans="1:19" s="86" customFormat="1" ht="15.75" x14ac:dyDescent="0.25">
      <c r="A2" s="154" t="s">
        <v>3915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</row>
    <row r="3" spans="1:19" x14ac:dyDescent="0.2">
      <c r="A3" s="144" t="str">
        <f>'KU_Summary - Cost - P1 (REG)'!A3:N3</f>
        <v>DECEMBER 2016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95"/>
    </row>
    <row r="4" spans="1:19" x14ac:dyDescent="0.2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95"/>
    </row>
    <row r="6" spans="1:19" x14ac:dyDescent="0.2">
      <c r="B6" s="25" t="s">
        <v>2</v>
      </c>
      <c r="H6" s="25" t="s">
        <v>3</v>
      </c>
      <c r="J6" s="25" t="s">
        <v>38</v>
      </c>
      <c r="L6" s="25"/>
      <c r="N6" s="25"/>
      <c r="P6" s="25"/>
      <c r="R6" s="25" t="s">
        <v>4</v>
      </c>
    </row>
    <row r="7" spans="1:19" x14ac:dyDescent="0.2">
      <c r="B7" s="10" t="s">
        <v>5</v>
      </c>
      <c r="D7" s="10" t="s">
        <v>39</v>
      </c>
      <c r="F7" s="10" t="s">
        <v>7</v>
      </c>
      <c r="H7" s="10" t="s">
        <v>8</v>
      </c>
      <c r="J7" s="10" t="s">
        <v>41</v>
      </c>
      <c r="L7" s="10" t="s">
        <v>42</v>
      </c>
      <c r="N7" s="10" t="s">
        <v>43</v>
      </c>
      <c r="P7" s="10" t="s">
        <v>44</v>
      </c>
      <c r="R7" s="10" t="s">
        <v>5</v>
      </c>
    </row>
    <row r="9" spans="1:19" x14ac:dyDescent="0.2">
      <c r="A9" s="12" t="s">
        <v>12</v>
      </c>
    </row>
    <row r="10" spans="1:19" x14ac:dyDescent="0.2">
      <c r="A10" s="43" t="s">
        <v>3916</v>
      </c>
      <c r="B10" s="14">
        <f>+'KY_Res by Plant Acct P16(REG)'!B10+'VA_Res by Plant Acct P17(REG)'!B10+'TN_Res by Plant Acct P18(REG)'!B10</f>
        <v>-1458104.9799999997</v>
      </c>
      <c r="C10" s="13"/>
      <c r="D10" s="14">
        <f>+'KY_Res by Plant Acct P16(REG)'!D10+'VA_Res by Plant Acct P17(REG)'!D10+'TN_Res by Plant Acct P18(REG)'!D10</f>
        <v>-12579.72</v>
      </c>
      <c r="E10" s="13"/>
      <c r="F10" s="14">
        <f>+'KY_Res by Plant Acct P16(REG)'!F10+'VA_Res by Plant Acct P17(REG)'!F10+'TN_Res by Plant Acct P18(REG)'!F10</f>
        <v>0</v>
      </c>
      <c r="G10" s="13"/>
      <c r="H10" s="14">
        <f>+'KY_Res by Plant Acct P16(REG)'!H10+'VA_Res by Plant Acct P17(REG)'!H10+'TN_Res by Plant Acct P18(REG)'!H10</f>
        <v>0</v>
      </c>
      <c r="I10" s="13"/>
      <c r="J10" s="14">
        <f>+'KY_Res by Plant Acct P16(REG)'!J10+'VA_Res by Plant Acct P17(REG)'!J10+'TN_Res by Plant Acct P18(REG)'!J10</f>
        <v>0</v>
      </c>
      <c r="K10" s="13"/>
      <c r="L10" s="14">
        <f>+'KY_Res by Plant Acct P16(REG)'!L10+'VA_Res by Plant Acct P17(REG)'!L10+'TN_Res by Plant Acct P18(REG)'!L10</f>
        <v>0</v>
      </c>
      <c r="M10" s="13"/>
      <c r="N10" s="14">
        <f>+'KY_Res by Plant Acct P16(REG)'!N10+'VA_Res by Plant Acct P17(REG)'!N10+'TN_Res by Plant Acct P18(REG)'!N10</f>
        <v>0</v>
      </c>
      <c r="O10" s="13"/>
      <c r="P10" s="14">
        <f>+'KY_Res by Plant Acct P16(REG)'!P10+'VA_Res by Plant Acct P17(REG)'!P10+'TN_Res by Plant Acct P18(REG)'!P10</f>
        <v>0</v>
      </c>
      <c r="Q10" s="13"/>
      <c r="R10" s="14">
        <f t="shared" ref="R10:R31" si="0">SUM(B10:P10)</f>
        <v>-1470684.6999999997</v>
      </c>
    </row>
    <row r="11" spans="1:19" x14ac:dyDescent="0.2">
      <c r="A11" s="3" t="s">
        <v>3917</v>
      </c>
      <c r="B11" s="14">
        <f>+'KY_Res by Plant Acct P16(REG)'!B11</f>
        <v>0</v>
      </c>
      <c r="C11" s="13"/>
      <c r="D11" s="14">
        <f>+'KY_Res by Plant Acct P16(REG)'!D11</f>
        <v>0</v>
      </c>
      <c r="E11" s="13"/>
      <c r="F11" s="14">
        <f>+'KY_Res by Plant Acct P16(REG)'!F11</f>
        <v>0</v>
      </c>
      <c r="G11" s="13"/>
      <c r="H11" s="14">
        <f>+'KY_Res by Plant Acct P16(REG)'!H11</f>
        <v>0</v>
      </c>
      <c r="I11" s="13"/>
      <c r="J11" s="14">
        <f>+'KY_Res by Plant Acct P16(REG)'!J11</f>
        <v>0</v>
      </c>
      <c r="K11" s="13"/>
      <c r="L11" s="14">
        <f>+'KY_Res by Plant Acct P16(REG)'!L11</f>
        <v>0</v>
      </c>
      <c r="M11" s="13"/>
      <c r="N11" s="14">
        <f>+'KY_Res by Plant Acct P16(REG)'!N11</f>
        <v>0</v>
      </c>
      <c r="O11" s="13"/>
      <c r="P11" s="14">
        <f>+'KY_Res by Plant Acct P16(REG)'!P11</f>
        <v>0</v>
      </c>
      <c r="Q11" s="13"/>
      <c r="R11" s="14">
        <f t="shared" si="0"/>
        <v>0</v>
      </c>
    </row>
    <row r="12" spans="1:19" x14ac:dyDescent="0.2">
      <c r="A12" s="3" t="s">
        <v>3918</v>
      </c>
      <c r="B12" s="14">
        <f>+'KY_Res by Plant Acct P16(REG)'!B12</f>
        <v>-7.2759576141834259E-12</v>
      </c>
      <c r="C12" s="13"/>
      <c r="D12" s="14">
        <f>+'KY_Res by Plant Acct P16(REG)'!D12</f>
        <v>0</v>
      </c>
      <c r="E12" s="13"/>
      <c r="F12" s="14">
        <f>+'KY_Res by Plant Acct P16(REG)'!F12</f>
        <v>0</v>
      </c>
      <c r="G12" s="13"/>
      <c r="H12" s="14">
        <f>+'KY_Res by Plant Acct P16(REG)'!H12</f>
        <v>0</v>
      </c>
      <c r="I12" s="13"/>
      <c r="J12" s="14">
        <f>+'KY_Res by Plant Acct P16(REG)'!J12</f>
        <v>0</v>
      </c>
      <c r="K12" s="13"/>
      <c r="L12" s="14">
        <f>+'KY_Res by Plant Acct P16(REG)'!L12</f>
        <v>0</v>
      </c>
      <c r="M12" s="13"/>
      <c r="N12" s="14">
        <f>+'KY_Res by Plant Acct P16(REG)'!N12</f>
        <v>0</v>
      </c>
      <c r="O12" s="13"/>
      <c r="P12" s="14">
        <f>+'KY_Res by Plant Acct P16(REG)'!P12</f>
        <v>0</v>
      </c>
      <c r="Q12" s="13"/>
      <c r="R12" s="14">
        <f t="shared" si="0"/>
        <v>-7.2759576141834259E-12</v>
      </c>
    </row>
    <row r="13" spans="1:19" x14ac:dyDescent="0.2">
      <c r="A13" s="3" t="s">
        <v>3919</v>
      </c>
      <c r="B13" s="14">
        <f>+'KY_Res by Plant Acct P16(REG)'!B13+'VA_Res by Plant Acct P17(REG)'!B11+'TN_Res by Plant Acct P18(REG)'!B11</f>
        <v>-2256794.2800000003</v>
      </c>
      <c r="C13" s="13"/>
      <c r="D13" s="14">
        <f>+'KY_Res by Plant Acct P16(REG)'!D13+'VA_Res by Plant Acct P17(REG)'!D11+'TN_Res by Plant Acct P18(REG)'!D11</f>
        <v>-247639.05000000002</v>
      </c>
      <c r="E13" s="13"/>
      <c r="F13" s="14">
        <f>+'KY_Res by Plant Acct P16(REG)'!F13+'VA_Res by Plant Acct P17(REG)'!F11+'TN_Res by Plant Acct P18(REG)'!F11</f>
        <v>15317.6</v>
      </c>
      <c r="G13" s="13"/>
      <c r="H13" s="14">
        <f>+'KY_Res by Plant Acct P16(REG)'!H13+'VA_Res by Plant Acct P17(REG)'!H11+'TN_Res by Plant Acct P18(REG)'!H11</f>
        <v>-3397.25</v>
      </c>
      <c r="I13" s="13"/>
      <c r="J13" s="14">
        <f>+'KY_Res by Plant Acct P16(REG)'!J13+'VA_Res by Plant Acct P17(REG)'!J11+'TN_Res by Plant Acct P18(REG)'!J11</f>
        <v>0</v>
      </c>
      <c r="K13" s="13"/>
      <c r="L13" s="14">
        <f>+'KY_Res by Plant Acct P16(REG)'!L13+'VA_Res by Plant Acct P17(REG)'!L11+'TN_Res by Plant Acct P18(REG)'!L11</f>
        <v>40949.880000000005</v>
      </c>
      <c r="M13" s="13"/>
      <c r="N13" s="14">
        <f>+'KY_Res by Plant Acct P16(REG)'!N13+'VA_Res by Plant Acct P17(REG)'!N11+'TN_Res by Plant Acct P18(REG)'!N11</f>
        <v>0</v>
      </c>
      <c r="O13" s="13"/>
      <c r="P13" s="14">
        <f>+'KY_Res by Plant Acct P16(REG)'!P13+'VA_Res by Plant Acct P17(REG)'!P11+'TN_Res by Plant Acct P18(REG)'!P11</f>
        <v>0</v>
      </c>
      <c r="Q13" s="13"/>
      <c r="R13" s="14">
        <f t="shared" si="0"/>
        <v>-2451563.1</v>
      </c>
    </row>
    <row r="14" spans="1:19" x14ac:dyDescent="0.2">
      <c r="A14" s="3" t="s">
        <v>3920</v>
      </c>
      <c r="B14" s="14">
        <f>+'KY_Res by Plant Acct P16(REG)'!B14+'VA_Res by Plant Acct P17(REG)'!B12+'TN_Res by Plant Acct P18(REG)'!B12</f>
        <v>-47843030.739999987</v>
      </c>
      <c r="C14" s="13"/>
      <c r="D14" s="14">
        <f>+'KY_Res by Plant Acct P16(REG)'!D14+'VA_Res by Plant Acct P17(REG)'!D12+'TN_Res by Plant Acct P18(REG)'!D12</f>
        <v>-4053240.2600000002</v>
      </c>
      <c r="E14" s="13"/>
      <c r="F14" s="14">
        <f>+'KY_Res by Plant Acct P16(REG)'!F14+'VA_Res by Plant Acct P17(REG)'!F12+'TN_Res by Plant Acct P18(REG)'!F12</f>
        <v>899151.6</v>
      </c>
      <c r="G14" s="13"/>
      <c r="H14" s="14">
        <f>+'KY_Res by Plant Acct P16(REG)'!H14+'VA_Res by Plant Acct P17(REG)'!H12+'TN_Res by Plant Acct P18(REG)'!H12</f>
        <v>13586.830000000002</v>
      </c>
      <c r="I14" s="13"/>
      <c r="J14" s="14">
        <f>+'KY_Res by Plant Acct P16(REG)'!J14+'VA_Res by Plant Acct P17(REG)'!J12+'TN_Res by Plant Acct P18(REG)'!J12</f>
        <v>0</v>
      </c>
      <c r="K14" s="13"/>
      <c r="L14" s="14">
        <f>+'KY_Res by Plant Acct P16(REG)'!L14+'VA_Res by Plant Acct P17(REG)'!L12+'TN_Res by Plant Acct P18(REG)'!L12</f>
        <v>458821.44</v>
      </c>
      <c r="M14" s="13"/>
      <c r="N14" s="14">
        <f>+'KY_Res by Plant Acct P16(REG)'!N14+'VA_Res by Plant Acct P17(REG)'!N12+'TN_Res by Plant Acct P18(REG)'!N12</f>
        <v>-116224.1</v>
      </c>
      <c r="O14" s="13"/>
      <c r="P14" s="14">
        <f>+'KY_Res by Plant Acct P16(REG)'!P14+'VA_Res by Plant Acct P17(REG)'!P12+'TN_Res by Plant Acct P18(REG)'!P12</f>
        <v>0</v>
      </c>
      <c r="Q14" s="13"/>
      <c r="R14" s="14">
        <f t="shared" si="0"/>
        <v>-50640935.229999989</v>
      </c>
    </row>
    <row r="15" spans="1:19" x14ac:dyDescent="0.2">
      <c r="A15" s="3" t="s">
        <v>3432</v>
      </c>
      <c r="B15" s="14">
        <f>+'KY_Res by Plant Acct P16(REG)'!B15</f>
        <v>-798.56000000000006</v>
      </c>
      <c r="C15" s="14">
        <f>+'KY_Res by Plant Acct P16(REG)'!C15</f>
        <v>0</v>
      </c>
      <c r="D15" s="14">
        <f>+'KY_Res by Plant Acct P16(REG)'!D15</f>
        <v>-618.24</v>
      </c>
      <c r="E15" s="14">
        <f>+'KY_Res by Plant Acct P16(REG)'!E15</f>
        <v>0</v>
      </c>
      <c r="F15" s="14">
        <f>+'KY_Res by Plant Acct P16(REG)'!F15</f>
        <v>0</v>
      </c>
      <c r="G15" s="14">
        <f>+'KY_Res by Plant Acct P16(REG)'!G15</f>
        <v>0</v>
      </c>
      <c r="H15" s="14">
        <f>+'KY_Res by Plant Acct P16(REG)'!H15</f>
        <v>0</v>
      </c>
      <c r="I15" s="14">
        <f>+'KY_Res by Plant Acct P16(REG)'!I15</f>
        <v>0</v>
      </c>
      <c r="J15" s="14">
        <f>+'KY_Res by Plant Acct P16(REG)'!J15</f>
        <v>0</v>
      </c>
      <c r="K15" s="14">
        <f>+'KY_Res by Plant Acct P16(REG)'!K15</f>
        <v>0</v>
      </c>
      <c r="L15" s="14">
        <f>+'KY_Res by Plant Acct P16(REG)'!L15</f>
        <v>0</v>
      </c>
      <c r="M15" s="14">
        <f>+'KY_Res by Plant Acct P16(REG)'!M15</f>
        <v>0</v>
      </c>
      <c r="N15" s="14">
        <f>+'KY_Res by Plant Acct P16(REG)'!N15</f>
        <v>0</v>
      </c>
      <c r="O15" s="14">
        <f>+'KY_Res by Plant Acct P16(REG)'!O15</f>
        <v>0</v>
      </c>
      <c r="P15" s="14">
        <f>+'KY_Res by Plant Acct P16(REG)'!P15</f>
        <v>0</v>
      </c>
      <c r="Q15" s="13"/>
      <c r="R15" s="14">
        <f t="shared" si="0"/>
        <v>-1416.8000000000002</v>
      </c>
    </row>
    <row r="16" spans="1:19" x14ac:dyDescent="0.2">
      <c r="A16" s="3" t="s">
        <v>3921</v>
      </c>
      <c r="B16" s="14">
        <f>+'KY_Res by Plant Acct P16(REG)'!B16</f>
        <v>-0.28999999999476156</v>
      </c>
      <c r="C16" s="13"/>
      <c r="D16" s="14">
        <f>+'KY_Res by Plant Acct P16(REG)'!D16</f>
        <v>0</v>
      </c>
      <c r="E16" s="13"/>
      <c r="F16" s="14">
        <f>+'KY_Res by Plant Acct P16(REG)'!F16</f>
        <v>0</v>
      </c>
      <c r="G16" s="13"/>
      <c r="H16" s="14">
        <f>+'KY_Res by Plant Acct P16(REG)'!H16</f>
        <v>0</v>
      </c>
      <c r="I16" s="13"/>
      <c r="J16" s="14">
        <f>+'KY_Res by Plant Acct P16(REG)'!J16</f>
        <v>0</v>
      </c>
      <c r="K16" s="13"/>
      <c r="L16" s="14">
        <f>+'KY_Res by Plant Acct P16(REG)'!L16</f>
        <v>0</v>
      </c>
      <c r="M16" s="13"/>
      <c r="N16" s="14">
        <f>+'KY_Res by Plant Acct P16(REG)'!N16</f>
        <v>0</v>
      </c>
      <c r="O16" s="13"/>
      <c r="P16" s="14">
        <f>+'KY_Res by Plant Acct P16(REG)'!P16</f>
        <v>0</v>
      </c>
      <c r="Q16" s="13"/>
      <c r="R16" s="14">
        <f t="shared" si="0"/>
        <v>-0.28999999999476156</v>
      </c>
    </row>
    <row r="17" spans="1:18" x14ac:dyDescent="0.2">
      <c r="A17" s="3" t="s">
        <v>3922</v>
      </c>
      <c r="B17" s="14">
        <f>+'KY_Res by Plant Acct P16(REG)'!B17+'VA_Res by Plant Acct P17(REG)'!B13+'TN_Res by Plant Acct P18(REG)'!B13</f>
        <v>-152140312.00000003</v>
      </c>
      <c r="C17" s="13"/>
      <c r="D17" s="14">
        <f>+'KY_Res by Plant Acct P16(REG)'!D17+'VA_Res by Plant Acct P17(REG)'!D13+'TN_Res by Plant Acct P18(REG)'!D13</f>
        <v>-8514521.3100000005</v>
      </c>
      <c r="E17" s="13"/>
      <c r="F17" s="14">
        <f>+'KY_Res by Plant Acct P16(REG)'!F17+'VA_Res by Plant Acct P17(REG)'!F13+'TN_Res by Plant Acct P18(REG)'!F13</f>
        <v>1629782.06</v>
      </c>
      <c r="G17" s="13"/>
      <c r="H17" s="14">
        <f>+'KY_Res by Plant Acct P16(REG)'!H17+'VA_Res by Plant Acct P17(REG)'!H13+'TN_Res by Plant Acct P18(REG)'!H13</f>
        <v>0</v>
      </c>
      <c r="I17" s="13"/>
      <c r="J17" s="14">
        <f>+'KY_Res by Plant Acct P16(REG)'!J17+'VA_Res by Plant Acct P17(REG)'!J13+'TN_Res by Plant Acct P18(REG)'!J13</f>
        <v>0</v>
      </c>
      <c r="K17" s="13"/>
      <c r="L17" s="14">
        <f>+'KY_Res by Plant Acct P16(REG)'!L17+'VA_Res by Plant Acct P17(REG)'!L13+'TN_Res by Plant Acct P18(REG)'!L13</f>
        <v>1437531.89</v>
      </c>
      <c r="M17" s="13"/>
      <c r="N17" s="14">
        <f>+'KY_Res by Plant Acct P16(REG)'!N17+'VA_Res by Plant Acct P17(REG)'!N13+'TN_Res by Plant Acct P18(REG)'!N13</f>
        <v>-17162.010000000002</v>
      </c>
      <c r="O17" s="13"/>
      <c r="P17" s="14">
        <f>+'KY_Res by Plant Acct P16(REG)'!P17+'VA_Res by Plant Acct P17(REG)'!P13+'TN_Res by Plant Acct P18(REG)'!P13</f>
        <v>-54147.44999999999</v>
      </c>
      <c r="Q17" s="13"/>
      <c r="R17" s="14">
        <f t="shared" si="0"/>
        <v>-157658828.82000002</v>
      </c>
    </row>
    <row r="18" spans="1:18" x14ac:dyDescent="0.2">
      <c r="A18" s="3" t="s">
        <v>3923</v>
      </c>
      <c r="B18" s="14">
        <f>+'KY_Res by Plant Acct P16(REG)'!B18</f>
        <v>-0.18999999998777639</v>
      </c>
      <c r="C18" s="13"/>
      <c r="D18" s="14">
        <f>+'KY_Res by Plant Acct P16(REG)'!D18</f>
        <v>0</v>
      </c>
      <c r="E18" s="13"/>
      <c r="F18" s="14">
        <f>+'KY_Res by Plant Acct P16(REG)'!F18</f>
        <v>0</v>
      </c>
      <c r="G18" s="13"/>
      <c r="H18" s="14">
        <f>+'KY_Res by Plant Acct P16(REG)'!H18</f>
        <v>0</v>
      </c>
      <c r="I18" s="13"/>
      <c r="J18" s="14">
        <f>+'KY_Res by Plant Acct P16(REG)'!J18</f>
        <v>0</v>
      </c>
      <c r="K18" s="13"/>
      <c r="L18" s="14">
        <f>+'KY_Res by Plant Acct P16(REG)'!L18</f>
        <v>-2926.33</v>
      </c>
      <c r="M18" s="13"/>
      <c r="N18" s="14">
        <f>+'KY_Res by Plant Acct P16(REG)'!N18</f>
        <v>0</v>
      </c>
      <c r="O18" s="13"/>
      <c r="P18" s="14">
        <f>+'KY_Res by Plant Acct P16(REG)'!P18</f>
        <v>2926.33</v>
      </c>
      <c r="Q18" s="13"/>
      <c r="R18" s="14">
        <f t="shared" si="0"/>
        <v>-0.18999999998777639</v>
      </c>
    </row>
    <row r="19" spans="1:18" x14ac:dyDescent="0.2">
      <c r="A19" s="3" t="s">
        <v>3924</v>
      </c>
      <c r="B19" s="14">
        <f>+'KY_Res by Plant Acct P16(REG)'!B19+'VA_Res by Plant Acct P17(REG)'!B14+'TN_Res by Plant Acct P18(REG)'!B14</f>
        <v>-119402239.10999995</v>
      </c>
      <c r="C19" s="13"/>
      <c r="D19" s="14">
        <f>+'KY_Res by Plant Acct P16(REG)'!D19+'VA_Res by Plant Acct P17(REG)'!D14+'TN_Res by Plant Acct P18(REG)'!D14</f>
        <v>-11282731.51</v>
      </c>
      <c r="E19" s="13"/>
      <c r="F19" s="14">
        <f>+'KY_Res by Plant Acct P16(REG)'!F19+'VA_Res by Plant Acct P17(REG)'!F14+'TN_Res by Plant Acct P18(REG)'!F14</f>
        <v>9797419.1699999999</v>
      </c>
      <c r="G19" s="13"/>
      <c r="H19" s="14">
        <f>+'KY_Res by Plant Acct P16(REG)'!H19+'VA_Res by Plant Acct P17(REG)'!H14+'TN_Res by Plant Acct P18(REG)'!H14</f>
        <v>-12373.75</v>
      </c>
      <c r="I19" s="13"/>
      <c r="J19" s="14">
        <f>+'KY_Res by Plant Acct P16(REG)'!J19+'VA_Res by Plant Acct P17(REG)'!J14+'TN_Res by Plant Acct P18(REG)'!J14</f>
        <v>0</v>
      </c>
      <c r="K19" s="13"/>
      <c r="L19" s="14">
        <f>+'KY_Res by Plant Acct P16(REG)'!L19+'VA_Res by Plant Acct P17(REG)'!L14+'TN_Res by Plant Acct P18(REG)'!L14</f>
        <v>2918898.04</v>
      </c>
      <c r="M19" s="13"/>
      <c r="N19" s="14">
        <f>+'KY_Res by Plant Acct P16(REG)'!N19+'VA_Res by Plant Acct P17(REG)'!N14+'TN_Res by Plant Acct P18(REG)'!N14</f>
        <v>-71785.210000000006</v>
      </c>
      <c r="O19" s="13"/>
      <c r="P19" s="14">
        <f>+'KY_Res by Plant Acct P16(REG)'!P19+'VA_Res by Plant Acct P17(REG)'!P14+'TN_Res by Plant Acct P18(REG)'!P14</f>
        <v>-273820.90000000008</v>
      </c>
      <c r="Q19" s="13"/>
      <c r="R19" s="14">
        <f t="shared" si="0"/>
        <v>-118326633.26999995</v>
      </c>
    </row>
    <row r="20" spans="1:18" x14ac:dyDescent="0.2">
      <c r="A20" s="3" t="s">
        <v>3437</v>
      </c>
      <c r="B20" s="14">
        <f>+'KY_Res by Plant Acct P16(REG)'!B20</f>
        <v>-984.71</v>
      </c>
      <c r="C20" s="14">
        <f>+'KY_Res by Plant Acct P16(REG)'!C20</f>
        <v>0</v>
      </c>
      <c r="D20" s="14">
        <f>+'KY_Res by Plant Acct P16(REG)'!D20</f>
        <v>-762.36</v>
      </c>
      <c r="E20" s="14">
        <f>+'KY_Res by Plant Acct P16(REG)'!E20</f>
        <v>0</v>
      </c>
      <c r="F20" s="14">
        <f>+'KY_Res by Plant Acct P16(REG)'!F20</f>
        <v>0</v>
      </c>
      <c r="G20" s="14">
        <f>+'KY_Res by Plant Acct P16(REG)'!G20</f>
        <v>0</v>
      </c>
      <c r="H20" s="14">
        <f>+'KY_Res by Plant Acct P16(REG)'!H20</f>
        <v>0</v>
      </c>
      <c r="I20" s="14">
        <f>+'KY_Res by Plant Acct P16(REG)'!I20</f>
        <v>0</v>
      </c>
      <c r="J20" s="14">
        <f>+'KY_Res by Plant Acct P16(REG)'!J20</f>
        <v>0</v>
      </c>
      <c r="K20" s="14">
        <f>+'KY_Res by Plant Acct P16(REG)'!K20</f>
        <v>0</v>
      </c>
      <c r="L20" s="14">
        <f>+'KY_Res by Plant Acct P16(REG)'!L20</f>
        <v>0</v>
      </c>
      <c r="M20" s="14">
        <f>+'KY_Res by Plant Acct P16(REG)'!M20</f>
        <v>0</v>
      </c>
      <c r="N20" s="14">
        <f>+'KY_Res by Plant Acct P16(REG)'!N20</f>
        <v>0</v>
      </c>
      <c r="O20" s="14">
        <f>+'KY_Res by Plant Acct P16(REG)'!O20</f>
        <v>0</v>
      </c>
      <c r="P20" s="14">
        <f>+'KY_Res by Plant Acct P16(REG)'!P20</f>
        <v>0</v>
      </c>
      <c r="Q20" s="13"/>
      <c r="R20" s="14">
        <f t="shared" si="0"/>
        <v>-1747.0700000000002</v>
      </c>
    </row>
    <row r="21" spans="1:18" x14ac:dyDescent="0.2">
      <c r="A21" s="3" t="s">
        <v>3925</v>
      </c>
      <c r="B21" s="14">
        <f>+'KY_Res by Plant Acct P16(REG)'!B21</f>
        <v>-826600.24000000011</v>
      </c>
      <c r="C21" s="13"/>
      <c r="D21" s="14">
        <f>+'KY_Res by Plant Acct P16(REG)'!D21+'VA_Res by Plant Acct P17(REG)'!D15+'TN_Res by Plant Acct P18(REG)'!D15</f>
        <v>-56121.95</v>
      </c>
      <c r="E21" s="13"/>
      <c r="F21" s="14">
        <f>+'KY_Res by Plant Acct P16(REG)'!F21+'VA_Res by Plant Acct P17(REG)'!F15+'TN_Res by Plant Acct P18(REG)'!F15</f>
        <v>2186.06</v>
      </c>
      <c r="G21" s="13"/>
      <c r="H21" s="14">
        <f>+'KY_Res by Plant Acct P16(REG)'!H21+'VA_Res by Plant Acct P17(REG)'!H15+'TN_Res by Plant Acct P18(REG)'!H15</f>
        <v>0</v>
      </c>
      <c r="I21" s="13"/>
      <c r="J21" s="14">
        <f>+'KY_Res by Plant Acct P16(REG)'!J21+'VA_Res by Plant Acct P17(REG)'!J15+'TN_Res by Plant Acct P18(REG)'!J15</f>
        <v>0</v>
      </c>
      <c r="K21" s="13"/>
      <c r="L21" s="14">
        <f>+'KY_Res by Plant Acct P16(REG)'!L21+'VA_Res by Plant Acct P17(REG)'!L15+'TN_Res by Plant Acct P18(REG)'!L15</f>
        <v>0</v>
      </c>
      <c r="M21" s="13"/>
      <c r="N21" s="14">
        <f>+'KY_Res by Plant Acct P16(REG)'!N21+'VA_Res by Plant Acct P17(REG)'!N15+'TN_Res by Plant Acct P18(REG)'!N15</f>
        <v>0</v>
      </c>
      <c r="O21" s="13"/>
      <c r="P21" s="14">
        <f>+'KY_Res by Plant Acct P16(REG)'!P21+'VA_Res by Plant Acct P17(REG)'!P15+'TN_Res by Plant Acct P18(REG)'!P15</f>
        <v>0</v>
      </c>
      <c r="Q21" s="13"/>
      <c r="R21" s="14">
        <f t="shared" si="0"/>
        <v>-880536.13</v>
      </c>
    </row>
    <row r="22" spans="1:18" x14ac:dyDescent="0.2">
      <c r="A22" s="3" t="s">
        <v>3439</v>
      </c>
      <c r="B22" s="14">
        <f>+'KY_Res by Plant Acct P16(REG)'!B22</f>
        <v>-5963.78</v>
      </c>
      <c r="C22" s="14">
        <f>+'KY_Res by Plant Acct P16(REG)'!C22</f>
        <v>0</v>
      </c>
      <c r="D22" s="14">
        <f>+'KY_Res by Plant Acct P16(REG)'!D22</f>
        <v>-4617.12</v>
      </c>
      <c r="E22" s="14">
        <f>+'KY_Res by Plant Acct P16(REG)'!E22</f>
        <v>0</v>
      </c>
      <c r="F22" s="14">
        <f>+'KY_Res by Plant Acct P16(REG)'!F22</f>
        <v>0</v>
      </c>
      <c r="G22" s="14">
        <f>+'KY_Res by Plant Acct P16(REG)'!G22</f>
        <v>0</v>
      </c>
      <c r="H22" s="14">
        <f>+'KY_Res by Plant Acct P16(REG)'!H22</f>
        <v>0</v>
      </c>
      <c r="I22" s="14">
        <f>+'KY_Res by Plant Acct P16(REG)'!I22</f>
        <v>0</v>
      </c>
      <c r="J22" s="14">
        <f>+'KY_Res by Plant Acct P16(REG)'!J22</f>
        <v>0</v>
      </c>
      <c r="K22" s="14">
        <f>+'KY_Res by Plant Acct P16(REG)'!K22</f>
        <v>0</v>
      </c>
      <c r="L22" s="14">
        <f>+'KY_Res by Plant Acct P16(REG)'!L22</f>
        <v>0</v>
      </c>
      <c r="M22" s="14">
        <f>+'KY_Res by Plant Acct P16(REG)'!M22</f>
        <v>0</v>
      </c>
      <c r="N22" s="14">
        <f>+'KY_Res by Plant Acct P16(REG)'!N22</f>
        <v>0</v>
      </c>
      <c r="O22" s="14">
        <f>+'KY_Res by Plant Acct P16(REG)'!O22</f>
        <v>0</v>
      </c>
      <c r="P22" s="14">
        <f>+'KY_Res by Plant Acct P16(REG)'!P22</f>
        <v>0</v>
      </c>
      <c r="Q22" s="13"/>
      <c r="R22" s="14">
        <f t="shared" si="0"/>
        <v>-10580.9</v>
      </c>
    </row>
    <row r="23" spans="1:18" x14ac:dyDescent="0.2">
      <c r="A23" s="3" t="s">
        <v>3926</v>
      </c>
      <c r="B23" s="14">
        <f>+'KY_Res by Plant Acct P16(REG)'!B23+'VA_Res by Plant Acct P17(REG)'!B16+'TN_Res by Plant Acct P18(REG)'!B16</f>
        <v>-40545465.93999999</v>
      </c>
      <c r="C23" s="13"/>
      <c r="D23" s="14">
        <f>+'KY_Res by Plant Acct P16(REG)'!D23+'VA_Res by Plant Acct P17(REG)'!D16+'TN_Res by Plant Acct P18(REG)'!D16</f>
        <v>-4368981.8900000006</v>
      </c>
      <c r="E23" s="13"/>
      <c r="F23" s="14">
        <f>+'KY_Res by Plant Acct P16(REG)'!F23+'VA_Res by Plant Acct P17(REG)'!F16+'TN_Res by Plant Acct P18(REG)'!F16</f>
        <v>923111.28</v>
      </c>
      <c r="G23" s="13"/>
      <c r="H23" s="14">
        <f>+'KY_Res by Plant Acct P16(REG)'!H23+'VA_Res by Plant Acct P17(REG)'!H16+'TN_Res by Plant Acct P18(REG)'!H16</f>
        <v>0</v>
      </c>
      <c r="I23" s="13"/>
      <c r="J23" s="14">
        <f>+'KY_Res by Plant Acct P16(REG)'!J23+'VA_Res by Plant Acct P17(REG)'!J16+'TN_Res by Plant Acct P18(REG)'!J16</f>
        <v>0</v>
      </c>
      <c r="K23" s="13"/>
      <c r="L23" s="14">
        <f>+'KY_Res by Plant Acct P16(REG)'!L23+'VA_Res by Plant Acct P17(REG)'!L16+'TN_Res by Plant Acct P18(REG)'!L16</f>
        <v>139206.48000000001</v>
      </c>
      <c r="M23" s="13"/>
      <c r="N23" s="14">
        <f>+'KY_Res by Plant Acct P16(REG)'!N23+'VA_Res by Plant Acct P17(REG)'!N16+'TN_Res by Plant Acct P18(REG)'!N16</f>
        <v>-559.09</v>
      </c>
      <c r="O23" s="13"/>
      <c r="P23" s="14">
        <f>+'KY_Res by Plant Acct P16(REG)'!P23+'VA_Res by Plant Acct P17(REG)'!P16+'TN_Res by Plant Acct P18(REG)'!P16</f>
        <v>-90200.05</v>
      </c>
      <c r="Q23" s="13"/>
      <c r="R23" s="14">
        <f t="shared" si="0"/>
        <v>-43942889.209999993</v>
      </c>
    </row>
    <row r="24" spans="1:18" x14ac:dyDescent="0.2">
      <c r="A24" s="3" t="s">
        <v>3441</v>
      </c>
      <c r="B24" s="14">
        <f>+'KY_Res by Plant Acct P16(REG)'!B24</f>
        <v>-40595.74</v>
      </c>
      <c r="C24" s="14">
        <f>+'KY_Res by Plant Acct P16(REG)'!C24</f>
        <v>0</v>
      </c>
      <c r="D24" s="14">
        <f>+'KY_Res by Plant Acct P16(REG)'!D24</f>
        <v>-31428.959999999999</v>
      </c>
      <c r="E24" s="14">
        <f>+'KY_Res by Plant Acct P16(REG)'!E24</f>
        <v>0</v>
      </c>
      <c r="F24" s="14">
        <f>+'KY_Res by Plant Acct P16(REG)'!F24</f>
        <v>0</v>
      </c>
      <c r="G24" s="14">
        <f>+'KY_Res by Plant Acct P16(REG)'!G24</f>
        <v>0</v>
      </c>
      <c r="H24" s="14">
        <f>+'KY_Res by Plant Acct P16(REG)'!H24</f>
        <v>0</v>
      </c>
      <c r="I24" s="14">
        <f>+'KY_Res by Plant Acct P16(REG)'!I24</f>
        <v>0</v>
      </c>
      <c r="J24" s="14">
        <f>+'KY_Res by Plant Acct P16(REG)'!J24</f>
        <v>0</v>
      </c>
      <c r="K24" s="14">
        <f>+'KY_Res by Plant Acct P16(REG)'!K24</f>
        <v>0</v>
      </c>
      <c r="L24" s="14">
        <f>+'KY_Res by Plant Acct P16(REG)'!L24</f>
        <v>0</v>
      </c>
      <c r="M24" s="14">
        <f>+'KY_Res by Plant Acct P16(REG)'!M24</f>
        <v>0</v>
      </c>
      <c r="N24" s="14">
        <f>+'KY_Res by Plant Acct P16(REG)'!N24</f>
        <v>0</v>
      </c>
      <c r="O24" s="14">
        <f>+'KY_Res by Plant Acct P16(REG)'!O24</f>
        <v>0</v>
      </c>
      <c r="P24" s="14">
        <f>+'KY_Res by Plant Acct P16(REG)'!P24</f>
        <v>0</v>
      </c>
      <c r="Q24" s="13"/>
      <c r="R24" s="14">
        <f t="shared" si="0"/>
        <v>-72024.7</v>
      </c>
    </row>
    <row r="25" spans="1:18" x14ac:dyDescent="0.2">
      <c r="A25" s="3" t="s">
        <v>3927</v>
      </c>
      <c r="B25" s="14">
        <f>+'KY_Res by Plant Acct P16(REG)'!B25+'VA_Res by Plant Acct P17(REG)'!B17+'TN_Res by Plant Acct P18(REG)'!B17</f>
        <v>-141176694.49000001</v>
      </c>
      <c r="C25" s="13"/>
      <c r="D25" s="14">
        <f>+'KY_Res by Plant Acct P16(REG)'!D25+'VA_Res by Plant Acct P17(REG)'!D17+'TN_Res by Plant Acct P18(REG)'!D17</f>
        <v>-7611364.1400000006</v>
      </c>
      <c r="E25" s="13"/>
      <c r="F25" s="14">
        <f>+'KY_Res by Plant Acct P16(REG)'!F25+'VA_Res by Plant Acct P17(REG)'!F17+'TN_Res by Plant Acct P18(REG)'!F17</f>
        <v>1463668.85</v>
      </c>
      <c r="G25" s="13"/>
      <c r="H25" s="14">
        <f>+'KY_Res by Plant Acct P16(REG)'!H25+'VA_Res by Plant Acct P17(REG)'!H17+'TN_Res by Plant Acct P18(REG)'!H17</f>
        <v>0</v>
      </c>
      <c r="I25" s="13"/>
      <c r="J25" s="14">
        <f>+'KY_Res by Plant Acct P16(REG)'!J25+'VA_Res by Plant Acct P17(REG)'!J17+'TN_Res by Plant Acct P18(REG)'!J17</f>
        <v>0</v>
      </c>
      <c r="K25" s="13"/>
      <c r="L25" s="14">
        <f>+'KY_Res by Plant Acct P16(REG)'!L25+'VA_Res by Plant Acct P17(REG)'!L17+'TN_Res by Plant Acct P18(REG)'!L17</f>
        <v>267367.96000000002</v>
      </c>
      <c r="M25" s="13"/>
      <c r="N25" s="14">
        <f>+'KY_Res by Plant Acct P16(REG)'!N25+'VA_Res by Plant Acct P17(REG)'!N17+'TN_Res by Plant Acct P18(REG)'!N17</f>
        <v>-33571</v>
      </c>
      <c r="O25" s="13"/>
      <c r="P25" s="14">
        <f>+'KY_Res by Plant Acct P16(REG)'!P25+'VA_Res by Plant Acct P17(REG)'!P17+'TN_Res by Plant Acct P18(REG)'!P17</f>
        <v>-4179.84</v>
      </c>
      <c r="Q25" s="13"/>
      <c r="R25" s="14">
        <f t="shared" si="0"/>
        <v>-147094772.66</v>
      </c>
    </row>
    <row r="26" spans="1:18" x14ac:dyDescent="0.2">
      <c r="A26" s="3" t="s">
        <v>3928</v>
      </c>
      <c r="B26" s="14">
        <f>+'KY_Res by Plant Acct P16(REG)'!B26+'VA_Res by Plant Acct P17(REG)'!B18+'TN_Res by Plant Acct P18(REG)'!B18</f>
        <v>-61837514.70000001</v>
      </c>
      <c r="C26" s="13"/>
      <c r="D26" s="14">
        <f>+'KY_Res by Plant Acct P16(REG)'!D26+'VA_Res by Plant Acct P17(REG)'!D18+'TN_Res by Plant Acct P18(REG)'!D18</f>
        <v>-1991648.64</v>
      </c>
      <c r="E26" s="13"/>
      <c r="F26" s="14">
        <f>+'KY_Res by Plant Acct P16(REG)'!F26+'VA_Res by Plant Acct P17(REG)'!F18+'TN_Res by Plant Acct P18(REG)'!F18</f>
        <v>253089.96000000002</v>
      </c>
      <c r="G26" s="13"/>
      <c r="H26" s="14">
        <f>+'KY_Res by Plant Acct P16(REG)'!H26+'VA_Res by Plant Acct P17(REG)'!H18+'TN_Res by Plant Acct P18(REG)'!H18</f>
        <v>0</v>
      </c>
      <c r="I26" s="13"/>
      <c r="J26" s="14">
        <f>+'KY_Res by Plant Acct P16(REG)'!J26+'VA_Res by Plant Acct P17(REG)'!J18+'TN_Res by Plant Acct P18(REG)'!J18</f>
        <v>0</v>
      </c>
      <c r="K26" s="13"/>
      <c r="L26" s="14">
        <f>+'KY_Res by Plant Acct P16(REG)'!L26+'VA_Res by Plant Acct P17(REG)'!L18+'TN_Res by Plant Acct P18(REG)'!L18</f>
        <v>358909.35</v>
      </c>
      <c r="M26" s="13"/>
      <c r="N26" s="14">
        <f>+'KY_Res by Plant Acct P16(REG)'!N26+'VA_Res by Plant Acct P17(REG)'!N18+'TN_Res by Plant Acct P18(REG)'!N18</f>
        <v>0</v>
      </c>
      <c r="O26" s="13"/>
      <c r="P26" s="14">
        <f>+'KY_Res by Plant Acct P16(REG)'!P26+'VA_Res by Plant Acct P17(REG)'!P18+'TN_Res by Plant Acct P18(REG)'!P18</f>
        <v>0</v>
      </c>
      <c r="Q26" s="13"/>
      <c r="R26" s="14">
        <f t="shared" si="0"/>
        <v>-63217164.030000009</v>
      </c>
    </row>
    <row r="27" spans="1:18" x14ac:dyDescent="0.2">
      <c r="A27" s="3" t="s">
        <v>3929</v>
      </c>
      <c r="B27" s="14">
        <f>+'KY_Res by Plant Acct P16(REG)'!B27+'VA_Res by Plant Acct P17(REG)'!B19+'TN_Res by Plant Acct P18(REG)'!B19</f>
        <v>-37935210.530000001</v>
      </c>
      <c r="C27" s="13"/>
      <c r="D27" s="14">
        <f>+'KY_Res by Plant Acct P16(REG)'!D27+'VA_Res by Plant Acct P17(REG)'!D19+'TN_Res by Plant Acct P18(REG)'!D19</f>
        <v>-1774232.1400000001</v>
      </c>
      <c r="E27" s="13"/>
      <c r="F27" s="14">
        <f>+'KY_Res by Plant Acct P16(REG)'!F27+'VA_Res by Plant Acct P17(REG)'!F19+'TN_Res by Plant Acct P18(REG)'!F19</f>
        <v>827990.75</v>
      </c>
      <c r="G27" s="13"/>
      <c r="H27" s="14">
        <f>+'KY_Res by Plant Acct P16(REG)'!H27+'VA_Res by Plant Acct P17(REG)'!H19+'TN_Res by Plant Acct P18(REG)'!H19</f>
        <v>0</v>
      </c>
      <c r="I27" s="13"/>
      <c r="J27" s="14">
        <f>+'KY_Res by Plant Acct P16(REG)'!J27+'VA_Res by Plant Acct P17(REG)'!J19+'TN_Res by Plant Acct P18(REG)'!J19</f>
        <v>0</v>
      </c>
      <c r="K27" s="13"/>
      <c r="L27" s="14">
        <f>+'KY_Res by Plant Acct P16(REG)'!L27+'VA_Res by Plant Acct P17(REG)'!L19+'TN_Res by Plant Acct P18(REG)'!L19</f>
        <v>-365.19</v>
      </c>
      <c r="M27" s="13"/>
      <c r="N27" s="14">
        <f>+'KY_Res by Plant Acct P16(REG)'!N27+'VA_Res by Plant Acct P17(REG)'!N19+'TN_Res by Plant Acct P18(REG)'!N19</f>
        <v>-9968</v>
      </c>
      <c r="O27" s="13"/>
      <c r="P27" s="14">
        <f>+'KY_Res by Plant Acct P16(REG)'!P27+'VA_Res by Plant Acct P17(REG)'!P19+'TN_Res by Plant Acct P18(REG)'!P19</f>
        <v>365.19</v>
      </c>
      <c r="Q27" s="13"/>
      <c r="R27" s="14">
        <f t="shared" si="0"/>
        <v>-38891419.920000002</v>
      </c>
    </row>
    <row r="28" spans="1:18" x14ac:dyDescent="0.2">
      <c r="A28" s="43" t="s">
        <v>3930</v>
      </c>
      <c r="B28" s="14">
        <f>+'KY_Res by Plant Acct P16(REG)'!B28</f>
        <v>-4284.3500000000004</v>
      </c>
      <c r="C28" s="13"/>
      <c r="D28" s="14">
        <f>+'KY_Res by Plant Acct P16(REG)'!D28</f>
        <v>-19521.61</v>
      </c>
      <c r="E28" s="13"/>
      <c r="F28" s="14">
        <f>+'KY_Res by Plant Acct P16(REG)'!F28</f>
        <v>0</v>
      </c>
      <c r="G28" s="13"/>
      <c r="H28" s="14">
        <f>+'KY_Res by Plant Acct P16(REG)'!H28</f>
        <v>0</v>
      </c>
      <c r="I28" s="13"/>
      <c r="J28" s="14">
        <f>+'KY_Res by Plant Acct P16(REG)'!J28</f>
        <v>0</v>
      </c>
      <c r="K28" s="13"/>
      <c r="L28" s="14">
        <f>+'KY_Res by Plant Acct P16(REG)'!L28</f>
        <v>0</v>
      </c>
      <c r="M28" s="13"/>
      <c r="N28" s="14">
        <f>+'KY_Res by Plant Acct P16(REG)'!N28</f>
        <v>0</v>
      </c>
      <c r="O28" s="13"/>
      <c r="P28" s="14">
        <f>+'KY_Res by Plant Acct P16(REG)'!P28</f>
        <v>0</v>
      </c>
      <c r="Q28" s="13"/>
      <c r="R28" s="14">
        <f t="shared" si="0"/>
        <v>-23805.96</v>
      </c>
    </row>
    <row r="29" spans="1:18" x14ac:dyDescent="0.2">
      <c r="A29" s="3" t="s">
        <v>3931</v>
      </c>
      <c r="B29" s="14">
        <f>+'KY_Res by Plant Acct P16(REG)'!B29+'VA_Res by Plant Acct P17(REG)'!B20+'TN_Res by Plant Acct P18(REG)'!B20</f>
        <v>-17012710.250000007</v>
      </c>
      <c r="C29" s="13"/>
      <c r="D29" s="14">
        <f>+'KY_Res by Plant Acct P16(REG)'!D29+'VA_Res by Plant Acct P17(REG)'!D20+'TN_Res by Plant Acct P18(REG)'!D20</f>
        <v>-51913.77</v>
      </c>
      <c r="E29" s="13"/>
      <c r="F29" s="14">
        <f>+'KY_Res by Plant Acct P16(REG)'!F29+'VA_Res by Plant Acct P17(REG)'!F20+'TN_Res by Plant Acct P18(REG)'!F20</f>
        <v>-3735.54</v>
      </c>
      <c r="G29" s="13"/>
      <c r="H29" s="14">
        <f>+'KY_Res by Plant Acct P16(REG)'!H29+'VA_Res by Plant Acct P17(REG)'!H20+'TN_Res by Plant Acct P18(REG)'!H20</f>
        <v>17068110.080000002</v>
      </c>
      <c r="I29" s="13"/>
      <c r="J29" s="14">
        <f>+'KY_Res by Plant Acct P16(REG)'!J29+'VA_Res by Plant Acct P17(REG)'!J20+'TN_Res by Plant Acct P18(REG)'!J20</f>
        <v>0</v>
      </c>
      <c r="K29" s="13"/>
      <c r="L29" s="14">
        <f>+'KY_Res by Plant Acct P16(REG)'!L29+'VA_Res by Plant Acct P17(REG)'!L20+'TN_Res by Plant Acct P18(REG)'!L20</f>
        <v>-1283.52</v>
      </c>
      <c r="M29" s="13"/>
      <c r="N29" s="14">
        <f>+'KY_Res by Plant Acct P16(REG)'!N29+'VA_Res by Plant Acct P17(REG)'!N20+'TN_Res by Plant Acct P18(REG)'!N20</f>
        <v>0</v>
      </c>
      <c r="O29" s="13"/>
      <c r="P29" s="14">
        <f>+'KY_Res by Plant Acct P16(REG)'!P29+'VA_Res by Plant Acct P17(REG)'!P20+'TN_Res by Plant Acct P18(REG)'!P20</f>
        <v>1533</v>
      </c>
      <c r="Q29" s="13"/>
      <c r="R29" s="14">
        <f t="shared" si="0"/>
        <v>-4.1723069443833083E-9</v>
      </c>
    </row>
    <row r="30" spans="1:18" x14ac:dyDescent="0.2">
      <c r="A30" s="3" t="s">
        <v>3932</v>
      </c>
      <c r="B30" s="14">
        <f>+'KY_Res by Plant Acct P16(REG)'!B30+'VA_Res by Plant Acct P17(REG)'!B21</f>
        <v>-20947021.719999995</v>
      </c>
      <c r="C30" s="13"/>
      <c r="D30" s="14">
        <f>+'KY_Res by Plant Acct P16(REG)'!D30+'VA_Res by Plant Acct P17(REG)'!D21</f>
        <v>-4330756</v>
      </c>
      <c r="E30" s="13"/>
      <c r="F30" s="14">
        <f>+'KY_Res by Plant Acct P16(REG)'!F30+'VA_Res by Plant Acct P17(REG)'!F21</f>
        <v>4610486.05</v>
      </c>
      <c r="G30" s="13"/>
      <c r="H30" s="14">
        <f>+'KY_Res by Plant Acct P16(REG)'!H30+'VA_Res by Plant Acct P17(REG)'!H21</f>
        <v>-17068110.080000002</v>
      </c>
      <c r="I30" s="13"/>
      <c r="J30" s="14">
        <f>+'KY_Res by Plant Acct P16(REG)'!J30+'VA_Res by Plant Acct P17(REG)'!J21</f>
        <v>0</v>
      </c>
      <c r="K30" s="13"/>
      <c r="L30" s="14">
        <f>+'KY_Res by Plant Acct P16(REG)'!L30+'VA_Res by Plant Acct P17(REG)'!L21</f>
        <v>299062.96999999997</v>
      </c>
      <c r="M30" s="13"/>
      <c r="N30" s="14">
        <f>+'KY_Res by Plant Acct P16(REG)'!N30+'VA_Res by Plant Acct P17(REG)'!N21</f>
        <v>-8838.3700000000008</v>
      </c>
      <c r="O30" s="13"/>
      <c r="P30" s="14">
        <f>+'KY_Res by Plant Acct P16(REG)'!P30+'VA_Res by Plant Acct P17(REG)'!P21</f>
        <v>-23693.679999999997</v>
      </c>
      <c r="Q30" s="13"/>
      <c r="R30" s="14">
        <f t="shared" si="0"/>
        <v>-37468870.829999998</v>
      </c>
    </row>
    <row r="31" spans="1:18" s="59" customFormat="1" x14ac:dyDescent="0.2">
      <c r="A31" s="59" t="s">
        <v>3448</v>
      </c>
      <c r="B31" s="17">
        <f>+'KY_Res by Plant Acct P16(REG)'!B31</f>
        <v>-19131.819999999963</v>
      </c>
      <c r="C31" s="92"/>
      <c r="D31" s="17">
        <f>+'KY_Res by Plant Acct P16(REG)'!D31</f>
        <v>-6972.91</v>
      </c>
      <c r="E31" s="92"/>
      <c r="F31" s="17">
        <f>+'KY_Res by Plant Acct P16(REG)'!F31</f>
        <v>2798.53</v>
      </c>
      <c r="G31" s="92"/>
      <c r="H31" s="17">
        <f>+'KY_Res by Plant Acct P16(REG)'!H31</f>
        <v>0</v>
      </c>
      <c r="I31" s="92"/>
      <c r="J31" s="17">
        <f>+'KY_Res by Plant Acct P16(REG)'!J31</f>
        <v>0</v>
      </c>
      <c r="K31" s="92"/>
      <c r="L31" s="17">
        <f>+'KY_Res by Plant Acct P16(REG)'!L31</f>
        <v>0</v>
      </c>
      <c r="M31" s="92"/>
      <c r="N31" s="17">
        <f>+'KY_Res by Plant Acct P16(REG)'!N31</f>
        <v>0</v>
      </c>
      <c r="O31" s="92"/>
      <c r="P31" s="17">
        <f>+'KY_Res by Plant Acct P16(REG)'!P31</f>
        <v>0</v>
      </c>
      <c r="Q31" s="92"/>
      <c r="R31" s="17">
        <f t="shared" si="0"/>
        <v>-23306.199999999964</v>
      </c>
    </row>
    <row r="32" spans="1:18" x14ac:dyDescent="0.2">
      <c r="A32" s="43" t="s">
        <v>3449</v>
      </c>
      <c r="B32" s="16">
        <f>+'KY_Res by Plant Acct P16(REG)'!B32</f>
        <v>-84399.679999999993</v>
      </c>
      <c r="C32" s="13"/>
      <c r="D32" s="16">
        <f>+'KY_Res by Plant Acct P16(REG)'!D32</f>
        <v>-16791.919999999998</v>
      </c>
      <c r="E32" s="13"/>
      <c r="F32" s="16">
        <f>+'KY_Res by Plant Acct P16(REG)'!F32</f>
        <v>0</v>
      </c>
      <c r="G32" s="13"/>
      <c r="H32" s="16">
        <f>+'KY_Res by Plant Acct P16(REG)'!H32</f>
        <v>0</v>
      </c>
      <c r="I32" s="13"/>
      <c r="J32" s="16">
        <f>+'KY_Res by Plant Acct P16(REG)'!J32</f>
        <v>0</v>
      </c>
      <c r="K32" s="13"/>
      <c r="L32" s="16">
        <f>+'KY_Res by Plant Acct P16(REG)'!L32</f>
        <v>0</v>
      </c>
      <c r="M32" s="13"/>
      <c r="N32" s="16">
        <f>+'KY_Res by Plant Acct P16(REG)'!N32</f>
        <v>0</v>
      </c>
      <c r="O32" s="13"/>
      <c r="P32" s="16">
        <f>+'KY_Res by Plant Acct P16(REG)'!P32</f>
        <v>0</v>
      </c>
      <c r="Q32" s="13"/>
      <c r="R32" s="16">
        <f>SUM(B32:P32)</f>
        <v>-101191.59999999999</v>
      </c>
    </row>
    <row r="33" spans="1:18" x14ac:dyDescent="0.2">
      <c r="A33" s="3" t="s">
        <v>3450</v>
      </c>
      <c r="B33" s="17">
        <f>SUM(B10:B32)</f>
        <v>-643537858.10000002</v>
      </c>
      <c r="C33" s="13"/>
      <c r="D33" s="17">
        <f>SUM(D10:D32)</f>
        <v>-44376443.500000007</v>
      </c>
      <c r="E33" s="13"/>
      <c r="F33" s="17">
        <f>SUM(F10:F32)</f>
        <v>20421266.370000001</v>
      </c>
      <c r="G33" s="13"/>
      <c r="H33" s="17">
        <f>SUM(H10:H32)</f>
        <v>-2184.1700000017881</v>
      </c>
      <c r="I33" s="13"/>
      <c r="J33" s="17">
        <f>SUM(J10:J32)</f>
        <v>0</v>
      </c>
      <c r="K33" s="13"/>
      <c r="L33" s="17">
        <f>SUM(L10:L32)</f>
        <v>5916172.9699999997</v>
      </c>
      <c r="M33" s="13"/>
      <c r="N33" s="17">
        <f>SUM(N10:N32)</f>
        <v>-258107.78</v>
      </c>
      <c r="O33" s="13"/>
      <c r="P33" s="17">
        <f>SUM(P10:P32)</f>
        <v>-441217.40000000008</v>
      </c>
      <c r="Q33" s="13"/>
      <c r="R33" s="17">
        <f>SUM(R10:R32)</f>
        <v>-662278371.61000001</v>
      </c>
    </row>
    <row r="34" spans="1:18" x14ac:dyDescent="0.2">
      <c r="C34" s="13"/>
      <c r="E34" s="13"/>
      <c r="G34" s="13"/>
      <c r="I34" s="13"/>
      <c r="K34" s="13"/>
      <c r="M34" s="13"/>
      <c r="O34" s="13"/>
      <c r="Q34" s="13"/>
    </row>
    <row r="35" spans="1:18" x14ac:dyDescent="0.2">
      <c r="A35" s="12" t="s">
        <v>13</v>
      </c>
      <c r="C35" s="13"/>
      <c r="E35" s="13"/>
      <c r="G35" s="13"/>
      <c r="I35" s="13"/>
      <c r="K35" s="13"/>
      <c r="M35" s="13"/>
      <c r="O35" s="13"/>
      <c r="Q35" s="13"/>
    </row>
    <row r="36" spans="1:18" x14ac:dyDescent="0.2">
      <c r="A36" s="3" t="s">
        <v>3933</v>
      </c>
      <c r="B36" s="14">
        <f>+'KY_Res by Plant Acct P16(REG)'!B36</f>
        <v>1.8189894035458565E-12</v>
      </c>
      <c r="C36" s="13"/>
      <c r="D36" s="14">
        <f>+'KY_Res by Plant Acct P16(REG)'!D36</f>
        <v>0</v>
      </c>
      <c r="E36" s="13"/>
      <c r="F36" s="14">
        <f>+'KY_Res by Plant Acct P16(REG)'!F36</f>
        <v>0</v>
      </c>
      <c r="G36" s="13"/>
      <c r="H36" s="14">
        <f>+'KY_Res by Plant Acct P16(REG)'!H36</f>
        <v>0</v>
      </c>
      <c r="I36" s="13"/>
      <c r="J36" s="14">
        <f>+'KY_Res by Plant Acct P16(REG)'!J36</f>
        <v>0</v>
      </c>
      <c r="K36" s="13"/>
      <c r="L36" s="14">
        <f>+'KY_Res by Plant Acct P16(REG)'!L36</f>
        <v>0</v>
      </c>
      <c r="M36" s="13"/>
      <c r="N36" s="14">
        <f>+'KY_Res by Plant Acct P16(REG)'!N36</f>
        <v>0</v>
      </c>
      <c r="O36" s="13"/>
      <c r="P36" s="14">
        <f>+'KY_Res by Plant Acct P16(REG)'!P36</f>
        <v>0</v>
      </c>
      <c r="Q36" s="13"/>
      <c r="R36" s="14">
        <f t="shared" ref="R36:R65" si="1">SUM(B36:P36)</f>
        <v>1.8189894035458565E-12</v>
      </c>
    </row>
    <row r="37" spans="1:18" x14ac:dyDescent="0.2">
      <c r="A37" s="3" t="s">
        <v>3934</v>
      </c>
      <c r="B37" s="14">
        <f>+'KY_Res by Plant Acct P16(REG)'!B37+'VA_Res by Plant Acct P17(REG)'!B25</f>
        <v>-7763907.5100000035</v>
      </c>
      <c r="C37" s="13"/>
      <c r="D37" s="14">
        <f>+'KY_Res by Plant Acct P16(REG)'!D37+'VA_Res by Plant Acct P17(REG)'!D25</f>
        <v>-801774.99</v>
      </c>
      <c r="E37" s="13"/>
      <c r="F37" s="14">
        <f>+'KY_Res by Plant Acct P16(REG)'!F37+'VA_Res by Plant Acct P17(REG)'!F25</f>
        <v>527301.59000000008</v>
      </c>
      <c r="G37" s="13"/>
      <c r="H37" s="14">
        <f>+'KY_Res by Plant Acct P16(REG)'!H37+'VA_Res by Plant Acct P17(REG)'!H25</f>
        <v>0</v>
      </c>
      <c r="I37" s="13"/>
      <c r="J37" s="14">
        <f>+'KY_Res by Plant Acct P16(REG)'!J37+'VA_Res by Plant Acct P17(REG)'!J25</f>
        <v>0</v>
      </c>
      <c r="K37" s="13"/>
      <c r="L37" s="14">
        <f>+'KY_Res by Plant Acct P16(REG)'!L37+'VA_Res by Plant Acct P17(REG)'!L25</f>
        <v>76078.399999999994</v>
      </c>
      <c r="M37" s="13"/>
      <c r="N37" s="14">
        <f>+'KY_Res by Plant Acct P16(REG)'!N37+'VA_Res by Plant Acct P17(REG)'!N25</f>
        <v>-154.38999999999999</v>
      </c>
      <c r="O37" s="13"/>
      <c r="P37" s="14">
        <f>+'KY_Res by Plant Acct P16(REG)'!P37+'VA_Res by Plant Acct P17(REG)'!P25</f>
        <v>0</v>
      </c>
      <c r="Q37" s="13"/>
      <c r="R37" s="14">
        <f t="shared" si="1"/>
        <v>-7962456.9000000032</v>
      </c>
    </row>
    <row r="38" spans="1:18" x14ac:dyDescent="0.2">
      <c r="A38" s="3" t="s">
        <v>3935</v>
      </c>
      <c r="B38" s="14">
        <f>'KY_Res by Plant Acct P16(REG)'!B38</f>
        <v>-10418.450000000001</v>
      </c>
      <c r="C38" s="13"/>
      <c r="D38" s="14">
        <f>'KY_Res by Plant Acct P16(REG)'!D38</f>
        <v>-1108.08</v>
      </c>
      <c r="E38" s="13"/>
      <c r="F38" s="14">
        <f>'KY_Res by Plant Acct P16(REG)'!F38</f>
        <v>0</v>
      </c>
      <c r="G38" s="13"/>
      <c r="H38" s="14">
        <f>'KY_Res by Plant Acct P16(REG)'!H38</f>
        <v>0</v>
      </c>
      <c r="I38" s="13"/>
      <c r="J38" s="14">
        <f>'KY_Res by Plant Acct P16(REG)'!J38</f>
        <v>0</v>
      </c>
      <c r="K38" s="13"/>
      <c r="L38" s="14">
        <f>'KY_Res by Plant Acct P16(REG)'!L38</f>
        <v>0</v>
      </c>
      <c r="M38" s="13"/>
      <c r="N38" s="14">
        <f>'KY_Res by Plant Acct P16(REG)'!N38</f>
        <v>0</v>
      </c>
      <c r="O38" s="13"/>
      <c r="P38" s="14">
        <f>+'KY_Res by Plant Acct P16(REG)'!P38+'VA_Res by Plant Acct P17(REG)'!P26</f>
        <v>0</v>
      </c>
      <c r="Q38" s="13"/>
      <c r="R38" s="14">
        <f t="shared" si="1"/>
        <v>-11526.53</v>
      </c>
    </row>
    <row r="39" spans="1:18" x14ac:dyDescent="0.2">
      <c r="A39" s="3" t="s">
        <v>3454</v>
      </c>
      <c r="B39" s="14">
        <f>'KY_Res by Plant Acct P16(REG)'!B39</f>
        <v>-332743.05999999994</v>
      </c>
      <c r="C39" s="13"/>
      <c r="D39" s="14">
        <f>'KY_Res by Plant Acct P16(REG)'!D39</f>
        <v>-91250.04</v>
      </c>
      <c r="E39" s="13"/>
      <c r="F39" s="14">
        <f>'KY_Res by Plant Acct P16(REG)'!F39</f>
        <v>0</v>
      </c>
      <c r="G39" s="13"/>
      <c r="H39" s="14">
        <f>'KY_Res by Plant Acct P16(REG)'!H39</f>
        <v>0</v>
      </c>
      <c r="I39" s="13"/>
      <c r="J39" s="14">
        <f>'KY_Res by Plant Acct P16(REG)'!J39</f>
        <v>0</v>
      </c>
      <c r="K39" s="13"/>
      <c r="L39" s="14">
        <f>'KY_Res by Plant Acct P16(REG)'!L39</f>
        <v>0</v>
      </c>
      <c r="M39" s="13"/>
      <c r="N39" s="14">
        <f>'KY_Res by Plant Acct P16(REG)'!N39</f>
        <v>0</v>
      </c>
      <c r="O39" s="13"/>
      <c r="P39" s="14">
        <f>+'KY_Res by Plant Acct P16(REG)'!P39+'VA_Res by Plant Acct P17(REG)'!P27</f>
        <v>0</v>
      </c>
      <c r="Q39" s="13"/>
      <c r="R39" s="14">
        <f t="shared" si="1"/>
        <v>-423993.09999999992</v>
      </c>
    </row>
    <row r="40" spans="1:18" x14ac:dyDescent="0.2">
      <c r="A40" s="3" t="s">
        <v>3936</v>
      </c>
      <c r="B40" s="14">
        <f>'KY_Res by Plant Acct P16(REG)'!B40</f>
        <v>-2733265.46</v>
      </c>
      <c r="C40" s="13"/>
      <c r="D40" s="14">
        <f>'KY_Res by Plant Acct P16(REG)'!D40</f>
        <v>-218070.82</v>
      </c>
      <c r="E40" s="13"/>
      <c r="F40" s="14">
        <f>'KY_Res by Plant Acct P16(REG)'!F40</f>
        <v>145657.73000000001</v>
      </c>
      <c r="G40" s="13"/>
      <c r="H40" s="14">
        <f>'KY_Res by Plant Acct P16(REG)'!H40</f>
        <v>-53359.28</v>
      </c>
      <c r="I40" s="13"/>
      <c r="J40" s="14">
        <f>'KY_Res by Plant Acct P16(REG)'!J40</f>
        <v>0</v>
      </c>
      <c r="K40" s="13"/>
      <c r="L40" s="14">
        <f>'KY_Res by Plant Acct P16(REG)'!L40</f>
        <v>111043.21</v>
      </c>
      <c r="M40" s="13"/>
      <c r="N40" s="14">
        <f>'KY_Res by Plant Acct P16(REG)'!N40</f>
        <v>0</v>
      </c>
      <c r="O40" s="13"/>
      <c r="P40" s="14">
        <f>+'KY_Res by Plant Acct P16(REG)'!P40+'VA_Res by Plant Acct P17(REG)'!P28</f>
        <v>0</v>
      </c>
      <c r="Q40" s="13"/>
      <c r="R40" s="14">
        <f t="shared" si="1"/>
        <v>-2747994.6199999996</v>
      </c>
    </row>
    <row r="41" spans="1:18" x14ac:dyDescent="0.2">
      <c r="A41" s="3" t="s">
        <v>3456</v>
      </c>
      <c r="B41" s="14">
        <f>'KY_Res by Plant Acct P16(REG)'!B41</f>
        <v>-316831.70000000007</v>
      </c>
      <c r="C41" s="13"/>
      <c r="D41" s="14">
        <f>'KY_Res by Plant Acct P16(REG)'!D41</f>
        <v>-41705.440000000002</v>
      </c>
      <c r="E41" s="13"/>
      <c r="F41" s="14">
        <f>'KY_Res by Plant Acct P16(REG)'!F41</f>
        <v>4004.29</v>
      </c>
      <c r="G41" s="13"/>
      <c r="H41" s="14">
        <f>'KY_Res by Plant Acct P16(REG)'!H41</f>
        <v>0</v>
      </c>
      <c r="I41" s="13"/>
      <c r="J41" s="14">
        <f>'KY_Res by Plant Acct P16(REG)'!J41</f>
        <v>0</v>
      </c>
      <c r="K41" s="13"/>
      <c r="L41" s="14">
        <f>'KY_Res by Plant Acct P16(REG)'!L41</f>
        <v>2300</v>
      </c>
      <c r="M41" s="13"/>
      <c r="N41" s="14">
        <f>'KY_Res by Plant Acct P16(REG)'!N41</f>
        <v>0</v>
      </c>
      <c r="O41" s="13"/>
      <c r="P41" s="14">
        <f>+'KY_Res by Plant Acct P16(REG)'!P41+'VA_Res by Plant Acct P17(REG)'!P29</f>
        <v>0</v>
      </c>
      <c r="Q41" s="13"/>
      <c r="R41" s="14">
        <f t="shared" si="1"/>
        <v>-352232.85000000009</v>
      </c>
    </row>
    <row r="42" spans="1:18" outlineLevel="1" x14ac:dyDescent="0.2">
      <c r="A42" s="3" t="s">
        <v>3457</v>
      </c>
      <c r="B42" s="14">
        <f>+'KY_Res by Plant Acct P16(REG)'!B42</f>
        <v>-5781.3199999999988</v>
      </c>
      <c r="C42" s="13"/>
      <c r="D42" s="14">
        <f>+'KY_Res by Plant Acct P16(REG)'!D42</f>
        <v>-88.32</v>
      </c>
      <c r="E42" s="13"/>
      <c r="F42" s="14">
        <f>+'KY_Res by Plant Acct P16(REG)'!F42</f>
        <v>0</v>
      </c>
      <c r="G42" s="13"/>
      <c r="H42" s="14">
        <f>+'KY_Res by Plant Acct P16(REG)'!H42</f>
        <v>0</v>
      </c>
      <c r="I42" s="13"/>
      <c r="J42" s="14">
        <f>+'KY_Res by Plant Acct P16(REG)'!J42</f>
        <v>0</v>
      </c>
      <c r="K42" s="13"/>
      <c r="L42" s="14">
        <f>+'KY_Res by Plant Acct P16(REG)'!L42</f>
        <v>0</v>
      </c>
      <c r="M42" s="13"/>
      <c r="N42" s="14">
        <f>+'KY_Res by Plant Acct P16(REG)'!N42</f>
        <v>0</v>
      </c>
      <c r="O42" s="13"/>
      <c r="P42" s="14">
        <f>+'KY_Res by Plant Acct P16(REG)'!P42</f>
        <v>0</v>
      </c>
      <c r="Q42" s="13"/>
      <c r="R42" s="14">
        <f>SUM(B42:P42)</f>
        <v>-5869.6399999999985</v>
      </c>
    </row>
    <row r="43" spans="1:18" outlineLevel="1" x14ac:dyDescent="0.2">
      <c r="A43" s="43" t="s">
        <v>3937</v>
      </c>
      <c r="B43" s="14">
        <f>+'VA_Res by Plant Acct P17(REG)'!B26</f>
        <v>-32038.810000000005</v>
      </c>
      <c r="C43" s="13"/>
      <c r="D43" s="14">
        <f>+'VA_Res by Plant Acct P17(REG)'!D26</f>
        <v>-490.08</v>
      </c>
      <c r="E43" s="13"/>
      <c r="F43" s="14">
        <f>+'VA_Res by Plant Acct P17(REG)'!F26</f>
        <v>0</v>
      </c>
      <c r="G43" s="13"/>
      <c r="H43" s="14">
        <f>+'VA_Res by Plant Acct P17(REG)'!H26</f>
        <v>0</v>
      </c>
      <c r="I43" s="13"/>
      <c r="J43" s="14">
        <f>+'VA_Res by Plant Acct P17(REG)'!J26</f>
        <v>0</v>
      </c>
      <c r="K43" s="13"/>
      <c r="L43" s="14">
        <f>+'VA_Res by Plant Acct P17(REG)'!L26</f>
        <v>0</v>
      </c>
      <c r="M43" s="13"/>
      <c r="N43" s="14">
        <f>+'VA_Res by Plant Acct P17(REG)'!N26</f>
        <v>0</v>
      </c>
      <c r="O43" s="13"/>
      <c r="P43" s="14">
        <f>+'VA_Res by Plant Acct P17(REG)'!P26</f>
        <v>0</v>
      </c>
      <c r="Q43" s="13"/>
      <c r="R43" s="14">
        <f>SUM(B43:P43)</f>
        <v>-32528.890000000007</v>
      </c>
    </row>
    <row r="44" spans="1:18" outlineLevel="1" x14ac:dyDescent="0.2">
      <c r="A44" s="43" t="s">
        <v>3938</v>
      </c>
      <c r="B44" s="14">
        <f>+'VA_Res by Plant Acct P17(REG)'!B27</f>
        <v>-11439.95</v>
      </c>
      <c r="C44" s="13"/>
      <c r="D44" s="14">
        <f>+'VA_Res by Plant Acct P17(REG)'!D27</f>
        <v>-213.12</v>
      </c>
      <c r="E44" s="13"/>
      <c r="F44" s="14">
        <f>+'VA_Res by Plant Acct P17(REG)'!F27</f>
        <v>0</v>
      </c>
      <c r="G44" s="13"/>
      <c r="H44" s="14">
        <f>+'VA_Res by Plant Acct P17(REG)'!H27</f>
        <v>0</v>
      </c>
      <c r="I44" s="13"/>
      <c r="J44" s="14">
        <f>+'VA_Res by Plant Acct P17(REG)'!J27</f>
        <v>0</v>
      </c>
      <c r="K44" s="13"/>
      <c r="L44" s="14">
        <f>+'VA_Res by Plant Acct P17(REG)'!L27</f>
        <v>0</v>
      </c>
      <c r="M44" s="13"/>
      <c r="N44" s="14">
        <f>+'VA_Res by Plant Acct P17(REG)'!N27</f>
        <v>0</v>
      </c>
      <c r="O44" s="13"/>
      <c r="P44" s="14">
        <f>+'VA_Res by Plant Acct P17(REG)'!P27</f>
        <v>0</v>
      </c>
      <c r="Q44" s="13"/>
      <c r="R44" s="14">
        <f>SUM(B44:P44)</f>
        <v>-11653.070000000002</v>
      </c>
    </row>
    <row r="45" spans="1:18" outlineLevel="1" x14ac:dyDescent="0.2">
      <c r="A45" s="3" t="s">
        <v>3458</v>
      </c>
      <c r="B45" s="14">
        <f>+'KY_Res by Plant Acct P16(REG)'!B43</f>
        <v>0</v>
      </c>
      <c r="C45" s="13"/>
      <c r="D45" s="14">
        <f>+'KY_Res by Plant Acct P16(REG)'!D43</f>
        <v>0</v>
      </c>
      <c r="E45" s="13"/>
      <c r="F45" s="14">
        <f>+'KY_Res by Plant Acct P16(REG)'!F43</f>
        <v>0</v>
      </c>
      <c r="G45" s="13"/>
      <c r="H45" s="14">
        <f>+'KY_Res by Plant Acct P16(REG)'!H43</f>
        <v>0</v>
      </c>
      <c r="I45" s="13"/>
      <c r="J45" s="14">
        <f>+'KY_Res by Plant Acct P16(REG)'!J43</f>
        <v>0</v>
      </c>
      <c r="K45" s="13"/>
      <c r="L45" s="14">
        <f>+'KY_Res by Plant Acct P16(REG)'!L43</f>
        <v>0</v>
      </c>
      <c r="M45" s="13"/>
      <c r="N45" s="14">
        <f>+'KY_Res by Plant Acct P16(REG)'!N43</f>
        <v>0</v>
      </c>
      <c r="O45" s="13"/>
      <c r="P45" s="14">
        <f>+'KY_Res by Plant Acct P16(REG)'!P43</f>
        <v>0</v>
      </c>
      <c r="Q45" s="13"/>
      <c r="R45" s="14">
        <f t="shared" si="1"/>
        <v>0</v>
      </c>
    </row>
    <row r="46" spans="1:18" outlineLevel="1" x14ac:dyDescent="0.2">
      <c r="A46" s="3" t="s">
        <v>3459</v>
      </c>
      <c r="B46" s="14">
        <f>+'KY_Res by Plant Acct P16(REG)'!B44</f>
        <v>0</v>
      </c>
      <c r="C46" s="13"/>
      <c r="D46" s="14">
        <f>+'KY_Res by Plant Acct P16(REG)'!D44</f>
        <v>0</v>
      </c>
      <c r="E46" s="13"/>
      <c r="F46" s="14">
        <f>+'KY_Res by Plant Acct P16(REG)'!F44</f>
        <v>0</v>
      </c>
      <c r="G46" s="13"/>
      <c r="H46" s="14">
        <f>+'KY_Res by Plant Acct P16(REG)'!H44</f>
        <v>0</v>
      </c>
      <c r="I46" s="13"/>
      <c r="J46" s="14">
        <f>+'KY_Res by Plant Acct P16(REG)'!J44</f>
        <v>0</v>
      </c>
      <c r="K46" s="13"/>
      <c r="L46" s="14">
        <f>+'KY_Res by Plant Acct P16(REG)'!L44</f>
        <v>0</v>
      </c>
      <c r="M46" s="13"/>
      <c r="N46" s="14">
        <f>+'KY_Res by Plant Acct P16(REG)'!N44</f>
        <v>0</v>
      </c>
      <c r="O46" s="13"/>
      <c r="P46" s="14">
        <f>+'KY_Res by Plant Acct P16(REG)'!P44</f>
        <v>0</v>
      </c>
      <c r="Q46" s="13"/>
      <c r="R46" s="14">
        <f t="shared" si="1"/>
        <v>0</v>
      </c>
    </row>
    <row r="47" spans="1:18" outlineLevel="1" x14ac:dyDescent="0.2">
      <c r="A47" s="3" t="s">
        <v>3460</v>
      </c>
      <c r="B47" s="14">
        <f>+'KY_Res by Plant Acct P16(REG)'!B45</f>
        <v>0</v>
      </c>
      <c r="C47" s="13"/>
      <c r="D47" s="14">
        <f>+'KY_Res by Plant Acct P16(REG)'!D45</f>
        <v>0</v>
      </c>
      <c r="E47" s="13"/>
      <c r="F47" s="14">
        <f>+'KY_Res by Plant Acct P16(REG)'!F45</f>
        <v>0</v>
      </c>
      <c r="G47" s="13"/>
      <c r="H47" s="14">
        <f>+'KY_Res by Plant Acct P16(REG)'!H45</f>
        <v>0</v>
      </c>
      <c r="I47" s="13"/>
      <c r="J47" s="14">
        <f>+'KY_Res by Plant Acct P16(REG)'!J45</f>
        <v>0</v>
      </c>
      <c r="K47" s="13"/>
      <c r="L47" s="14">
        <f>+'KY_Res by Plant Acct P16(REG)'!L45</f>
        <v>0</v>
      </c>
      <c r="M47" s="13"/>
      <c r="N47" s="14">
        <f>+'KY_Res by Plant Acct P16(REG)'!N45</f>
        <v>0</v>
      </c>
      <c r="O47" s="13"/>
      <c r="P47" s="14">
        <f>+'KY_Res by Plant Acct P16(REG)'!P45</f>
        <v>0</v>
      </c>
      <c r="Q47" s="13"/>
      <c r="R47" s="14">
        <f t="shared" si="1"/>
        <v>0</v>
      </c>
    </row>
    <row r="48" spans="1:18" outlineLevel="1" x14ac:dyDescent="0.2">
      <c r="A48" s="3" t="s">
        <v>3461</v>
      </c>
      <c r="B48" s="14">
        <f>+'KY_Res by Plant Acct P16(REG)'!B46</f>
        <v>-4418.7999999999984</v>
      </c>
      <c r="C48" s="13"/>
      <c r="D48" s="14">
        <f>+'KY_Res by Plant Acct P16(REG)'!D46</f>
        <v>-67.44</v>
      </c>
      <c r="E48" s="13"/>
      <c r="F48" s="14">
        <f>+'KY_Res by Plant Acct P16(REG)'!F46</f>
        <v>0</v>
      </c>
      <c r="G48" s="13"/>
      <c r="H48" s="14">
        <f>+'KY_Res by Plant Acct P16(REG)'!H46</f>
        <v>0</v>
      </c>
      <c r="I48" s="13"/>
      <c r="J48" s="14">
        <f>+'KY_Res by Plant Acct P16(REG)'!J46</f>
        <v>0</v>
      </c>
      <c r="K48" s="13"/>
      <c r="L48" s="14">
        <f>+'KY_Res by Plant Acct P16(REG)'!L46</f>
        <v>0</v>
      </c>
      <c r="M48" s="13"/>
      <c r="N48" s="14">
        <f>+'KY_Res by Plant Acct P16(REG)'!N46</f>
        <v>0</v>
      </c>
      <c r="O48" s="13"/>
      <c r="P48" s="14">
        <f>+'KY_Res by Plant Acct P16(REG)'!P46</f>
        <v>0</v>
      </c>
      <c r="Q48" s="13"/>
      <c r="R48" s="14">
        <f t="shared" si="1"/>
        <v>-4486.239999999998</v>
      </c>
    </row>
    <row r="49" spans="1:18" outlineLevel="1" x14ac:dyDescent="0.2">
      <c r="A49" s="3" t="s">
        <v>3462</v>
      </c>
      <c r="B49" s="14">
        <f>+'KY_Res by Plant Acct P16(REG)'!B47</f>
        <v>-22043.590000000007</v>
      </c>
      <c r="C49" s="13"/>
      <c r="D49" s="14">
        <f>+'KY_Res by Plant Acct P16(REG)'!D47</f>
        <v>-336.72</v>
      </c>
      <c r="E49" s="13"/>
      <c r="F49" s="14">
        <f>+'KY_Res by Plant Acct P16(REG)'!F47</f>
        <v>0</v>
      </c>
      <c r="G49" s="13"/>
      <c r="H49" s="14">
        <f>+'KY_Res by Plant Acct P16(REG)'!H47</f>
        <v>0</v>
      </c>
      <c r="I49" s="13"/>
      <c r="J49" s="14">
        <f>+'KY_Res by Plant Acct P16(REG)'!J47</f>
        <v>0</v>
      </c>
      <c r="K49" s="13"/>
      <c r="L49" s="14">
        <f>+'KY_Res by Plant Acct P16(REG)'!L47</f>
        <v>0</v>
      </c>
      <c r="M49" s="13"/>
      <c r="N49" s="14">
        <f>+'KY_Res by Plant Acct P16(REG)'!N47</f>
        <v>0</v>
      </c>
      <c r="O49" s="13"/>
      <c r="P49" s="14">
        <f>+'KY_Res by Plant Acct P16(REG)'!P47</f>
        <v>0</v>
      </c>
      <c r="Q49" s="13"/>
      <c r="R49" s="14">
        <f t="shared" si="1"/>
        <v>-22380.310000000009</v>
      </c>
    </row>
    <row r="50" spans="1:18" outlineLevel="1" x14ac:dyDescent="0.2">
      <c r="A50" s="3" t="s">
        <v>3463</v>
      </c>
      <c r="B50" s="14">
        <f>+'KY_Res by Plant Acct P16(REG)'!B48</f>
        <v>0</v>
      </c>
      <c r="C50" s="13"/>
      <c r="D50" s="14">
        <f>+'KY_Res by Plant Acct P16(REG)'!D48</f>
        <v>0</v>
      </c>
      <c r="E50" s="13"/>
      <c r="F50" s="14">
        <f>+'KY_Res by Plant Acct P16(REG)'!F48</f>
        <v>0</v>
      </c>
      <c r="G50" s="13"/>
      <c r="H50" s="14">
        <f>+'KY_Res by Plant Acct P16(REG)'!H48</f>
        <v>0</v>
      </c>
      <c r="I50" s="13"/>
      <c r="J50" s="14">
        <f>+'KY_Res by Plant Acct P16(REG)'!J48</f>
        <v>0</v>
      </c>
      <c r="K50" s="13"/>
      <c r="L50" s="14">
        <f>+'KY_Res by Plant Acct P16(REG)'!L48</f>
        <v>0</v>
      </c>
      <c r="M50" s="13"/>
      <c r="N50" s="14">
        <f>+'KY_Res by Plant Acct P16(REG)'!N48</f>
        <v>0</v>
      </c>
      <c r="O50" s="13"/>
      <c r="P50" s="14">
        <f>+'KY_Res by Plant Acct P16(REG)'!P48</f>
        <v>0</v>
      </c>
      <c r="Q50" s="13"/>
      <c r="R50" s="14">
        <f t="shared" si="1"/>
        <v>0</v>
      </c>
    </row>
    <row r="51" spans="1:18" outlineLevel="1" x14ac:dyDescent="0.2">
      <c r="A51" s="3" t="s">
        <v>3464</v>
      </c>
      <c r="B51" s="14">
        <f>+'KY_Res by Plant Acct P16(REG)'!B49</f>
        <v>-1169.3800000000006</v>
      </c>
      <c r="C51" s="13"/>
      <c r="D51" s="14">
        <f>+'KY_Res by Plant Acct P16(REG)'!D49</f>
        <v>-17.88</v>
      </c>
      <c r="E51" s="13"/>
      <c r="F51" s="14">
        <f>+'KY_Res by Plant Acct P16(REG)'!F49</f>
        <v>0</v>
      </c>
      <c r="G51" s="13"/>
      <c r="H51" s="14">
        <f>+'KY_Res by Plant Acct P16(REG)'!H49</f>
        <v>0</v>
      </c>
      <c r="I51" s="13"/>
      <c r="J51" s="14">
        <f>+'KY_Res by Plant Acct P16(REG)'!J49</f>
        <v>0</v>
      </c>
      <c r="K51" s="13"/>
      <c r="L51" s="14">
        <f>+'KY_Res by Plant Acct P16(REG)'!L49</f>
        <v>0</v>
      </c>
      <c r="M51" s="13"/>
      <c r="N51" s="14">
        <f>+'KY_Res by Plant Acct P16(REG)'!N49</f>
        <v>0</v>
      </c>
      <c r="O51" s="13"/>
      <c r="P51" s="14">
        <f>+'KY_Res by Plant Acct P16(REG)'!P49</f>
        <v>0</v>
      </c>
      <c r="Q51" s="13"/>
      <c r="R51" s="14">
        <f t="shared" si="1"/>
        <v>-1187.2600000000007</v>
      </c>
    </row>
    <row r="52" spans="1:18" outlineLevel="1" x14ac:dyDescent="0.2">
      <c r="A52" s="3" t="s">
        <v>3465</v>
      </c>
      <c r="B52" s="14">
        <f>+'KY_Res by Plant Acct P16(REG)'!B50</f>
        <v>0</v>
      </c>
      <c r="C52" s="13"/>
      <c r="D52" s="14">
        <f>+'KY_Res by Plant Acct P16(REG)'!D50</f>
        <v>0</v>
      </c>
      <c r="E52" s="13"/>
      <c r="F52" s="14">
        <f>+'KY_Res by Plant Acct P16(REG)'!F50</f>
        <v>0</v>
      </c>
      <c r="G52" s="13"/>
      <c r="H52" s="14">
        <f>+'KY_Res by Plant Acct P16(REG)'!H50</f>
        <v>0</v>
      </c>
      <c r="I52" s="13"/>
      <c r="J52" s="14">
        <f>+'KY_Res by Plant Acct P16(REG)'!J50</f>
        <v>0</v>
      </c>
      <c r="K52" s="13"/>
      <c r="L52" s="14">
        <f>+'KY_Res by Plant Acct P16(REG)'!L50</f>
        <v>0</v>
      </c>
      <c r="M52" s="13"/>
      <c r="N52" s="14">
        <f>+'KY_Res by Plant Acct P16(REG)'!N50</f>
        <v>0</v>
      </c>
      <c r="O52" s="13"/>
      <c r="P52" s="14">
        <f>+'KY_Res by Plant Acct P16(REG)'!P50</f>
        <v>0</v>
      </c>
      <c r="Q52" s="13"/>
      <c r="R52" s="14">
        <f t="shared" si="1"/>
        <v>0</v>
      </c>
    </row>
    <row r="53" spans="1:18" outlineLevel="1" x14ac:dyDescent="0.2">
      <c r="A53" s="3" t="s">
        <v>3466</v>
      </c>
      <c r="B53" s="14">
        <f>+'KY_Res by Plant Acct P16(REG)'!B51</f>
        <v>-52821.279999999992</v>
      </c>
      <c r="C53" s="13"/>
      <c r="D53" s="14">
        <f>+'KY_Res by Plant Acct P16(REG)'!D51</f>
        <v>-638.87</v>
      </c>
      <c r="E53" s="13"/>
      <c r="F53" s="14">
        <f>+'KY_Res by Plant Acct P16(REG)'!F51</f>
        <v>0</v>
      </c>
      <c r="G53" s="13"/>
      <c r="H53" s="14">
        <f>+'KY_Res by Plant Acct P16(REG)'!H51</f>
        <v>53359.28</v>
      </c>
      <c r="I53" s="13"/>
      <c r="J53" s="14">
        <f>+'KY_Res by Plant Acct P16(REG)'!J51</f>
        <v>0</v>
      </c>
      <c r="K53" s="13"/>
      <c r="L53" s="14">
        <f>+'KY_Res by Plant Acct P16(REG)'!L51</f>
        <v>0</v>
      </c>
      <c r="M53" s="13"/>
      <c r="N53" s="14">
        <f>+'KY_Res by Plant Acct P16(REG)'!N51</f>
        <v>0</v>
      </c>
      <c r="O53" s="13"/>
      <c r="P53" s="14">
        <f>+'KY_Res by Plant Acct P16(REG)'!P51</f>
        <v>0</v>
      </c>
      <c r="Q53" s="13"/>
      <c r="R53" s="14">
        <f t="shared" si="1"/>
        <v>-100.86999999999534</v>
      </c>
    </row>
    <row r="54" spans="1:18" outlineLevel="1" x14ac:dyDescent="0.2">
      <c r="A54" s="3" t="s">
        <v>3467</v>
      </c>
      <c r="B54" s="14">
        <f>+'KY_Res by Plant Acct P16(REG)'!B52</f>
        <v>0</v>
      </c>
      <c r="C54" s="13"/>
      <c r="D54" s="14">
        <f>+'KY_Res by Plant Acct P16(REG)'!D52</f>
        <v>0</v>
      </c>
      <c r="E54" s="13"/>
      <c r="F54" s="14">
        <f>+'KY_Res by Plant Acct P16(REG)'!F52</f>
        <v>0</v>
      </c>
      <c r="G54" s="13"/>
      <c r="H54" s="14">
        <f>+'KY_Res by Plant Acct P16(REG)'!H52</f>
        <v>0</v>
      </c>
      <c r="I54" s="13"/>
      <c r="J54" s="14">
        <f>+'KY_Res by Plant Acct P16(REG)'!J52</f>
        <v>0</v>
      </c>
      <c r="K54" s="13"/>
      <c r="L54" s="14">
        <f>+'KY_Res by Plant Acct P16(REG)'!L52</f>
        <v>0</v>
      </c>
      <c r="M54" s="13"/>
      <c r="N54" s="14">
        <f>+'KY_Res by Plant Acct P16(REG)'!N52</f>
        <v>0</v>
      </c>
      <c r="O54" s="13"/>
      <c r="P54" s="14">
        <f>+'KY_Res by Plant Acct P16(REG)'!P52</f>
        <v>0</v>
      </c>
      <c r="Q54" s="13"/>
      <c r="R54" s="14">
        <f t="shared" si="1"/>
        <v>0</v>
      </c>
    </row>
    <row r="55" spans="1:18" outlineLevel="1" x14ac:dyDescent="0.2">
      <c r="A55" s="3" t="s">
        <v>3468</v>
      </c>
      <c r="B55" s="14">
        <f>+'KY_Res by Plant Acct P16(REG)'!B53</f>
        <v>-194.15999999999997</v>
      </c>
      <c r="C55" s="13"/>
      <c r="D55" s="14">
        <f>+'KY_Res by Plant Acct P16(REG)'!D53</f>
        <v>-2.88</v>
      </c>
      <c r="E55" s="13"/>
      <c r="F55" s="14">
        <f>+'KY_Res by Plant Acct P16(REG)'!F53</f>
        <v>0</v>
      </c>
      <c r="G55" s="13"/>
      <c r="H55" s="14">
        <f>+'KY_Res by Plant Acct P16(REG)'!H53</f>
        <v>0</v>
      </c>
      <c r="I55" s="13"/>
      <c r="J55" s="14">
        <f>+'KY_Res by Plant Acct P16(REG)'!J53</f>
        <v>0</v>
      </c>
      <c r="K55" s="13"/>
      <c r="L55" s="14">
        <f>+'KY_Res by Plant Acct P16(REG)'!L53</f>
        <v>0</v>
      </c>
      <c r="M55" s="13"/>
      <c r="N55" s="14">
        <f>+'KY_Res by Plant Acct P16(REG)'!N53</f>
        <v>0</v>
      </c>
      <c r="O55" s="13"/>
      <c r="P55" s="14">
        <f>+'KY_Res by Plant Acct P16(REG)'!P53</f>
        <v>0</v>
      </c>
      <c r="Q55" s="13"/>
      <c r="R55" s="14">
        <f t="shared" si="1"/>
        <v>-197.03999999999996</v>
      </c>
    </row>
    <row r="56" spans="1:18" outlineLevel="1" x14ac:dyDescent="0.2">
      <c r="A56" s="3" t="s">
        <v>3469</v>
      </c>
      <c r="B56" s="14">
        <f>+'KY_Res by Plant Acct P16(REG)'!B54</f>
        <v>-36722.849999999991</v>
      </c>
      <c r="C56" s="13"/>
      <c r="D56" s="14">
        <f>+'KY_Res by Plant Acct P16(REG)'!D54</f>
        <v>-561</v>
      </c>
      <c r="E56" s="13"/>
      <c r="F56" s="14">
        <f>+'KY_Res by Plant Acct P16(REG)'!F54</f>
        <v>0</v>
      </c>
      <c r="G56" s="13"/>
      <c r="H56" s="14">
        <f>+'KY_Res by Plant Acct P16(REG)'!H54</f>
        <v>0</v>
      </c>
      <c r="I56" s="13"/>
      <c r="J56" s="14">
        <f>+'KY_Res by Plant Acct P16(REG)'!J54</f>
        <v>0</v>
      </c>
      <c r="K56" s="13"/>
      <c r="L56" s="14">
        <f>+'KY_Res by Plant Acct P16(REG)'!L54</f>
        <v>0</v>
      </c>
      <c r="M56" s="13"/>
      <c r="N56" s="14">
        <f>+'KY_Res by Plant Acct P16(REG)'!N54</f>
        <v>0</v>
      </c>
      <c r="O56" s="13"/>
      <c r="P56" s="14">
        <f>+'KY_Res by Plant Acct P16(REG)'!P54</f>
        <v>0</v>
      </c>
      <c r="Q56" s="13"/>
      <c r="R56" s="14">
        <f t="shared" si="1"/>
        <v>-37283.849999999991</v>
      </c>
    </row>
    <row r="57" spans="1:18" outlineLevel="1" x14ac:dyDescent="0.2">
      <c r="A57" s="3" t="s">
        <v>3470</v>
      </c>
      <c r="B57" s="14">
        <f>+'KY_Res by Plant Acct P16(REG)'!B55</f>
        <v>0</v>
      </c>
      <c r="C57" s="13"/>
      <c r="D57" s="14">
        <f>+'KY_Res by Plant Acct P16(REG)'!D55</f>
        <v>0</v>
      </c>
      <c r="E57" s="13"/>
      <c r="F57" s="14">
        <f>+'KY_Res by Plant Acct P16(REG)'!F55</f>
        <v>0</v>
      </c>
      <c r="G57" s="13"/>
      <c r="H57" s="14">
        <f>+'KY_Res by Plant Acct P16(REG)'!H55</f>
        <v>0</v>
      </c>
      <c r="I57" s="13"/>
      <c r="J57" s="14">
        <f>+'KY_Res by Plant Acct P16(REG)'!J55</f>
        <v>0</v>
      </c>
      <c r="K57" s="13"/>
      <c r="L57" s="14">
        <f>+'KY_Res by Plant Acct P16(REG)'!L55</f>
        <v>0</v>
      </c>
      <c r="M57" s="13"/>
      <c r="N57" s="14">
        <f>+'KY_Res by Plant Acct P16(REG)'!N55</f>
        <v>0</v>
      </c>
      <c r="O57" s="13"/>
      <c r="P57" s="14">
        <f>+'KY_Res by Plant Acct P16(REG)'!P55</f>
        <v>0</v>
      </c>
      <c r="Q57" s="13"/>
      <c r="R57" s="14">
        <f t="shared" si="1"/>
        <v>0</v>
      </c>
    </row>
    <row r="58" spans="1:18" outlineLevel="1" x14ac:dyDescent="0.2">
      <c r="A58" s="3" t="s">
        <v>3471</v>
      </c>
      <c r="B58" s="14">
        <f>+'KY_Res by Plant Acct P16(REG)'!B56</f>
        <v>-3325.4800000000005</v>
      </c>
      <c r="C58" s="13"/>
      <c r="D58" s="14">
        <f>+'KY_Res by Plant Acct P16(REG)'!D56</f>
        <v>-50.76</v>
      </c>
      <c r="E58" s="13"/>
      <c r="F58" s="14">
        <f>+'KY_Res by Plant Acct P16(REG)'!F56</f>
        <v>0</v>
      </c>
      <c r="G58" s="13"/>
      <c r="H58" s="14">
        <f>+'KY_Res by Plant Acct P16(REG)'!H56</f>
        <v>0</v>
      </c>
      <c r="I58" s="13"/>
      <c r="J58" s="14">
        <f>+'KY_Res by Plant Acct P16(REG)'!J56</f>
        <v>0</v>
      </c>
      <c r="K58" s="13"/>
      <c r="L58" s="14">
        <f>+'KY_Res by Plant Acct P16(REG)'!L56</f>
        <v>0</v>
      </c>
      <c r="M58" s="13"/>
      <c r="N58" s="14">
        <f>+'KY_Res by Plant Acct P16(REG)'!N56</f>
        <v>0</v>
      </c>
      <c r="O58" s="13"/>
      <c r="P58" s="14">
        <f>+'KY_Res by Plant Acct P16(REG)'!P56</f>
        <v>0</v>
      </c>
      <c r="Q58" s="13"/>
      <c r="R58" s="14">
        <f t="shared" si="1"/>
        <v>-3376.2400000000007</v>
      </c>
    </row>
    <row r="59" spans="1:18" outlineLevel="1" x14ac:dyDescent="0.2">
      <c r="A59" s="3" t="s">
        <v>3472</v>
      </c>
      <c r="B59" s="14">
        <f>+'KY_Res by Plant Acct P16(REG)'!B57</f>
        <v>-155372.06000000003</v>
      </c>
      <c r="C59" s="13"/>
      <c r="D59" s="14">
        <f>+'KY_Res by Plant Acct P16(REG)'!D57</f>
        <v>-4616.5200000000004</v>
      </c>
      <c r="E59" s="13"/>
      <c r="F59" s="14">
        <f>+'KY_Res by Plant Acct P16(REG)'!F57</f>
        <v>0</v>
      </c>
      <c r="G59" s="13"/>
      <c r="H59" s="14">
        <f>+'KY_Res by Plant Acct P16(REG)'!H57</f>
        <v>0</v>
      </c>
      <c r="I59" s="13"/>
      <c r="J59" s="14">
        <f>+'KY_Res by Plant Acct P16(REG)'!J57</f>
        <v>0</v>
      </c>
      <c r="K59" s="13"/>
      <c r="L59" s="14">
        <f>+'KY_Res by Plant Acct P16(REG)'!L57</f>
        <v>0</v>
      </c>
      <c r="M59" s="13"/>
      <c r="N59" s="14">
        <f>+'KY_Res by Plant Acct P16(REG)'!N57</f>
        <v>0</v>
      </c>
      <c r="O59" s="13"/>
      <c r="P59" s="14">
        <f>+'KY_Res by Plant Acct P16(REG)'!P57</f>
        <v>0</v>
      </c>
      <c r="Q59" s="13"/>
      <c r="R59" s="14">
        <f t="shared" si="1"/>
        <v>-159988.58000000002</v>
      </c>
    </row>
    <row r="60" spans="1:18" outlineLevel="1" x14ac:dyDescent="0.2">
      <c r="A60" s="3" t="s">
        <v>3473</v>
      </c>
      <c r="B60" s="14">
        <f>+'KY_Res by Plant Acct P16(REG)'!B58</f>
        <v>-45836.34</v>
      </c>
      <c r="C60" s="13"/>
      <c r="D60" s="14">
        <f>+'KY_Res by Plant Acct P16(REG)'!D58</f>
        <v>-700.2</v>
      </c>
      <c r="E60" s="13"/>
      <c r="F60" s="14">
        <f>+'KY_Res by Plant Acct P16(REG)'!F58</f>
        <v>0</v>
      </c>
      <c r="G60" s="13"/>
      <c r="H60" s="14">
        <f>+'KY_Res by Plant Acct P16(REG)'!H58</f>
        <v>0</v>
      </c>
      <c r="I60" s="13"/>
      <c r="J60" s="14">
        <f>+'KY_Res by Plant Acct P16(REG)'!J58</f>
        <v>0</v>
      </c>
      <c r="K60" s="13"/>
      <c r="L60" s="14">
        <f>+'KY_Res by Plant Acct P16(REG)'!L58</f>
        <v>0</v>
      </c>
      <c r="M60" s="13"/>
      <c r="N60" s="14">
        <f>+'KY_Res by Plant Acct P16(REG)'!N58</f>
        <v>0</v>
      </c>
      <c r="O60" s="13"/>
      <c r="P60" s="14">
        <f>+'KY_Res by Plant Acct P16(REG)'!P58</f>
        <v>0</v>
      </c>
      <c r="Q60" s="13"/>
      <c r="R60" s="14">
        <f t="shared" si="1"/>
        <v>-46536.539999999994</v>
      </c>
    </row>
    <row r="61" spans="1:18" outlineLevel="1" x14ac:dyDescent="0.2">
      <c r="A61" s="3" t="s">
        <v>3474</v>
      </c>
      <c r="B61" s="14">
        <f>+'KY_Res by Plant Acct P16(REG)'!B59</f>
        <v>0</v>
      </c>
      <c r="C61" s="13"/>
      <c r="D61" s="14">
        <f>+'KY_Res by Plant Acct P16(REG)'!D59</f>
        <v>0</v>
      </c>
      <c r="E61" s="13"/>
      <c r="F61" s="14">
        <f>+'KY_Res by Plant Acct P16(REG)'!F59</f>
        <v>0</v>
      </c>
      <c r="G61" s="13"/>
      <c r="H61" s="14">
        <f>+'KY_Res by Plant Acct P16(REG)'!H59</f>
        <v>0</v>
      </c>
      <c r="I61" s="13"/>
      <c r="J61" s="14">
        <f>+'KY_Res by Plant Acct P16(REG)'!J59</f>
        <v>0</v>
      </c>
      <c r="K61" s="13"/>
      <c r="L61" s="14">
        <f>+'KY_Res by Plant Acct P16(REG)'!L59</f>
        <v>0</v>
      </c>
      <c r="M61" s="13"/>
      <c r="N61" s="14">
        <f>+'KY_Res by Plant Acct P16(REG)'!N59</f>
        <v>0</v>
      </c>
      <c r="O61" s="13"/>
      <c r="P61" s="14">
        <f>+'KY_Res by Plant Acct P16(REG)'!P59</f>
        <v>0</v>
      </c>
      <c r="Q61" s="13"/>
      <c r="R61" s="14">
        <f t="shared" si="1"/>
        <v>0</v>
      </c>
    </row>
    <row r="62" spans="1:18" outlineLevel="1" x14ac:dyDescent="0.2">
      <c r="A62" s="3" t="s">
        <v>3475</v>
      </c>
      <c r="B62" s="14">
        <f>+'KY_Res by Plant Acct P16(REG)'!B60</f>
        <v>0</v>
      </c>
      <c r="C62" s="13"/>
      <c r="D62" s="14">
        <f>+'KY_Res by Plant Acct P16(REG)'!D60</f>
        <v>0</v>
      </c>
      <c r="E62" s="13"/>
      <c r="F62" s="14">
        <f>+'KY_Res by Plant Acct P16(REG)'!F60</f>
        <v>0</v>
      </c>
      <c r="G62" s="13"/>
      <c r="H62" s="14">
        <f>+'KY_Res by Plant Acct P16(REG)'!H60</f>
        <v>0</v>
      </c>
      <c r="I62" s="13"/>
      <c r="J62" s="14">
        <f>+'KY_Res by Plant Acct P16(REG)'!J60</f>
        <v>0</v>
      </c>
      <c r="K62" s="13"/>
      <c r="L62" s="14">
        <f>+'KY_Res by Plant Acct P16(REG)'!L60</f>
        <v>0</v>
      </c>
      <c r="M62" s="13"/>
      <c r="N62" s="14">
        <f>+'KY_Res by Plant Acct P16(REG)'!N60</f>
        <v>0</v>
      </c>
      <c r="O62" s="13"/>
      <c r="P62" s="14">
        <f>+'KY_Res by Plant Acct P16(REG)'!P60</f>
        <v>0</v>
      </c>
      <c r="Q62" s="13"/>
      <c r="R62" s="14">
        <f t="shared" si="1"/>
        <v>0</v>
      </c>
    </row>
    <row r="63" spans="1:18" outlineLevel="1" x14ac:dyDescent="0.2">
      <c r="A63" s="3" t="s">
        <v>3476</v>
      </c>
      <c r="B63" s="14">
        <f>+'KY_Res by Plant Acct P16(REG)'!B61</f>
        <v>-9088.1699999999983</v>
      </c>
      <c r="C63" s="13"/>
      <c r="D63" s="14">
        <f>+'KY_Res by Plant Acct P16(REG)'!D61</f>
        <v>-138.84</v>
      </c>
      <c r="E63" s="13"/>
      <c r="F63" s="14">
        <f>+'KY_Res by Plant Acct P16(REG)'!F61</f>
        <v>0</v>
      </c>
      <c r="G63" s="13"/>
      <c r="H63" s="14">
        <f>+'KY_Res by Plant Acct P16(REG)'!H61</f>
        <v>0</v>
      </c>
      <c r="I63" s="13"/>
      <c r="J63" s="14">
        <f>+'KY_Res by Plant Acct P16(REG)'!J61</f>
        <v>0</v>
      </c>
      <c r="K63" s="13"/>
      <c r="L63" s="14">
        <f>+'KY_Res by Plant Acct P16(REG)'!L61</f>
        <v>0</v>
      </c>
      <c r="M63" s="13"/>
      <c r="N63" s="14">
        <f>+'KY_Res by Plant Acct P16(REG)'!N61</f>
        <v>0</v>
      </c>
      <c r="O63" s="13"/>
      <c r="P63" s="14">
        <f>+'KY_Res by Plant Acct P16(REG)'!P61</f>
        <v>0</v>
      </c>
      <c r="Q63" s="13"/>
      <c r="R63" s="14">
        <f t="shared" si="1"/>
        <v>-9227.0099999999984</v>
      </c>
    </row>
    <row r="64" spans="1:18" outlineLevel="1" x14ac:dyDescent="0.2">
      <c r="A64" s="3" t="s">
        <v>3477</v>
      </c>
      <c r="B64" s="14">
        <f>+'KY_Res by Plant Acct P16(REG)'!B62</f>
        <v>-65591.799999999988</v>
      </c>
      <c r="C64" s="13"/>
      <c r="D64" s="14">
        <f>+'KY_Res by Plant Acct P16(REG)'!D62</f>
        <v>-1002</v>
      </c>
      <c r="E64" s="13"/>
      <c r="F64" s="14">
        <f>+'KY_Res by Plant Acct P16(REG)'!F62</f>
        <v>0</v>
      </c>
      <c r="G64" s="13"/>
      <c r="H64" s="14">
        <f>+'KY_Res by Plant Acct P16(REG)'!H62</f>
        <v>0</v>
      </c>
      <c r="I64" s="13"/>
      <c r="J64" s="14">
        <f>+'KY_Res by Plant Acct P16(REG)'!J62</f>
        <v>0</v>
      </c>
      <c r="K64" s="13"/>
      <c r="L64" s="14">
        <f>+'KY_Res by Plant Acct P16(REG)'!L62</f>
        <v>0</v>
      </c>
      <c r="M64" s="13"/>
      <c r="N64" s="14">
        <f>+'KY_Res by Plant Acct P16(REG)'!N62</f>
        <v>0</v>
      </c>
      <c r="O64" s="13"/>
      <c r="P64" s="14">
        <f>+'KY_Res by Plant Acct P16(REG)'!P62</f>
        <v>0</v>
      </c>
      <c r="Q64" s="13"/>
      <c r="R64" s="14">
        <f t="shared" si="1"/>
        <v>-66593.799999999988</v>
      </c>
    </row>
    <row r="65" spans="1:18" outlineLevel="1" x14ac:dyDescent="0.2">
      <c r="A65" s="3" t="s">
        <v>3478</v>
      </c>
      <c r="B65" s="14">
        <f>+'KY_Res by Plant Acct P16(REG)'!B63</f>
        <v>0</v>
      </c>
      <c r="C65" s="13"/>
      <c r="D65" s="14">
        <f>+'KY_Res by Plant Acct P16(REG)'!D63</f>
        <v>0</v>
      </c>
      <c r="E65" s="13"/>
      <c r="F65" s="14">
        <f>+'KY_Res by Plant Acct P16(REG)'!F63</f>
        <v>0</v>
      </c>
      <c r="G65" s="13"/>
      <c r="H65" s="14">
        <f>+'KY_Res by Plant Acct P16(REG)'!H63</f>
        <v>0</v>
      </c>
      <c r="I65" s="13"/>
      <c r="J65" s="14">
        <f>+'KY_Res by Plant Acct P16(REG)'!J63</f>
        <v>0</v>
      </c>
      <c r="K65" s="13"/>
      <c r="L65" s="14">
        <f>+'KY_Res by Plant Acct P16(REG)'!L63</f>
        <v>0</v>
      </c>
      <c r="M65" s="13"/>
      <c r="N65" s="14">
        <f>+'KY_Res by Plant Acct P16(REG)'!N63</f>
        <v>0</v>
      </c>
      <c r="O65" s="13"/>
      <c r="P65" s="14">
        <f>+'KY_Res by Plant Acct P16(REG)'!P63</f>
        <v>0</v>
      </c>
      <c r="Q65" s="13"/>
      <c r="R65" s="14">
        <f t="shared" si="1"/>
        <v>0</v>
      </c>
    </row>
    <row r="66" spans="1:18" x14ac:dyDescent="0.2">
      <c r="A66" s="3" t="s">
        <v>3479</v>
      </c>
      <c r="B66" s="14">
        <f>SUM(B42:B65)</f>
        <v>-445843.99</v>
      </c>
      <c r="C66" s="13"/>
      <c r="D66" s="14">
        <f>SUM(D42:D65)</f>
        <v>-8924.630000000001</v>
      </c>
      <c r="E66" s="13"/>
      <c r="F66" s="14">
        <f>SUM(F42:F65)</f>
        <v>0</v>
      </c>
      <c r="G66" s="13"/>
      <c r="H66" s="14">
        <f>SUM(H42:H65)</f>
        <v>53359.28</v>
      </c>
      <c r="I66" s="13"/>
      <c r="J66" s="14">
        <f>SUM(J42:J65)</f>
        <v>0</v>
      </c>
      <c r="K66" s="13"/>
      <c r="L66" s="14">
        <f>SUM(L42:L65)</f>
        <v>0</v>
      </c>
      <c r="M66" s="13"/>
      <c r="N66" s="14">
        <f>SUM(N42:N65)</f>
        <v>0</v>
      </c>
      <c r="O66" s="13"/>
      <c r="P66" s="14">
        <f>SUM(P42:P65)</f>
        <v>0</v>
      </c>
      <c r="Q66" s="13"/>
      <c r="R66" s="14">
        <f>SUM(R42:R65)</f>
        <v>-401409.33999999997</v>
      </c>
    </row>
    <row r="67" spans="1:18" x14ac:dyDescent="0.2">
      <c r="A67" s="3" t="s">
        <v>3939</v>
      </c>
      <c r="B67" s="14">
        <f>+'KY_Res by Plant Acct P16(REG)'!B65+'VA_Res by Plant Acct P17(REG)'!B29</f>
        <v>-5677516.7699999986</v>
      </c>
      <c r="C67" s="13"/>
      <c r="D67" s="14">
        <f>+'KY_Res by Plant Acct P16(REG)'!D65+'VA_Res by Plant Acct P17(REG)'!D29</f>
        <v>-452021.74</v>
      </c>
      <c r="E67" s="13"/>
      <c r="F67" s="14">
        <f>+'KY_Res by Plant Acct P16(REG)'!F65+'VA_Res by Plant Acct P17(REG)'!F29</f>
        <v>1071054.3600000001</v>
      </c>
      <c r="G67" s="13"/>
      <c r="H67" s="14">
        <f>+'KY_Res by Plant Acct P16(REG)'!H65+'VA_Res by Plant Acct P17(REG)'!H29</f>
        <v>1141.25</v>
      </c>
      <c r="I67" s="13"/>
      <c r="J67" s="14">
        <f>+'KY_Res by Plant Acct P16(REG)'!J65+'VA_Res by Plant Acct P17(REG)'!J29</f>
        <v>0</v>
      </c>
      <c r="K67" s="13"/>
      <c r="L67" s="14">
        <f>+'KY_Res by Plant Acct P16(REG)'!L65+'VA_Res by Plant Acct P17(REG)'!L29</f>
        <v>29413.94</v>
      </c>
      <c r="M67" s="13"/>
      <c r="N67" s="14">
        <f>+'KY_Res by Plant Acct P16(REG)'!N65+'VA_Res by Plant Acct P17(REG)'!N29</f>
        <v>0</v>
      </c>
      <c r="O67" s="13"/>
      <c r="P67" s="14">
        <f>+'KY_Res by Plant Acct P16(REG)'!P65+'VA_Res by Plant Acct P17(REG)'!P29</f>
        <v>0</v>
      </c>
      <c r="Q67" s="13"/>
      <c r="R67" s="14">
        <f t="shared" ref="R67:R81" si="2">SUM(B67:P67)</f>
        <v>-5027928.9599999981</v>
      </c>
    </row>
    <row r="68" spans="1:18" x14ac:dyDescent="0.2">
      <c r="A68" s="3" t="s">
        <v>3940</v>
      </c>
      <c r="B68" s="14">
        <f>+'KY_Res by Plant Acct P16(REG)'!B66+'VA_Res by Plant Acct P17(REG)'!B30</f>
        <v>-14275399.010000002</v>
      </c>
      <c r="C68" s="13"/>
      <c r="D68" s="14">
        <f>+'KY_Res by Plant Acct P16(REG)'!D66+'VA_Res by Plant Acct P17(REG)'!D30</f>
        <v>-5485021.4900000002</v>
      </c>
      <c r="E68" s="13"/>
      <c r="F68" s="14">
        <f>+'KY_Res by Plant Acct P16(REG)'!F66+'VA_Res by Plant Acct P17(REG)'!F30</f>
        <v>4236675.62</v>
      </c>
      <c r="G68" s="13"/>
      <c r="H68" s="14">
        <f>+'KY_Res by Plant Acct P16(REG)'!H66+'VA_Res by Plant Acct P17(REG)'!H30</f>
        <v>0</v>
      </c>
      <c r="I68" s="13"/>
      <c r="J68" s="14">
        <f>+'KY_Res by Plant Acct P16(REG)'!J66+'VA_Res by Plant Acct P17(REG)'!J30</f>
        <v>0</v>
      </c>
      <c r="K68" s="13"/>
      <c r="L68" s="14">
        <f>+'KY_Res by Plant Acct P16(REG)'!L66+'VA_Res by Plant Acct P17(REG)'!L30</f>
        <v>0</v>
      </c>
      <c r="M68" s="13"/>
      <c r="N68" s="14">
        <f>+'KY_Res by Plant Acct P16(REG)'!N66+'VA_Res by Plant Acct P17(REG)'!N30</f>
        <v>0</v>
      </c>
      <c r="O68" s="13"/>
      <c r="P68" s="14">
        <f>+'KY_Res by Plant Acct P16(REG)'!P66+'VA_Res by Plant Acct P17(REG)'!P30</f>
        <v>0</v>
      </c>
      <c r="Q68" s="13"/>
      <c r="R68" s="14">
        <f t="shared" si="2"/>
        <v>-15523744.879999999</v>
      </c>
    </row>
    <row r="69" spans="1:18" x14ac:dyDescent="0.2">
      <c r="A69" s="3" t="s">
        <v>3482</v>
      </c>
      <c r="B69" s="14">
        <f>+'KY_Res by Plant Acct P16(REG)'!B67</f>
        <v>0</v>
      </c>
      <c r="C69" s="13"/>
      <c r="D69" s="14">
        <f>+'KY_Res by Plant Acct P16(REG)'!D67</f>
        <v>0</v>
      </c>
      <c r="E69" s="13"/>
      <c r="F69" s="14">
        <f>+'KY_Res by Plant Acct P16(REG)'!F67</f>
        <v>0</v>
      </c>
      <c r="G69" s="13"/>
      <c r="H69" s="14">
        <f>+'KY_Res by Plant Acct P16(REG)'!H67</f>
        <v>0</v>
      </c>
      <c r="I69" s="13"/>
      <c r="J69" s="14">
        <f>+'KY_Res by Plant Acct P16(REG)'!J67</f>
        <v>0</v>
      </c>
      <c r="K69" s="13"/>
      <c r="L69" s="14">
        <f>+'KY_Res by Plant Acct P16(REG)'!L67</f>
        <v>0</v>
      </c>
      <c r="M69" s="13"/>
      <c r="N69" s="14">
        <f>+'KY_Res by Plant Acct P16(REG)'!N67</f>
        <v>0</v>
      </c>
      <c r="O69" s="13"/>
      <c r="P69" s="14">
        <f>+'KY_Res by Plant Acct P16(REG)'!P67</f>
        <v>0</v>
      </c>
      <c r="Q69" s="13"/>
      <c r="R69" s="14">
        <f t="shared" si="2"/>
        <v>0</v>
      </c>
    </row>
    <row r="70" spans="1:18" x14ac:dyDescent="0.2">
      <c r="A70" s="3" t="s">
        <v>3483</v>
      </c>
      <c r="B70" s="14">
        <f>+'KY_Res by Plant Acct P16(REG)'!B68</f>
        <v>-3350909.26</v>
      </c>
      <c r="C70" s="13"/>
      <c r="D70" s="14">
        <f>+'KY_Res by Plant Acct P16(REG)'!D68</f>
        <v>-524484.81999999995</v>
      </c>
      <c r="E70" s="13"/>
      <c r="F70" s="14">
        <f>+'KY_Res by Plant Acct P16(REG)'!F68</f>
        <v>3267500.19</v>
      </c>
      <c r="G70" s="13"/>
      <c r="H70" s="14">
        <f>+'KY_Res by Plant Acct P16(REG)'!H68</f>
        <v>0</v>
      </c>
      <c r="I70" s="13"/>
      <c r="J70" s="14">
        <f>+'KY_Res by Plant Acct P16(REG)'!J68</f>
        <v>0</v>
      </c>
      <c r="K70" s="13"/>
      <c r="L70" s="14">
        <f>+'KY_Res by Plant Acct P16(REG)'!L68</f>
        <v>0</v>
      </c>
      <c r="M70" s="13"/>
      <c r="N70" s="14">
        <f>+'KY_Res by Plant Acct P16(REG)'!N68</f>
        <v>0</v>
      </c>
      <c r="O70" s="13"/>
      <c r="P70" s="14">
        <f>+'KY_Res by Plant Acct P16(REG)'!P68</f>
        <v>0</v>
      </c>
      <c r="Q70" s="13"/>
      <c r="R70" s="14">
        <f t="shared" si="2"/>
        <v>-607893.88999999966</v>
      </c>
    </row>
    <row r="71" spans="1:18" x14ac:dyDescent="0.2">
      <c r="A71" s="3" t="s">
        <v>3941</v>
      </c>
      <c r="B71" s="14">
        <f>+'KY_Res by Plant Acct P16(REG)'!B69</f>
        <v>-8471.8200000000033</v>
      </c>
      <c r="C71" s="13"/>
      <c r="D71" s="14">
        <f>+'KY_Res by Plant Acct P16(REG)'!D69</f>
        <v>-5179.72</v>
      </c>
      <c r="E71" s="13"/>
      <c r="F71" s="14">
        <f>+'KY_Res by Plant Acct P16(REG)'!F69</f>
        <v>0</v>
      </c>
      <c r="G71" s="13"/>
      <c r="H71" s="14">
        <f>+'KY_Res by Plant Acct P16(REG)'!H69</f>
        <v>-12524.06</v>
      </c>
      <c r="I71" s="13"/>
      <c r="J71" s="14">
        <f>+'KY_Res by Plant Acct P16(REG)'!J69</f>
        <v>0</v>
      </c>
      <c r="K71" s="13"/>
      <c r="L71" s="14">
        <f>+'KY_Res by Plant Acct P16(REG)'!L69</f>
        <v>0</v>
      </c>
      <c r="M71" s="13"/>
      <c r="N71" s="14">
        <f>+'KY_Res by Plant Acct P16(REG)'!N69</f>
        <v>0</v>
      </c>
      <c r="O71" s="13"/>
      <c r="P71" s="14">
        <f>+'KY_Res by Plant Acct P16(REG)'!P69</f>
        <v>0</v>
      </c>
      <c r="Q71" s="13"/>
      <c r="R71" s="14">
        <f t="shared" si="2"/>
        <v>-26175.600000000006</v>
      </c>
    </row>
    <row r="72" spans="1:18" x14ac:dyDescent="0.2">
      <c r="A72" s="3" t="s">
        <v>3942</v>
      </c>
      <c r="B72" s="14">
        <f>+'KY_Res by Plant Acct P16(REG)'!B70+'VA_Res by Plant Acct P17(REG)'!B31</f>
        <v>-842019.19999999623</v>
      </c>
      <c r="C72" s="13"/>
      <c r="D72" s="14">
        <f>+'KY_Res by Plant Acct P16(REG)'!D70+'VA_Res by Plant Acct P17(REG)'!D31</f>
        <v>-116237.94</v>
      </c>
      <c r="E72" s="13"/>
      <c r="F72" s="14">
        <f>+'KY_Res by Plant Acct P16(REG)'!F70+'VA_Res by Plant Acct P17(REG)'!F31</f>
        <v>158179.93</v>
      </c>
      <c r="G72" s="13"/>
      <c r="H72" s="14">
        <f>+'KY_Res by Plant Acct P16(REG)'!H70+'VA_Res by Plant Acct P17(REG)'!H31</f>
        <v>-6811.96</v>
      </c>
      <c r="I72" s="13"/>
      <c r="J72" s="14">
        <f>+'KY_Res by Plant Acct P16(REG)'!J70+'VA_Res by Plant Acct P17(REG)'!J31</f>
        <v>0</v>
      </c>
      <c r="K72" s="13"/>
      <c r="L72" s="14">
        <f>+'KY_Res by Plant Acct P16(REG)'!L70+'VA_Res by Plant Acct P17(REG)'!L31</f>
        <v>-568.76</v>
      </c>
      <c r="M72" s="13"/>
      <c r="N72" s="14">
        <f>+'KY_Res by Plant Acct P16(REG)'!N70+'VA_Res by Plant Acct P17(REG)'!N31</f>
        <v>7380.7199999999993</v>
      </c>
      <c r="O72" s="13"/>
      <c r="P72" s="14">
        <f>+'KY_Res by Plant Acct P16(REG)'!P70+'VA_Res by Plant Acct P17(REG)'!P31</f>
        <v>0</v>
      </c>
      <c r="Q72" s="13"/>
      <c r="R72" s="14">
        <f t="shared" si="2"/>
        <v>-800077.20999999624</v>
      </c>
    </row>
    <row r="73" spans="1:18" x14ac:dyDescent="0.2">
      <c r="A73" s="43" t="s">
        <v>3943</v>
      </c>
      <c r="B73" s="14">
        <f>+'KY_Res by Plant Acct P16(REG)'!B71</f>
        <v>-2506216.1500000004</v>
      </c>
      <c r="C73" s="13"/>
      <c r="D73" s="14">
        <f>+'KY_Res by Plant Acct P16(REG)'!D71</f>
        <v>-640232.06000000006</v>
      </c>
      <c r="E73" s="13"/>
      <c r="F73" s="14">
        <f>+'KY_Res by Plant Acct P16(REG)'!F71</f>
        <v>108408.86</v>
      </c>
      <c r="G73" s="13"/>
      <c r="H73" s="14">
        <f>+'KY_Res by Plant Acct P16(REG)'!H71</f>
        <v>19336.02</v>
      </c>
      <c r="I73" s="13"/>
      <c r="J73" s="14">
        <f>+'KY_Res by Plant Acct P16(REG)'!J71</f>
        <v>0</v>
      </c>
      <c r="K73" s="13"/>
      <c r="L73" s="14">
        <f>+'KY_Res by Plant Acct P16(REG)'!L71</f>
        <v>568.76</v>
      </c>
      <c r="M73" s="13"/>
      <c r="N73" s="14">
        <f>+'KY_Res by Plant Acct P16(REG)'!N71</f>
        <v>-7380.72</v>
      </c>
      <c r="O73" s="13"/>
      <c r="P73" s="14">
        <f>+'KY_Res by Plant Acct P16(REG)'!P71</f>
        <v>0</v>
      </c>
      <c r="Q73" s="13"/>
      <c r="R73" s="14">
        <f>SUM(B73:P73)</f>
        <v>-3025515.290000001</v>
      </c>
    </row>
    <row r="74" spans="1:18" x14ac:dyDescent="0.2">
      <c r="A74" s="3" t="s">
        <v>3944</v>
      </c>
      <c r="B74" s="14">
        <f>+'KY_Res by Plant Acct P16(REG)'!B72+'VA_Res by Plant Acct P17(REG)'!B32</f>
        <v>-311738.35000000003</v>
      </c>
      <c r="C74" s="13"/>
      <c r="D74" s="14">
        <f>+'KY_Res by Plant Acct P16(REG)'!D72+'VA_Res by Plant Acct P17(REG)'!D32</f>
        <v>-67713.440000000002</v>
      </c>
      <c r="E74" s="13"/>
      <c r="F74" s="14">
        <f>+'KY_Res by Plant Acct P16(REG)'!F72+'VA_Res by Plant Acct P17(REG)'!F32</f>
        <v>0</v>
      </c>
      <c r="G74" s="13"/>
      <c r="H74" s="14">
        <f>+'KY_Res by Plant Acct P16(REG)'!H72+'VA_Res by Plant Acct P17(REG)'!H32</f>
        <v>0</v>
      </c>
      <c r="I74" s="13"/>
      <c r="J74" s="14">
        <f>+'KY_Res by Plant Acct P16(REG)'!J72+'VA_Res by Plant Acct P17(REG)'!J32</f>
        <v>0</v>
      </c>
      <c r="K74" s="13"/>
      <c r="L74" s="14">
        <f>+'KY_Res by Plant Acct P16(REG)'!L72+'VA_Res by Plant Acct P17(REG)'!L32</f>
        <v>0</v>
      </c>
      <c r="M74" s="13"/>
      <c r="N74" s="14">
        <f>+'KY_Res by Plant Acct P16(REG)'!N72+'VA_Res by Plant Acct P17(REG)'!N32</f>
        <v>0</v>
      </c>
      <c r="O74" s="13"/>
      <c r="P74" s="14">
        <f>+'KY_Res by Plant Acct P16(REG)'!P72+'VA_Res by Plant Acct P17(REG)'!P32</f>
        <v>0</v>
      </c>
      <c r="Q74" s="13"/>
      <c r="R74" s="14">
        <f t="shared" si="2"/>
        <v>-379451.79000000004</v>
      </c>
    </row>
    <row r="75" spans="1:18" x14ac:dyDescent="0.2">
      <c r="A75" s="3" t="s">
        <v>3945</v>
      </c>
      <c r="B75" s="14">
        <f>+'KY_Res by Plant Acct P16(REG)'!B73+'VA_Res by Plant Acct P17(REG)'!B33</f>
        <v>-3584230.8999999994</v>
      </c>
      <c r="C75" s="13"/>
      <c r="D75" s="14">
        <f>+'KY_Res by Plant Acct P16(REG)'!D73+'VA_Res by Plant Acct P17(REG)'!D33</f>
        <v>-533717.13</v>
      </c>
      <c r="E75" s="13"/>
      <c r="F75" s="14">
        <f>+'KY_Res by Plant Acct P16(REG)'!F73+'VA_Res by Plant Acct P17(REG)'!F33</f>
        <v>104279.68000000001</v>
      </c>
      <c r="G75" s="13"/>
      <c r="H75" s="14">
        <f>+'KY_Res by Plant Acct P16(REG)'!H73+'VA_Res by Plant Acct P17(REG)'!H33</f>
        <v>-1141.25</v>
      </c>
      <c r="I75" s="13"/>
      <c r="J75" s="14">
        <f>+'KY_Res by Plant Acct P16(REG)'!J73+'VA_Res by Plant Acct P17(REG)'!J33</f>
        <v>0</v>
      </c>
      <c r="K75" s="13"/>
      <c r="L75" s="14">
        <f>+'KY_Res by Plant Acct P16(REG)'!L73+'VA_Res by Plant Acct P17(REG)'!L33</f>
        <v>697.63</v>
      </c>
      <c r="M75" s="13"/>
      <c r="N75" s="14">
        <f>+'KY_Res by Plant Acct P16(REG)'!N73+'VA_Res by Plant Acct P17(REG)'!N33</f>
        <v>0</v>
      </c>
      <c r="O75" s="13"/>
      <c r="P75" s="14">
        <f>+'KY_Res by Plant Acct P16(REG)'!P73+'VA_Res by Plant Acct P17(REG)'!P33</f>
        <v>0</v>
      </c>
      <c r="Q75" s="13"/>
      <c r="R75" s="14">
        <f t="shared" si="2"/>
        <v>-4014111.9699999993</v>
      </c>
    </row>
    <row r="76" spans="1:18" x14ac:dyDescent="0.2">
      <c r="A76" s="3" t="s">
        <v>3946</v>
      </c>
      <c r="B76" s="14">
        <f>+'KY_Res by Plant Acct P16(REG)'!B74+'VA_Res by Plant Acct P17(REG)'!B34</f>
        <v>-4.6566128730773926E-10</v>
      </c>
      <c r="C76" s="13"/>
      <c r="D76" s="14">
        <f>+'KY_Res by Plant Acct P16(REG)'!D74+'VA_Res by Plant Acct P17(REG)'!D34</f>
        <v>0</v>
      </c>
      <c r="E76" s="13"/>
      <c r="F76" s="14">
        <f>+'KY_Res by Plant Acct P16(REG)'!F74+'VA_Res by Plant Acct P17(REG)'!F34</f>
        <v>0</v>
      </c>
      <c r="G76" s="13"/>
      <c r="H76" s="14">
        <f>+'KY_Res by Plant Acct P16(REG)'!H74+'VA_Res by Plant Acct P17(REG)'!H34</f>
        <v>0</v>
      </c>
      <c r="I76" s="13"/>
      <c r="J76" s="14">
        <f>+'KY_Res by Plant Acct P16(REG)'!J74+'VA_Res by Plant Acct P17(REG)'!J34</f>
        <v>0</v>
      </c>
      <c r="K76" s="13"/>
      <c r="L76" s="14">
        <f>+'KY_Res by Plant Acct P16(REG)'!L74+'VA_Res by Plant Acct P17(REG)'!L34</f>
        <v>0</v>
      </c>
      <c r="M76" s="13"/>
      <c r="N76" s="14">
        <f>+'KY_Res by Plant Acct P16(REG)'!N74+'VA_Res by Plant Acct P17(REG)'!N34</f>
        <v>0</v>
      </c>
      <c r="O76" s="13"/>
      <c r="P76" s="14">
        <f>+'KY_Res by Plant Acct P16(REG)'!P74+'VA_Res by Plant Acct P17(REG)'!P34</f>
        <v>0</v>
      </c>
      <c r="Q76" s="13"/>
      <c r="R76" s="14">
        <f t="shared" si="2"/>
        <v>-4.6566128730773926E-10</v>
      </c>
    </row>
    <row r="77" spans="1:18" x14ac:dyDescent="0.2">
      <c r="A77" s="3" t="s">
        <v>3947</v>
      </c>
      <c r="B77" s="14">
        <f>+'KY_Res by Plant Acct P16(REG)'!B75+'VA_Res by Plant Acct P17(REG)'!B35</f>
        <v>-733922.14</v>
      </c>
      <c r="C77" s="13"/>
      <c r="D77" s="14">
        <f>+'KY_Res by Plant Acct P16(REG)'!D75+'VA_Res by Plant Acct P17(REG)'!D35</f>
        <v>-208093.44</v>
      </c>
      <c r="E77" s="13"/>
      <c r="F77" s="14">
        <f>+'KY_Res by Plant Acct P16(REG)'!F75+'VA_Res by Plant Acct P17(REG)'!F35</f>
        <v>0</v>
      </c>
      <c r="G77" s="13"/>
      <c r="H77" s="14">
        <f>+'KY_Res by Plant Acct P16(REG)'!H75+'VA_Res by Plant Acct P17(REG)'!H35</f>
        <v>0</v>
      </c>
      <c r="I77" s="13"/>
      <c r="J77" s="14">
        <f>+'KY_Res by Plant Acct P16(REG)'!J75+'VA_Res by Plant Acct P17(REG)'!J35</f>
        <v>0</v>
      </c>
      <c r="K77" s="13"/>
      <c r="L77" s="14">
        <f>+'KY_Res by Plant Acct P16(REG)'!L75+'VA_Res by Plant Acct P17(REG)'!L35</f>
        <v>0</v>
      </c>
      <c r="M77" s="13"/>
      <c r="N77" s="14">
        <f>+'KY_Res by Plant Acct P16(REG)'!N75+'VA_Res by Plant Acct P17(REG)'!N35</f>
        <v>0</v>
      </c>
      <c r="O77" s="13"/>
      <c r="P77" s="14">
        <f>+'KY_Res by Plant Acct P16(REG)'!P75+'VA_Res by Plant Acct P17(REG)'!P35</f>
        <v>0</v>
      </c>
      <c r="Q77" s="13"/>
      <c r="R77" s="14">
        <f t="shared" si="2"/>
        <v>-942015.58000000007</v>
      </c>
    </row>
    <row r="78" spans="1:18" x14ac:dyDescent="0.2">
      <c r="A78" s="3" t="s">
        <v>3948</v>
      </c>
      <c r="B78" s="14">
        <f>+'KY_Res by Plant Acct P16(REG)'!B76+'VA_Res by Plant Acct P17(REG)'!B36</f>
        <v>-8888012.290000001</v>
      </c>
      <c r="C78" s="13"/>
      <c r="D78" s="14">
        <f>+'KY_Res by Plant Acct P16(REG)'!D76+'VA_Res by Plant Acct P17(REG)'!D36</f>
        <v>-1504530.03</v>
      </c>
      <c r="E78" s="13"/>
      <c r="F78" s="14">
        <f>+'KY_Res by Plant Acct P16(REG)'!F76+'VA_Res by Plant Acct P17(REG)'!F36</f>
        <v>641341.51</v>
      </c>
      <c r="G78" s="13"/>
      <c r="H78" s="14">
        <f>+'KY_Res by Plant Acct P16(REG)'!H76+'VA_Res by Plant Acct P17(REG)'!H36</f>
        <v>0</v>
      </c>
      <c r="I78" s="13"/>
      <c r="J78" s="14">
        <f>+'KY_Res by Plant Acct P16(REG)'!J76+'VA_Res by Plant Acct P17(REG)'!J36</f>
        <v>0</v>
      </c>
      <c r="K78" s="13"/>
      <c r="L78" s="14">
        <f>+'KY_Res by Plant Acct P16(REG)'!L76+'VA_Res by Plant Acct P17(REG)'!L36</f>
        <v>13071.54</v>
      </c>
      <c r="M78" s="13"/>
      <c r="N78" s="14">
        <f>+'KY_Res by Plant Acct P16(REG)'!N76+'VA_Res by Plant Acct P17(REG)'!N36</f>
        <v>0</v>
      </c>
      <c r="O78" s="13"/>
      <c r="P78" s="14">
        <f>+'KY_Res by Plant Acct P16(REG)'!P76+'VA_Res by Plant Acct P17(REG)'!P36</f>
        <v>0</v>
      </c>
      <c r="Q78" s="13"/>
      <c r="R78" s="14">
        <f t="shared" si="2"/>
        <v>-9738129.2700000014</v>
      </c>
    </row>
    <row r="79" spans="1:18" x14ac:dyDescent="0.2">
      <c r="A79" s="3" t="s">
        <v>3949</v>
      </c>
      <c r="B79" s="14">
        <f>+'KY_Res by Plant Acct P16(REG)'!B77+'VA_Res by Plant Acct P17(REG)'!B37</f>
        <v>-7845508</v>
      </c>
      <c r="C79" s="13"/>
      <c r="D79" s="14">
        <f>+'KY_Res by Plant Acct P16(REG)'!D77+'VA_Res by Plant Acct P17(REG)'!D37</f>
        <v>-732004.8</v>
      </c>
      <c r="E79" s="13"/>
      <c r="F79" s="14">
        <f>+'KY_Res by Plant Acct P16(REG)'!F77+'VA_Res by Plant Acct P17(REG)'!F37</f>
        <v>823769.21</v>
      </c>
      <c r="G79" s="13"/>
      <c r="H79" s="14">
        <f>+'KY_Res by Plant Acct P16(REG)'!H77+'VA_Res by Plant Acct P17(REG)'!H37</f>
        <v>0</v>
      </c>
      <c r="I79" s="13"/>
      <c r="J79" s="14">
        <f>+'KY_Res by Plant Acct P16(REG)'!J77+'VA_Res by Plant Acct P17(REG)'!J37</f>
        <v>0</v>
      </c>
      <c r="K79" s="13"/>
      <c r="L79" s="14">
        <f>+'KY_Res by Plant Acct P16(REG)'!L77+'VA_Res by Plant Acct P17(REG)'!L37</f>
        <v>0</v>
      </c>
      <c r="M79" s="13"/>
      <c r="N79" s="14">
        <f>+'KY_Res by Plant Acct P16(REG)'!N77+'VA_Res by Plant Acct P17(REG)'!N37</f>
        <v>0</v>
      </c>
      <c r="O79" s="13"/>
      <c r="P79" s="14">
        <f>+'KY_Res by Plant Acct P16(REG)'!P77+'VA_Res by Plant Acct P17(REG)'!P37</f>
        <v>0</v>
      </c>
      <c r="Q79" s="13"/>
      <c r="R79" s="14">
        <f t="shared" si="2"/>
        <v>-7753743.5900000008</v>
      </c>
    </row>
    <row r="80" spans="1:18" x14ac:dyDescent="0.2">
      <c r="A80" s="3" t="s">
        <v>3493</v>
      </c>
      <c r="B80" s="14">
        <f>+'KY_Res by Plant Acct P16(REG)'!B78</f>
        <v>-497906.06</v>
      </c>
      <c r="C80" s="13"/>
      <c r="D80" s="14">
        <f>+'KY_Res by Plant Acct P16(REG)'!D78</f>
        <v>-375684.11</v>
      </c>
      <c r="E80" s="13"/>
      <c r="F80" s="14">
        <f>+'KY_Res by Plant Acct P16(REG)'!F78</f>
        <v>438990.26</v>
      </c>
      <c r="G80" s="13"/>
      <c r="H80" s="14">
        <f>+'KY_Res by Plant Acct P16(REG)'!H78</f>
        <v>-413976.73</v>
      </c>
      <c r="I80" s="13"/>
      <c r="J80" s="14">
        <f>+'KY_Res by Plant Acct P16(REG)'!J78</f>
        <v>0</v>
      </c>
      <c r="K80" s="13"/>
      <c r="L80" s="14">
        <f>+'KY_Res by Plant Acct P16(REG)'!L78</f>
        <v>0</v>
      </c>
      <c r="M80" s="13"/>
      <c r="N80" s="14">
        <f>+'KY_Res by Plant Acct P16(REG)'!N78</f>
        <v>0</v>
      </c>
      <c r="O80" s="13"/>
      <c r="P80" s="14">
        <f>+'KY_Res by Plant Acct P16(REG)'!P78</f>
        <v>0</v>
      </c>
      <c r="Q80" s="13"/>
      <c r="R80" s="14">
        <f>SUM(B80:P80)</f>
        <v>-848576.6399999999</v>
      </c>
    </row>
    <row r="81" spans="1:18" x14ac:dyDescent="0.2">
      <c r="A81" s="3" t="s">
        <v>3950</v>
      </c>
      <c r="B81" s="16">
        <f>+'KY_Res by Plant Acct P16(REG)'!B79+'VA_Res by Plant Acct P17(REG)'!B38</f>
        <v>3.0850044741015381E-11</v>
      </c>
      <c r="C81" s="92"/>
      <c r="D81" s="16">
        <f>+'KY_Res by Plant Acct P16(REG)'!D79+'VA_Res by Plant Acct P17(REG)'!D38</f>
        <v>0</v>
      </c>
      <c r="E81" s="92"/>
      <c r="F81" s="16">
        <f>+'KY_Res by Plant Acct P16(REG)'!F79+'VA_Res by Plant Acct P17(REG)'!F38</f>
        <v>0</v>
      </c>
      <c r="G81" s="92"/>
      <c r="H81" s="16">
        <f>+'KY_Res by Plant Acct P16(REG)'!H79+'VA_Res by Plant Acct P17(REG)'!H38</f>
        <v>0</v>
      </c>
      <c r="I81" s="92"/>
      <c r="J81" s="16">
        <f>+'KY_Res by Plant Acct P16(REG)'!J79+'VA_Res by Plant Acct P17(REG)'!J38</f>
        <v>0</v>
      </c>
      <c r="K81" s="92"/>
      <c r="L81" s="16">
        <f>+'KY_Res by Plant Acct P16(REG)'!L79+'VA_Res by Plant Acct P17(REG)'!L38</f>
        <v>0</v>
      </c>
      <c r="M81" s="92"/>
      <c r="N81" s="16">
        <f>+'KY_Res by Plant Acct P16(REG)'!N79+'VA_Res by Plant Acct P17(REG)'!N38</f>
        <v>0</v>
      </c>
      <c r="O81" s="92"/>
      <c r="P81" s="16">
        <f>+'KY_Res by Plant Acct P16(REG)'!P79+'VA_Res by Plant Acct P17(REG)'!P38</f>
        <v>0</v>
      </c>
      <c r="Q81" s="92"/>
      <c r="R81" s="16">
        <f t="shared" si="2"/>
        <v>3.0850044741015381E-11</v>
      </c>
    </row>
    <row r="82" spans="1:18" x14ac:dyDescent="0.2">
      <c r="A82" s="3" t="s">
        <v>3495</v>
      </c>
      <c r="B82" s="17">
        <f>+B81+B78+B77+B76+B75+B74+B72+B70+B69+B68+B67+B66+B37+B36+B38+B39+B40+B41+B80+B79+B71+B73</f>
        <v>-60124860.120000012</v>
      </c>
      <c r="C82" s="13"/>
      <c r="D82" s="17">
        <f>+D81+D78+D77+D76+D75+D74+D72+D70+D69+D68+D67+D66+D37+D36+D38+D39+D40+D41+D80+D79+D71+D73</f>
        <v>-11807754.720000001</v>
      </c>
      <c r="E82" s="13"/>
      <c r="F82" s="17">
        <f>+F81+F78+F77+F76+F75+F74+F72+F70+F69+F68+F67+F66+F37+F36+F38+F39+F40+F41+F80+F79+F71+F73</f>
        <v>11527163.229999997</v>
      </c>
      <c r="G82" s="13"/>
      <c r="H82" s="17">
        <f>+H81+H78+H77+H76+H75+H74+H72+H70+H69+H68+H67+H66+H37+H36+H38+H39+H40+H41+H80+H79+H71+H73</f>
        <v>-413976.73</v>
      </c>
      <c r="I82" s="13"/>
      <c r="J82" s="17">
        <f>+J81+J78+J77+J76+J75+J74+J72+J70+J69+J68+J67+J66+J37+J36+J38+J39+J40+J41+J80+J79+J71+J73</f>
        <v>0</v>
      </c>
      <c r="K82" s="13"/>
      <c r="L82" s="17">
        <f>+L81+L78+L77+L76+L75+L74+L72+L70+L69+L68+L67+L66+L37+L36+L38+L39+L40+L41+L80+L79+L71+L73</f>
        <v>232604.72000000003</v>
      </c>
      <c r="M82" s="13"/>
      <c r="N82" s="17">
        <f>+N81+N78+N77+N76+N75+N74+N72+N70+N69+N68+N67+N66+N37+N36+N38+N39+N40+N41+N80+N79+N71+N73</f>
        <v>-154.39000000000124</v>
      </c>
      <c r="O82" s="13"/>
      <c r="P82" s="17">
        <f>+P81+P78+P77+P76+P75+P74+P72+P70+P69+P68+P67+P66+P37+P36+P38+P39+P40+P41+P80+P79+P71+P73</f>
        <v>0</v>
      </c>
      <c r="Q82" s="17"/>
      <c r="R82" s="17">
        <f>+R81+R78+R77+R76+R75+R74+R72+R70+R69+R68+R67+R66+R37+R36+R38+R39+R40+R41+R80+R79+R71+R73</f>
        <v>-60586978.010000013</v>
      </c>
    </row>
    <row r="83" spans="1:18" x14ac:dyDescent="0.2">
      <c r="C83" s="13"/>
      <c r="E83" s="13"/>
      <c r="G83" s="13"/>
      <c r="I83" s="13"/>
      <c r="K83" s="13"/>
      <c r="M83" s="13"/>
      <c r="O83" s="13"/>
      <c r="Q83" s="13"/>
    </row>
    <row r="84" spans="1:18" x14ac:dyDescent="0.2">
      <c r="A84" s="12" t="s">
        <v>14</v>
      </c>
      <c r="C84" s="13"/>
      <c r="E84" s="13"/>
      <c r="G84" s="13"/>
      <c r="I84" s="13"/>
      <c r="K84" s="13"/>
      <c r="M84" s="13"/>
      <c r="O84" s="13"/>
      <c r="Q84" s="13"/>
    </row>
    <row r="85" spans="1:18" x14ac:dyDescent="0.2">
      <c r="A85" s="3" t="s">
        <v>3496</v>
      </c>
      <c r="B85" s="14">
        <f>+'KY_Res by Plant Acct P16(REG)'!B83</f>
        <v>-912332.6</v>
      </c>
      <c r="C85" s="13"/>
      <c r="D85" s="14">
        <f>+'KY_Res by Plant Acct P16(REG)'!D83</f>
        <v>0</v>
      </c>
      <c r="E85" s="13"/>
      <c r="F85" s="14">
        <f>+'KY_Res by Plant Acct P16(REG)'!F83</f>
        <v>0</v>
      </c>
      <c r="G85" s="13"/>
      <c r="H85" s="14">
        <f>+'KY_Res by Plant Acct P16(REG)'!H83</f>
        <v>0</v>
      </c>
      <c r="I85" s="13"/>
      <c r="J85" s="14">
        <f>+'KY_Res by Plant Acct P16(REG)'!J83</f>
        <v>0</v>
      </c>
      <c r="K85" s="13"/>
      <c r="L85" s="14">
        <f>+'KY_Res by Plant Acct P16(REG)'!L83</f>
        <v>0</v>
      </c>
      <c r="M85" s="13"/>
      <c r="N85" s="14">
        <f>+'KY_Res by Plant Acct P16(REG)'!N83</f>
        <v>0</v>
      </c>
      <c r="O85" s="13"/>
      <c r="P85" s="14">
        <f>+'KY_Res by Plant Acct P16(REG)'!P83</f>
        <v>0</v>
      </c>
      <c r="Q85" s="13"/>
      <c r="R85" s="14">
        <f t="shared" ref="R85:R92" si="3">SUM(B85:P85)</f>
        <v>-912332.6</v>
      </c>
    </row>
    <row r="86" spans="1:18" x14ac:dyDescent="0.2">
      <c r="A86" s="3" t="s">
        <v>3497</v>
      </c>
      <c r="B86" s="14">
        <f>+'KY_Res by Plant Acct P16(REG)'!B84</f>
        <v>-345561.8</v>
      </c>
      <c r="C86" s="13"/>
      <c r="D86" s="14">
        <f>+'KY_Res by Plant Acct P16(REG)'!D84</f>
        <v>-43536.03</v>
      </c>
      <c r="E86" s="13"/>
      <c r="F86" s="14">
        <f>+'KY_Res by Plant Acct P16(REG)'!F84</f>
        <v>2355.54</v>
      </c>
      <c r="G86" s="13"/>
      <c r="H86" s="14">
        <f>+'KY_Res by Plant Acct P16(REG)'!H84</f>
        <v>0</v>
      </c>
      <c r="I86" s="13"/>
      <c r="J86" s="14">
        <f>+'KY_Res by Plant Acct P16(REG)'!J84</f>
        <v>0</v>
      </c>
      <c r="K86" s="13"/>
      <c r="L86" s="14">
        <f>+'KY_Res by Plant Acct P16(REG)'!L84</f>
        <v>25862.74</v>
      </c>
      <c r="M86" s="13"/>
      <c r="N86" s="14">
        <f>+'KY_Res by Plant Acct P16(REG)'!N84</f>
        <v>0</v>
      </c>
      <c r="O86" s="13"/>
      <c r="P86" s="14">
        <f>+'KY_Res by Plant Acct P16(REG)'!P84</f>
        <v>0</v>
      </c>
      <c r="Q86" s="13"/>
      <c r="R86" s="14">
        <f t="shared" si="3"/>
        <v>-360879.55</v>
      </c>
    </row>
    <row r="87" spans="1:18" x14ac:dyDescent="0.2">
      <c r="A87" s="3" t="s">
        <v>3498</v>
      </c>
      <c r="B87" s="14">
        <f>+'KY_Res by Plant Acct P16(REG)'!B85</f>
        <v>-8216620.4299999988</v>
      </c>
      <c r="C87" s="13"/>
      <c r="D87" s="14">
        <f>+'KY_Res by Plant Acct P16(REG)'!D85</f>
        <v>-542763.96</v>
      </c>
      <c r="E87" s="13"/>
      <c r="F87" s="14">
        <f>+'KY_Res by Plant Acct P16(REG)'!F85</f>
        <v>0</v>
      </c>
      <c r="G87" s="13"/>
      <c r="H87" s="14">
        <f>+'KY_Res by Plant Acct P16(REG)'!H85</f>
        <v>0</v>
      </c>
      <c r="I87" s="13"/>
      <c r="J87" s="14">
        <f>+'KY_Res by Plant Acct P16(REG)'!J85</f>
        <v>0</v>
      </c>
      <c r="K87" s="13"/>
      <c r="L87" s="14">
        <f>+'KY_Res by Plant Acct P16(REG)'!L85</f>
        <v>0</v>
      </c>
      <c r="M87" s="13"/>
      <c r="N87" s="14">
        <f>+'KY_Res by Plant Acct P16(REG)'!N85</f>
        <v>0</v>
      </c>
      <c r="O87" s="13"/>
      <c r="P87" s="14">
        <f>+'KY_Res by Plant Acct P16(REG)'!P85</f>
        <v>0</v>
      </c>
      <c r="Q87" s="13"/>
      <c r="R87" s="14">
        <f t="shared" si="3"/>
        <v>-8759384.3899999987</v>
      </c>
    </row>
    <row r="88" spans="1:18" x14ac:dyDescent="0.2">
      <c r="A88" s="3" t="s">
        <v>3499</v>
      </c>
      <c r="B88" s="14">
        <f>+'KY_Res by Plant Acct P16(REG)'!B86</f>
        <v>-817722.32000000007</v>
      </c>
      <c r="C88" s="13"/>
      <c r="D88" s="14">
        <f>+'KY_Res by Plant Acct P16(REG)'!D86</f>
        <v>-514168.53</v>
      </c>
      <c r="E88" s="13"/>
      <c r="F88" s="14">
        <f>+'KY_Res by Plant Acct P16(REG)'!F86</f>
        <v>12840.26</v>
      </c>
      <c r="G88" s="13"/>
      <c r="H88" s="14">
        <f>+'KY_Res by Plant Acct P16(REG)'!H86</f>
        <v>0</v>
      </c>
      <c r="I88" s="13"/>
      <c r="J88" s="14">
        <f>+'KY_Res by Plant Acct P16(REG)'!J86</f>
        <v>0</v>
      </c>
      <c r="K88" s="13"/>
      <c r="L88" s="14">
        <f>+'KY_Res by Plant Acct P16(REG)'!L86</f>
        <v>0</v>
      </c>
      <c r="M88" s="13"/>
      <c r="N88" s="14">
        <f>+'KY_Res by Plant Acct P16(REG)'!N86</f>
        <v>0</v>
      </c>
      <c r="O88" s="13"/>
      <c r="P88" s="14">
        <f>+'KY_Res by Plant Acct P16(REG)'!P86</f>
        <v>0</v>
      </c>
      <c r="Q88" s="13"/>
      <c r="R88" s="14">
        <f t="shared" si="3"/>
        <v>-1319050.5900000001</v>
      </c>
    </row>
    <row r="89" spans="1:18" x14ac:dyDescent="0.2">
      <c r="A89" s="3" t="s">
        <v>3500</v>
      </c>
      <c r="B89" s="14">
        <f>+'KY_Res by Plant Acct P16(REG)'!B87</f>
        <v>-220517.75</v>
      </c>
      <c r="C89" s="13"/>
      <c r="D89" s="14">
        <f>+'KY_Res by Plant Acct P16(REG)'!D87</f>
        <v>-47663.58</v>
      </c>
      <c r="E89" s="13"/>
      <c r="F89" s="14">
        <f>+'KY_Res by Plant Acct P16(REG)'!F87</f>
        <v>0</v>
      </c>
      <c r="G89" s="13"/>
      <c r="H89" s="14">
        <f>+'KY_Res by Plant Acct P16(REG)'!H87</f>
        <v>0</v>
      </c>
      <c r="I89" s="13"/>
      <c r="J89" s="14">
        <f>+'KY_Res by Plant Acct P16(REG)'!J87</f>
        <v>0</v>
      </c>
      <c r="K89" s="13"/>
      <c r="L89" s="14">
        <f>+'KY_Res by Plant Acct P16(REG)'!L87</f>
        <v>0</v>
      </c>
      <c r="M89" s="13"/>
      <c r="N89" s="14">
        <f>+'KY_Res by Plant Acct P16(REG)'!N87</f>
        <v>0</v>
      </c>
      <c r="O89" s="13"/>
      <c r="P89" s="14">
        <f>+'KY_Res by Plant Acct P16(REG)'!P87</f>
        <v>0</v>
      </c>
      <c r="Q89" s="13"/>
      <c r="R89" s="14">
        <f t="shared" si="3"/>
        <v>-268181.33</v>
      </c>
    </row>
    <row r="90" spans="1:18" x14ac:dyDescent="0.2">
      <c r="A90" s="3" t="s">
        <v>3501</v>
      </c>
      <c r="B90" s="14">
        <f>+'KY_Res by Plant Acct P16(REG)'!B88</f>
        <v>-116557.55999999998</v>
      </c>
      <c r="C90" s="13"/>
      <c r="D90" s="14">
        <f>+'KY_Res by Plant Acct P16(REG)'!D88</f>
        <v>-13882.32</v>
      </c>
      <c r="E90" s="13"/>
      <c r="F90" s="14">
        <f>+'KY_Res by Plant Acct P16(REG)'!F88</f>
        <v>0</v>
      </c>
      <c r="G90" s="13"/>
      <c r="H90" s="14">
        <f>+'KY_Res by Plant Acct P16(REG)'!H88</f>
        <v>0</v>
      </c>
      <c r="I90" s="13"/>
      <c r="J90" s="14">
        <f>+'KY_Res by Plant Acct P16(REG)'!J88</f>
        <v>0</v>
      </c>
      <c r="K90" s="13"/>
      <c r="L90" s="14">
        <f>+'KY_Res by Plant Acct P16(REG)'!L88</f>
        <v>0</v>
      </c>
      <c r="M90" s="13"/>
      <c r="N90" s="14">
        <f>+'KY_Res by Plant Acct P16(REG)'!N88</f>
        <v>0</v>
      </c>
      <c r="O90" s="13"/>
      <c r="P90" s="14">
        <f>+'KY_Res by Plant Acct P16(REG)'!P88</f>
        <v>0</v>
      </c>
      <c r="Q90" s="13"/>
      <c r="R90" s="14">
        <f t="shared" si="3"/>
        <v>-130439.87999999998</v>
      </c>
    </row>
    <row r="91" spans="1:18" x14ac:dyDescent="0.2">
      <c r="A91" s="3" t="s">
        <v>3502</v>
      </c>
      <c r="B91" s="14">
        <f>+'KY_Res by Plant Acct P16(REG)'!B89</f>
        <v>-70567.219999999987</v>
      </c>
      <c r="C91" s="13"/>
      <c r="D91" s="14">
        <f>+'KY_Res by Plant Acct P16(REG)'!D89</f>
        <v>-9028.68</v>
      </c>
      <c r="E91" s="13"/>
      <c r="F91" s="14">
        <f>+'KY_Res by Plant Acct P16(REG)'!F89</f>
        <v>0</v>
      </c>
      <c r="G91" s="13"/>
      <c r="H91" s="14">
        <f>+'KY_Res by Plant Acct P16(REG)'!H89</f>
        <v>0</v>
      </c>
      <c r="I91" s="13"/>
      <c r="J91" s="14">
        <f>+'KY_Res by Plant Acct P16(REG)'!J89</f>
        <v>0</v>
      </c>
      <c r="K91" s="13"/>
      <c r="L91" s="14">
        <f>+'KY_Res by Plant Acct P16(REG)'!L89</f>
        <v>0</v>
      </c>
      <c r="M91" s="13"/>
      <c r="N91" s="14">
        <f>+'KY_Res by Plant Acct P16(REG)'!N89</f>
        <v>0</v>
      </c>
      <c r="O91" s="13"/>
      <c r="P91" s="14">
        <f>+'KY_Res by Plant Acct P16(REG)'!P89</f>
        <v>0</v>
      </c>
      <c r="Q91" s="13"/>
      <c r="R91" s="14">
        <f t="shared" si="3"/>
        <v>-79595.899999999994</v>
      </c>
    </row>
    <row r="92" spans="1:18" x14ac:dyDescent="0.2">
      <c r="A92" s="3" t="s">
        <v>3503</v>
      </c>
      <c r="B92" s="16">
        <f>+'KY_Res by Plant Acct P16(REG)'!B90</f>
        <v>-27454.46</v>
      </c>
      <c r="C92" s="13"/>
      <c r="D92" s="16">
        <f>+'KY_Res by Plant Acct P16(REG)'!D90</f>
        <v>-78729.67</v>
      </c>
      <c r="E92" s="13"/>
      <c r="F92" s="16">
        <f>+'KY_Res by Plant Acct P16(REG)'!F90</f>
        <v>86482.34</v>
      </c>
      <c r="G92" s="13"/>
      <c r="H92" s="16">
        <f>+'KY_Res by Plant Acct P16(REG)'!H90</f>
        <v>0</v>
      </c>
      <c r="I92" s="13"/>
      <c r="J92" s="16">
        <f>+'KY_Res by Plant Acct P16(REG)'!J90</f>
        <v>0</v>
      </c>
      <c r="K92" s="13"/>
      <c r="L92" s="16">
        <f>+'KY_Res by Plant Acct P16(REG)'!L90</f>
        <v>0</v>
      </c>
      <c r="M92" s="13"/>
      <c r="N92" s="16">
        <f>+'KY_Res by Plant Acct P16(REG)'!N90</f>
        <v>0</v>
      </c>
      <c r="O92" s="13"/>
      <c r="P92" s="16">
        <f>+'KY_Res by Plant Acct P16(REG)'!P90</f>
        <v>0</v>
      </c>
      <c r="Q92" s="13"/>
      <c r="R92" s="16">
        <f t="shared" si="3"/>
        <v>-19701.790000000008</v>
      </c>
    </row>
    <row r="93" spans="1:18" x14ac:dyDescent="0.2">
      <c r="A93" s="3" t="s">
        <v>3504</v>
      </c>
      <c r="B93" s="17">
        <f>SUM(B85:B92)</f>
        <v>-10727334.140000001</v>
      </c>
      <c r="C93" s="13"/>
      <c r="D93" s="17">
        <f>SUM(D85:D92)</f>
        <v>-1249772.77</v>
      </c>
      <c r="E93" s="13"/>
      <c r="F93" s="17">
        <f>SUM(F85:F92)</f>
        <v>101678.14</v>
      </c>
      <c r="G93" s="13"/>
      <c r="H93" s="17">
        <f>SUM(H85:H92)</f>
        <v>0</v>
      </c>
      <c r="I93" s="13"/>
      <c r="J93" s="17">
        <f>SUM(J85:J92)</f>
        <v>0</v>
      </c>
      <c r="K93" s="13"/>
      <c r="L93" s="17">
        <f>SUM(L85:L92)</f>
        <v>25862.74</v>
      </c>
      <c r="M93" s="13"/>
      <c r="N93" s="17">
        <f>SUM(N85:N92)</f>
        <v>0</v>
      </c>
      <c r="O93" s="13"/>
      <c r="P93" s="17">
        <f>SUM(P85:P92)</f>
        <v>0</v>
      </c>
      <c r="Q93" s="13"/>
      <c r="R93" s="17">
        <f>SUM(R85:R92)</f>
        <v>-11849566.029999999</v>
      </c>
    </row>
    <row r="94" spans="1:18" x14ac:dyDescent="0.2">
      <c r="C94" s="13"/>
      <c r="E94" s="13"/>
      <c r="G94" s="13"/>
      <c r="I94" s="13"/>
      <c r="K94" s="13"/>
      <c r="M94" s="13"/>
      <c r="O94" s="13"/>
      <c r="Q94" s="13"/>
    </row>
    <row r="95" spans="1:18" x14ac:dyDescent="0.2">
      <c r="A95" s="12" t="s">
        <v>16</v>
      </c>
      <c r="C95" s="13"/>
      <c r="E95" s="13"/>
      <c r="G95" s="13"/>
      <c r="I95" s="13"/>
      <c r="K95" s="13"/>
      <c r="M95" s="13"/>
      <c r="O95" s="13"/>
      <c r="Q95" s="13"/>
    </row>
    <row r="96" spans="1:18" x14ac:dyDescent="0.2">
      <c r="A96" s="3" t="s">
        <v>3505</v>
      </c>
      <c r="B96" s="14">
        <f>+'KY_Res by Plant Acct P16(REG)'!B94</f>
        <v>-116532.40000000002</v>
      </c>
      <c r="C96" s="13"/>
      <c r="D96" s="14">
        <f>+'KY_Res by Plant Acct P16(REG)'!D94</f>
        <v>-3951.6</v>
      </c>
      <c r="E96" s="13"/>
      <c r="F96" s="14">
        <f>+'KY_Res by Plant Acct P16(REG)'!F94</f>
        <v>0</v>
      </c>
      <c r="G96" s="13"/>
      <c r="H96" s="14">
        <f>+'KY_Res by Plant Acct P16(REG)'!H94</f>
        <v>0</v>
      </c>
      <c r="I96" s="13"/>
      <c r="J96" s="14">
        <f>+'KY_Res by Plant Acct P16(REG)'!J94</f>
        <v>0</v>
      </c>
      <c r="K96" s="13"/>
      <c r="L96" s="14">
        <f>+'KY_Res by Plant Acct P16(REG)'!L94</f>
        <v>0</v>
      </c>
      <c r="M96" s="13"/>
      <c r="N96" s="14">
        <f>+'KY_Res by Plant Acct P16(REG)'!N94</f>
        <v>0</v>
      </c>
      <c r="O96" s="13"/>
      <c r="P96" s="14">
        <f>+'KY_Res by Plant Acct P16(REG)'!P94</f>
        <v>0</v>
      </c>
      <c r="Q96" s="13"/>
      <c r="R96" s="14">
        <f t="shared" ref="R96:R116" si="4">SUM(B96:P96)</f>
        <v>-120484.00000000003</v>
      </c>
    </row>
    <row r="97" spans="1:18" x14ac:dyDescent="0.2">
      <c r="A97" s="3" t="s">
        <v>3506</v>
      </c>
      <c r="B97" s="14">
        <f>+'KY_Res by Plant Acct P16(REG)'!B95</f>
        <v>0</v>
      </c>
      <c r="C97" s="13"/>
      <c r="D97" s="14">
        <f>+'KY_Res by Plant Acct P16(REG)'!D95</f>
        <v>0</v>
      </c>
      <c r="E97" s="13"/>
      <c r="F97" s="14">
        <f>+'KY_Res by Plant Acct P16(REG)'!F95</f>
        <v>0</v>
      </c>
      <c r="G97" s="13"/>
      <c r="H97" s="14">
        <f>+'KY_Res by Plant Acct P16(REG)'!H95</f>
        <v>0</v>
      </c>
      <c r="I97" s="13"/>
      <c r="J97" s="14">
        <f>+'KY_Res by Plant Acct P16(REG)'!J95</f>
        <v>0</v>
      </c>
      <c r="K97" s="13"/>
      <c r="L97" s="14">
        <f>+'KY_Res by Plant Acct P16(REG)'!L95</f>
        <v>0</v>
      </c>
      <c r="M97" s="13"/>
      <c r="N97" s="14">
        <f>+'KY_Res by Plant Acct P16(REG)'!N95</f>
        <v>0</v>
      </c>
      <c r="O97" s="13"/>
      <c r="P97" s="14">
        <f>+'KY_Res by Plant Acct P16(REG)'!P95</f>
        <v>0</v>
      </c>
      <c r="Q97" s="13"/>
      <c r="R97" s="14">
        <f t="shared" si="4"/>
        <v>0</v>
      </c>
    </row>
    <row r="98" spans="1:18" x14ac:dyDescent="0.2">
      <c r="A98" s="3" t="s">
        <v>3507</v>
      </c>
      <c r="B98" s="14">
        <f>+'KY_Res by Plant Acct P16(REG)'!B96</f>
        <v>0</v>
      </c>
      <c r="C98" s="13"/>
      <c r="D98" s="14">
        <f>+'KY_Res by Plant Acct P16(REG)'!D96</f>
        <v>0</v>
      </c>
      <c r="E98" s="13"/>
      <c r="F98" s="14">
        <f>+'KY_Res by Plant Acct P16(REG)'!F96</f>
        <v>0</v>
      </c>
      <c r="G98" s="13"/>
      <c r="H98" s="14">
        <f>+'KY_Res by Plant Acct P16(REG)'!H96</f>
        <v>0</v>
      </c>
      <c r="I98" s="13"/>
      <c r="J98" s="14">
        <f>+'KY_Res by Plant Acct P16(REG)'!J96</f>
        <v>0</v>
      </c>
      <c r="K98" s="13"/>
      <c r="L98" s="14">
        <f>+'KY_Res by Plant Acct P16(REG)'!L96</f>
        <v>0</v>
      </c>
      <c r="M98" s="13"/>
      <c r="N98" s="14">
        <f>+'KY_Res by Plant Acct P16(REG)'!N96</f>
        <v>0</v>
      </c>
      <c r="O98" s="13"/>
      <c r="P98" s="14">
        <f>+'KY_Res by Plant Acct P16(REG)'!P96</f>
        <v>0</v>
      </c>
      <c r="Q98" s="13"/>
      <c r="R98" s="14">
        <f t="shared" si="4"/>
        <v>0</v>
      </c>
    </row>
    <row r="99" spans="1:18" x14ac:dyDescent="0.2">
      <c r="A99" s="3" t="s">
        <v>3508</v>
      </c>
      <c r="B99" s="14">
        <f>+'KY_Res by Plant Acct P16(REG)'!B97</f>
        <v>0</v>
      </c>
      <c r="C99" s="13"/>
      <c r="D99" s="14">
        <f>+'KY_Res by Plant Acct P16(REG)'!D97</f>
        <v>0</v>
      </c>
      <c r="E99" s="13"/>
      <c r="F99" s="14">
        <f>+'KY_Res by Plant Acct P16(REG)'!F97</f>
        <v>0</v>
      </c>
      <c r="G99" s="13"/>
      <c r="H99" s="14">
        <f>+'KY_Res by Plant Acct P16(REG)'!H97</f>
        <v>0</v>
      </c>
      <c r="I99" s="13"/>
      <c r="J99" s="14">
        <f>+'KY_Res by Plant Acct P16(REG)'!J97</f>
        <v>0</v>
      </c>
      <c r="K99" s="13"/>
      <c r="L99" s="14">
        <f>+'KY_Res by Plant Acct P16(REG)'!L97</f>
        <v>0</v>
      </c>
      <c r="M99" s="13"/>
      <c r="N99" s="14">
        <f>+'KY_Res by Plant Acct P16(REG)'!N97</f>
        <v>0</v>
      </c>
      <c r="O99" s="13"/>
      <c r="P99" s="14">
        <f>+'KY_Res by Plant Acct P16(REG)'!P97</f>
        <v>0</v>
      </c>
      <c r="Q99" s="13"/>
      <c r="R99" s="14">
        <f t="shared" si="4"/>
        <v>0</v>
      </c>
    </row>
    <row r="100" spans="1:18" outlineLevel="1" x14ac:dyDescent="0.2">
      <c r="A100" s="3" t="s">
        <v>3509</v>
      </c>
      <c r="B100" s="14">
        <f>+'KY_Res by Plant Acct P16(REG)'!B98</f>
        <v>-663228.18000000005</v>
      </c>
      <c r="C100" s="13"/>
      <c r="D100" s="14">
        <f>+'KY_Res by Plant Acct P16(REG)'!D98</f>
        <v>-1238490.72</v>
      </c>
      <c r="E100" s="13"/>
      <c r="F100" s="14">
        <f>+'KY_Res by Plant Acct P16(REG)'!F98</f>
        <v>0</v>
      </c>
      <c r="G100" s="13"/>
      <c r="H100" s="14">
        <f>+'KY_Res by Plant Acct P16(REG)'!H98</f>
        <v>0</v>
      </c>
      <c r="I100" s="13"/>
      <c r="J100" s="14">
        <f>+'KY_Res by Plant Acct P16(REG)'!J98</f>
        <v>0</v>
      </c>
      <c r="K100" s="13"/>
      <c r="L100" s="14">
        <f>+'KY_Res by Plant Acct P16(REG)'!L98</f>
        <v>0</v>
      </c>
      <c r="M100" s="13"/>
      <c r="N100" s="14">
        <f>+'KY_Res by Plant Acct P16(REG)'!N98</f>
        <v>0</v>
      </c>
      <c r="O100" s="13"/>
      <c r="P100" s="14">
        <f>+'KY_Res by Plant Acct P16(REG)'!P98</f>
        <v>0</v>
      </c>
      <c r="Q100" s="13"/>
      <c r="R100" s="14">
        <f>SUM(B100:P100)</f>
        <v>-1901718.9</v>
      </c>
    </row>
    <row r="101" spans="1:18" outlineLevel="1" x14ac:dyDescent="0.2">
      <c r="A101" s="3" t="s">
        <v>3510</v>
      </c>
      <c r="B101" s="14">
        <f>+'KY_Res by Plant Acct P16(REG)'!B99</f>
        <v>-1202272.4099999999</v>
      </c>
      <c r="C101" s="13"/>
      <c r="D101" s="14">
        <f>+'KY_Res by Plant Acct P16(REG)'!D99</f>
        <v>-52799.88</v>
      </c>
      <c r="E101" s="13"/>
      <c r="F101" s="14">
        <f>+'KY_Res by Plant Acct P16(REG)'!F99</f>
        <v>0</v>
      </c>
      <c r="G101" s="13"/>
      <c r="H101" s="14">
        <f>+'KY_Res by Plant Acct P16(REG)'!H99</f>
        <v>0</v>
      </c>
      <c r="I101" s="13"/>
      <c r="J101" s="14">
        <f>+'KY_Res by Plant Acct P16(REG)'!J99</f>
        <v>0</v>
      </c>
      <c r="K101" s="13"/>
      <c r="L101" s="14">
        <f>+'KY_Res by Plant Acct P16(REG)'!L99</f>
        <v>0</v>
      </c>
      <c r="M101" s="13"/>
      <c r="N101" s="14">
        <f>+'KY_Res by Plant Acct P16(REG)'!N99</f>
        <v>0</v>
      </c>
      <c r="O101" s="13"/>
      <c r="P101" s="14">
        <f>+'KY_Res by Plant Acct P16(REG)'!P99</f>
        <v>0</v>
      </c>
      <c r="Q101" s="13"/>
      <c r="R101" s="14">
        <f t="shared" si="4"/>
        <v>-1255072.2899999998</v>
      </c>
    </row>
    <row r="102" spans="1:18" outlineLevel="1" x14ac:dyDescent="0.2">
      <c r="A102" s="3" t="s">
        <v>3511</v>
      </c>
      <c r="B102" s="14">
        <f>+'KY_Res by Plant Acct P16(REG)'!B100</f>
        <v>-1208894.17</v>
      </c>
      <c r="C102" s="13"/>
      <c r="D102" s="14">
        <f>+'KY_Res by Plant Acct P16(REG)'!D100</f>
        <v>-72538.8</v>
      </c>
      <c r="E102" s="13"/>
      <c r="F102" s="14">
        <f>+'KY_Res by Plant Acct P16(REG)'!F100</f>
        <v>0</v>
      </c>
      <c r="G102" s="13"/>
      <c r="H102" s="14">
        <f>+'KY_Res by Plant Acct P16(REG)'!H100</f>
        <v>0</v>
      </c>
      <c r="I102" s="13"/>
      <c r="J102" s="14">
        <f>+'KY_Res by Plant Acct P16(REG)'!J100</f>
        <v>0</v>
      </c>
      <c r="K102" s="13"/>
      <c r="L102" s="14">
        <f>+'KY_Res by Plant Acct P16(REG)'!L100</f>
        <v>0</v>
      </c>
      <c r="M102" s="13"/>
      <c r="N102" s="14">
        <f>+'KY_Res by Plant Acct P16(REG)'!N100</f>
        <v>0</v>
      </c>
      <c r="O102" s="13"/>
      <c r="P102" s="14">
        <f>+'KY_Res by Plant Acct P16(REG)'!P100</f>
        <v>0</v>
      </c>
      <c r="Q102" s="13"/>
      <c r="R102" s="14">
        <f t="shared" si="4"/>
        <v>-1281432.97</v>
      </c>
    </row>
    <row r="103" spans="1:18" outlineLevel="1" x14ac:dyDescent="0.2">
      <c r="A103" s="43" t="s">
        <v>3951</v>
      </c>
      <c r="B103" s="14">
        <f>+'KY_Res by Plant Acct P16(REG)'!B101</f>
        <v>-380011.14999999997</v>
      </c>
      <c r="C103" s="13"/>
      <c r="D103" s="14">
        <f>+'KY_Res by Plant Acct P16(REG)'!D101</f>
        <v>-37221.42</v>
      </c>
      <c r="E103" s="13"/>
      <c r="F103" s="14">
        <f>+'KY_Res by Plant Acct P16(REG)'!F101</f>
        <v>80210.06</v>
      </c>
      <c r="G103" s="13"/>
      <c r="H103" s="14">
        <f>+'KY_Res by Plant Acct P16(REG)'!H101</f>
        <v>0</v>
      </c>
      <c r="I103" s="13"/>
      <c r="J103" s="14">
        <f>+'KY_Res by Plant Acct P16(REG)'!J101</f>
        <v>0</v>
      </c>
      <c r="K103" s="13"/>
      <c r="L103" s="14">
        <f>+'KY_Res by Plant Acct P16(REG)'!L101</f>
        <v>7293.3</v>
      </c>
      <c r="M103" s="13"/>
      <c r="N103" s="14">
        <f>+'KY_Res by Plant Acct P16(REG)'!N101</f>
        <v>0</v>
      </c>
      <c r="O103" s="13"/>
      <c r="P103" s="14">
        <f>+'KY_Res by Plant Acct P16(REG)'!P101</f>
        <v>0</v>
      </c>
      <c r="Q103" s="13"/>
      <c r="R103" s="14">
        <f t="shared" si="4"/>
        <v>-329729.20999999996</v>
      </c>
    </row>
    <row r="104" spans="1:18" outlineLevel="1" x14ac:dyDescent="0.2">
      <c r="A104" s="3" t="s">
        <v>3513</v>
      </c>
      <c r="B104" s="14">
        <f>+'KY_Res by Plant Acct P16(REG)'!B102</f>
        <v>-97180.63</v>
      </c>
      <c r="C104" s="13"/>
      <c r="D104" s="14">
        <f>+'KY_Res by Plant Acct P16(REG)'!D102</f>
        <v>-7847.52</v>
      </c>
      <c r="E104" s="13"/>
      <c r="F104" s="14">
        <f>+'KY_Res by Plant Acct P16(REG)'!F102</f>
        <v>0</v>
      </c>
      <c r="G104" s="13"/>
      <c r="H104" s="14">
        <f>+'KY_Res by Plant Acct P16(REG)'!H102</f>
        <v>0</v>
      </c>
      <c r="I104" s="13"/>
      <c r="J104" s="14">
        <f>+'KY_Res by Plant Acct P16(REG)'!J102</f>
        <v>0</v>
      </c>
      <c r="K104" s="13"/>
      <c r="L104" s="14">
        <f>+'KY_Res by Plant Acct P16(REG)'!L102</f>
        <v>0</v>
      </c>
      <c r="M104" s="13"/>
      <c r="N104" s="14">
        <f>+'KY_Res by Plant Acct P16(REG)'!N102</f>
        <v>0</v>
      </c>
      <c r="O104" s="13"/>
      <c r="P104" s="14">
        <f>+'KY_Res by Plant Acct P16(REG)'!P102</f>
        <v>0</v>
      </c>
      <c r="Q104" s="13"/>
      <c r="R104" s="14">
        <f t="shared" si="4"/>
        <v>-105028.15000000001</v>
      </c>
    </row>
    <row r="105" spans="1:18" outlineLevel="1" x14ac:dyDescent="0.2">
      <c r="A105" s="3" t="s">
        <v>3514</v>
      </c>
      <c r="B105" s="14">
        <f>+'KY_Res by Plant Acct P16(REG)'!B103</f>
        <v>-287418.03999999998</v>
      </c>
      <c r="C105" s="13"/>
      <c r="D105" s="14">
        <f>+'KY_Res by Plant Acct P16(REG)'!D103</f>
        <v>-22001.91</v>
      </c>
      <c r="E105" s="13"/>
      <c r="F105" s="14">
        <f>+'KY_Res by Plant Acct P16(REG)'!F103</f>
        <v>11519.31</v>
      </c>
      <c r="G105" s="13"/>
      <c r="H105" s="14">
        <f>+'KY_Res by Plant Acct P16(REG)'!H103</f>
        <v>0</v>
      </c>
      <c r="I105" s="13"/>
      <c r="J105" s="14">
        <f>+'KY_Res by Plant Acct P16(REG)'!J103</f>
        <v>0</v>
      </c>
      <c r="K105" s="13"/>
      <c r="L105" s="14">
        <f>+'KY_Res by Plant Acct P16(REG)'!L103</f>
        <v>0</v>
      </c>
      <c r="M105" s="13"/>
      <c r="N105" s="14">
        <f>+'KY_Res by Plant Acct P16(REG)'!N103</f>
        <v>0</v>
      </c>
      <c r="O105" s="13"/>
      <c r="P105" s="14">
        <f>+'KY_Res by Plant Acct P16(REG)'!P103</f>
        <v>0</v>
      </c>
      <c r="Q105" s="13"/>
      <c r="R105" s="14">
        <f t="shared" si="4"/>
        <v>-297900.63999999996</v>
      </c>
    </row>
    <row r="106" spans="1:18" outlineLevel="1" x14ac:dyDescent="0.2">
      <c r="A106" s="3" t="s">
        <v>3515</v>
      </c>
      <c r="B106" s="14">
        <f>+'KY_Res by Plant Acct P16(REG)'!B104</f>
        <v>-1419091.4299999997</v>
      </c>
      <c r="C106" s="13"/>
      <c r="D106" s="14">
        <f>+'KY_Res by Plant Acct P16(REG)'!D104</f>
        <v>-71650.44</v>
      </c>
      <c r="E106" s="13"/>
      <c r="F106" s="14">
        <f>+'KY_Res by Plant Acct P16(REG)'!F104</f>
        <v>0</v>
      </c>
      <c r="G106" s="13"/>
      <c r="H106" s="14">
        <f>+'KY_Res by Plant Acct P16(REG)'!H104</f>
        <v>0</v>
      </c>
      <c r="I106" s="13"/>
      <c r="J106" s="14">
        <f>+'KY_Res by Plant Acct P16(REG)'!J104</f>
        <v>0</v>
      </c>
      <c r="K106" s="13"/>
      <c r="L106" s="14">
        <f>+'KY_Res by Plant Acct P16(REG)'!L104</f>
        <v>0</v>
      </c>
      <c r="M106" s="13"/>
      <c r="N106" s="14">
        <f>+'KY_Res by Plant Acct P16(REG)'!N104</f>
        <v>0</v>
      </c>
      <c r="O106" s="13"/>
      <c r="P106" s="14">
        <f>+'KY_Res by Plant Acct P16(REG)'!P104</f>
        <v>0</v>
      </c>
      <c r="Q106" s="13"/>
      <c r="R106" s="14">
        <f t="shared" si="4"/>
        <v>-1490741.8699999996</v>
      </c>
    </row>
    <row r="107" spans="1:18" outlineLevel="1" x14ac:dyDescent="0.2">
      <c r="A107" s="3" t="s">
        <v>3516</v>
      </c>
      <c r="B107" s="14">
        <f>+'KY_Res by Plant Acct P16(REG)'!B105</f>
        <v>-3115511.39</v>
      </c>
      <c r="C107" s="13"/>
      <c r="D107" s="14">
        <f>+'KY_Res by Plant Acct P16(REG)'!D105</f>
        <v>-123028.08</v>
      </c>
      <c r="E107" s="13"/>
      <c r="F107" s="14">
        <f>+'KY_Res by Plant Acct P16(REG)'!F105</f>
        <v>0</v>
      </c>
      <c r="G107" s="13"/>
      <c r="H107" s="14">
        <f>+'KY_Res by Plant Acct P16(REG)'!H105</f>
        <v>0</v>
      </c>
      <c r="I107" s="13"/>
      <c r="J107" s="14">
        <f>+'KY_Res by Plant Acct P16(REG)'!J105</f>
        <v>0</v>
      </c>
      <c r="K107" s="13"/>
      <c r="L107" s="14">
        <f>+'KY_Res by Plant Acct P16(REG)'!L105</f>
        <v>0</v>
      </c>
      <c r="M107" s="13"/>
      <c r="N107" s="14">
        <f>+'KY_Res by Plant Acct P16(REG)'!N105</f>
        <v>0</v>
      </c>
      <c r="O107" s="13"/>
      <c r="P107" s="14">
        <f>+'KY_Res by Plant Acct P16(REG)'!P105</f>
        <v>0</v>
      </c>
      <c r="Q107" s="13"/>
      <c r="R107" s="14">
        <f t="shared" si="4"/>
        <v>-3238539.47</v>
      </c>
    </row>
    <row r="108" spans="1:18" outlineLevel="1" x14ac:dyDescent="0.2">
      <c r="A108" s="3" t="s">
        <v>3517</v>
      </c>
      <c r="B108" s="14">
        <f>+'KY_Res by Plant Acct P16(REG)'!B106</f>
        <v>0</v>
      </c>
      <c r="C108" s="13"/>
      <c r="D108" s="14">
        <f>+'KY_Res by Plant Acct P16(REG)'!D106</f>
        <v>-20073.13</v>
      </c>
      <c r="E108" s="13"/>
      <c r="F108" s="14">
        <f>+'KY_Res by Plant Acct P16(REG)'!F106</f>
        <v>0</v>
      </c>
      <c r="G108" s="13"/>
      <c r="H108" s="14">
        <f>+'KY_Res by Plant Acct P16(REG)'!H106</f>
        <v>0</v>
      </c>
      <c r="I108" s="13"/>
      <c r="J108" s="14">
        <f>+'KY_Res by Plant Acct P16(REG)'!J106</f>
        <v>0</v>
      </c>
      <c r="K108" s="13"/>
      <c r="L108" s="14">
        <f>+'KY_Res by Plant Acct P16(REG)'!L106</f>
        <v>0</v>
      </c>
      <c r="M108" s="13"/>
      <c r="N108" s="14">
        <f>+'KY_Res by Plant Acct P16(REG)'!N106</f>
        <v>0</v>
      </c>
      <c r="O108" s="13"/>
      <c r="P108" s="14">
        <f>+'KY_Res by Plant Acct P16(REG)'!P106</f>
        <v>0</v>
      </c>
      <c r="Q108" s="13"/>
      <c r="R108" s="14">
        <f t="shared" si="4"/>
        <v>-20073.13</v>
      </c>
    </row>
    <row r="109" spans="1:18" outlineLevel="1" x14ac:dyDescent="0.2">
      <c r="A109" s="3" t="s">
        <v>3518</v>
      </c>
      <c r="B109" s="14">
        <f>+'KY_Res by Plant Acct P16(REG)'!B107</f>
        <v>-71389.700000000026</v>
      </c>
      <c r="C109" s="13"/>
      <c r="D109" s="14">
        <f>+'KY_Res by Plant Acct P16(REG)'!D107</f>
        <v>-28795.439999999999</v>
      </c>
      <c r="E109" s="13"/>
      <c r="F109" s="14">
        <f>+'KY_Res by Plant Acct P16(REG)'!F107</f>
        <v>0</v>
      </c>
      <c r="G109" s="13"/>
      <c r="H109" s="14">
        <f>+'KY_Res by Plant Acct P16(REG)'!H107</f>
        <v>0</v>
      </c>
      <c r="I109" s="13"/>
      <c r="J109" s="14">
        <f>+'KY_Res by Plant Acct P16(REG)'!J107</f>
        <v>0</v>
      </c>
      <c r="K109" s="13"/>
      <c r="L109" s="14">
        <f>+'KY_Res by Plant Acct P16(REG)'!L107</f>
        <v>0</v>
      </c>
      <c r="M109" s="13"/>
      <c r="N109" s="14">
        <f>+'KY_Res by Plant Acct P16(REG)'!N107</f>
        <v>0</v>
      </c>
      <c r="O109" s="13"/>
      <c r="P109" s="14">
        <f>+'KY_Res by Plant Acct P16(REG)'!P107</f>
        <v>0</v>
      </c>
      <c r="Q109" s="13"/>
      <c r="R109" s="14">
        <f t="shared" si="4"/>
        <v>-100185.14000000003</v>
      </c>
    </row>
    <row r="110" spans="1:18" outlineLevel="1" x14ac:dyDescent="0.2">
      <c r="A110" s="3" t="s">
        <v>3519</v>
      </c>
      <c r="B110" s="14">
        <f>+'KY_Res by Plant Acct P16(REG)'!B108</f>
        <v>-936648.12999999977</v>
      </c>
      <c r="C110" s="13"/>
      <c r="D110" s="14">
        <f>+'KY_Res by Plant Acct P16(REG)'!D108</f>
        <v>-79315.81</v>
      </c>
      <c r="E110" s="13"/>
      <c r="F110" s="14">
        <f>+'KY_Res by Plant Acct P16(REG)'!F108</f>
        <v>3913.49</v>
      </c>
      <c r="G110" s="13"/>
      <c r="H110" s="14">
        <f>+'KY_Res by Plant Acct P16(REG)'!H108</f>
        <v>0</v>
      </c>
      <c r="I110" s="13"/>
      <c r="J110" s="14">
        <f>+'KY_Res by Plant Acct P16(REG)'!J108</f>
        <v>0</v>
      </c>
      <c r="K110" s="13"/>
      <c r="L110" s="14">
        <f>+'KY_Res by Plant Acct P16(REG)'!L108</f>
        <v>480.94</v>
      </c>
      <c r="M110" s="13"/>
      <c r="N110" s="14">
        <f>+'KY_Res by Plant Acct P16(REG)'!N108</f>
        <v>0</v>
      </c>
      <c r="O110" s="13"/>
      <c r="P110" s="14">
        <f>+'KY_Res by Plant Acct P16(REG)'!P108</f>
        <v>0</v>
      </c>
      <c r="Q110" s="13"/>
      <c r="R110" s="14">
        <f t="shared" si="4"/>
        <v>-1011569.5099999998</v>
      </c>
    </row>
    <row r="111" spans="1:18" outlineLevel="1" x14ac:dyDescent="0.2">
      <c r="A111" s="3" t="s">
        <v>3520</v>
      </c>
      <c r="B111" s="14">
        <f>+'KY_Res by Plant Acct P16(REG)'!B109</f>
        <v>-1451759.99</v>
      </c>
      <c r="C111" s="13"/>
      <c r="D111" s="14">
        <f>+'KY_Res by Plant Acct P16(REG)'!D109</f>
        <v>-135892.68</v>
      </c>
      <c r="E111" s="13"/>
      <c r="F111" s="14">
        <f>+'KY_Res by Plant Acct P16(REG)'!F109</f>
        <v>0</v>
      </c>
      <c r="G111" s="13"/>
      <c r="H111" s="14">
        <f>+'KY_Res by Plant Acct P16(REG)'!H109</f>
        <v>0</v>
      </c>
      <c r="I111" s="13"/>
      <c r="J111" s="14">
        <f>+'KY_Res by Plant Acct P16(REG)'!J109</f>
        <v>0</v>
      </c>
      <c r="K111" s="13"/>
      <c r="L111" s="14">
        <f>+'KY_Res by Plant Acct P16(REG)'!L109</f>
        <v>0</v>
      </c>
      <c r="M111" s="13"/>
      <c r="N111" s="14">
        <f>+'KY_Res by Plant Acct P16(REG)'!N109</f>
        <v>0</v>
      </c>
      <c r="O111" s="13"/>
      <c r="P111" s="14">
        <f>+'KY_Res by Plant Acct P16(REG)'!P109</f>
        <v>0</v>
      </c>
      <c r="Q111" s="13"/>
      <c r="R111" s="14">
        <f t="shared" si="4"/>
        <v>-1587652.67</v>
      </c>
    </row>
    <row r="112" spans="1:18" outlineLevel="1" x14ac:dyDescent="0.2">
      <c r="A112" s="3" t="s">
        <v>3521</v>
      </c>
      <c r="B112" s="14">
        <f>+'KY_Res by Plant Acct P16(REG)'!B110</f>
        <v>-1711412.04</v>
      </c>
      <c r="C112" s="13"/>
      <c r="D112" s="14">
        <f>+'KY_Res by Plant Acct P16(REG)'!D110</f>
        <v>-141006.72</v>
      </c>
      <c r="E112" s="13"/>
      <c r="F112" s="14">
        <f>+'KY_Res by Plant Acct P16(REG)'!F110</f>
        <v>0</v>
      </c>
      <c r="G112" s="13"/>
      <c r="H112" s="14">
        <f>+'KY_Res by Plant Acct P16(REG)'!H110</f>
        <v>0</v>
      </c>
      <c r="I112" s="13"/>
      <c r="J112" s="14">
        <f>+'KY_Res by Plant Acct P16(REG)'!J110</f>
        <v>0</v>
      </c>
      <c r="K112" s="13"/>
      <c r="L112" s="14">
        <f>+'KY_Res by Plant Acct P16(REG)'!L110</f>
        <v>0</v>
      </c>
      <c r="M112" s="13"/>
      <c r="N112" s="14">
        <f>+'KY_Res by Plant Acct P16(REG)'!N110</f>
        <v>0</v>
      </c>
      <c r="O112" s="13"/>
      <c r="P112" s="14">
        <f>+'KY_Res by Plant Acct P16(REG)'!P110</f>
        <v>0</v>
      </c>
      <c r="Q112" s="13"/>
      <c r="R112" s="14">
        <f t="shared" si="4"/>
        <v>-1852418.76</v>
      </c>
    </row>
    <row r="113" spans="1:18" outlineLevel="1" x14ac:dyDescent="0.2">
      <c r="A113" s="3" t="s">
        <v>3522</v>
      </c>
      <c r="B113" s="14">
        <f>+'KY_Res by Plant Acct P16(REG)'!B111</f>
        <v>-1647141.24</v>
      </c>
      <c r="C113" s="13"/>
      <c r="D113" s="14">
        <f>+'KY_Res by Plant Acct P16(REG)'!D111</f>
        <v>-134934.48000000001</v>
      </c>
      <c r="E113" s="13"/>
      <c r="F113" s="14">
        <f>+'KY_Res by Plant Acct P16(REG)'!F111</f>
        <v>0</v>
      </c>
      <c r="G113" s="13"/>
      <c r="H113" s="14">
        <f>+'KY_Res by Plant Acct P16(REG)'!H111</f>
        <v>0</v>
      </c>
      <c r="I113" s="13"/>
      <c r="J113" s="14">
        <f>+'KY_Res by Plant Acct P16(REG)'!J111</f>
        <v>0</v>
      </c>
      <c r="K113" s="13"/>
      <c r="L113" s="14">
        <f>+'KY_Res by Plant Acct P16(REG)'!L111</f>
        <v>0</v>
      </c>
      <c r="M113" s="13"/>
      <c r="N113" s="14">
        <f>+'KY_Res by Plant Acct P16(REG)'!N111</f>
        <v>0</v>
      </c>
      <c r="O113" s="13"/>
      <c r="P113" s="14">
        <f>+'KY_Res by Plant Acct P16(REG)'!P111</f>
        <v>0</v>
      </c>
      <c r="Q113" s="13"/>
      <c r="R113" s="14">
        <f t="shared" si="4"/>
        <v>-1782075.72</v>
      </c>
    </row>
    <row r="114" spans="1:18" outlineLevel="1" x14ac:dyDescent="0.2">
      <c r="A114" s="3" t="s">
        <v>3523</v>
      </c>
      <c r="B114" s="14">
        <f>+'KY_Res by Plant Acct P16(REG)'!B112</f>
        <v>-1423558.29</v>
      </c>
      <c r="C114" s="13"/>
      <c r="D114" s="14">
        <f>+'KY_Res by Plant Acct P16(REG)'!D112</f>
        <v>-132044.64000000001</v>
      </c>
      <c r="E114" s="13"/>
      <c r="F114" s="14">
        <f>+'KY_Res by Plant Acct P16(REG)'!F112</f>
        <v>0</v>
      </c>
      <c r="G114" s="13"/>
      <c r="H114" s="14">
        <f>+'KY_Res by Plant Acct P16(REG)'!H112</f>
        <v>0</v>
      </c>
      <c r="I114" s="13"/>
      <c r="J114" s="14">
        <f>+'KY_Res by Plant Acct P16(REG)'!J112</f>
        <v>0</v>
      </c>
      <c r="K114" s="13"/>
      <c r="L114" s="14">
        <f>+'KY_Res by Plant Acct P16(REG)'!L112</f>
        <v>0</v>
      </c>
      <c r="M114" s="13"/>
      <c r="N114" s="14">
        <f>+'KY_Res by Plant Acct P16(REG)'!N112</f>
        <v>0</v>
      </c>
      <c r="O114" s="13"/>
      <c r="P114" s="14">
        <f>+'KY_Res by Plant Acct P16(REG)'!P112</f>
        <v>0</v>
      </c>
      <c r="Q114" s="13"/>
      <c r="R114" s="14">
        <f t="shared" si="4"/>
        <v>-1555602.9300000002</v>
      </c>
    </row>
    <row r="115" spans="1:18" outlineLevel="1" x14ac:dyDescent="0.2">
      <c r="A115" s="3" t="s">
        <v>3524</v>
      </c>
      <c r="B115" s="14">
        <f>+'KY_Res by Plant Acct P16(REG)'!B113</f>
        <v>-1419437.25</v>
      </c>
      <c r="C115" s="13"/>
      <c r="D115" s="14">
        <f>+'KY_Res by Plant Acct P16(REG)'!D113</f>
        <v>-131662.44</v>
      </c>
      <c r="E115" s="13"/>
      <c r="F115" s="14">
        <f>+'KY_Res by Plant Acct P16(REG)'!F113</f>
        <v>0</v>
      </c>
      <c r="G115" s="13"/>
      <c r="H115" s="14">
        <f>+'KY_Res by Plant Acct P16(REG)'!H113</f>
        <v>0</v>
      </c>
      <c r="I115" s="13"/>
      <c r="J115" s="14">
        <f>+'KY_Res by Plant Acct P16(REG)'!J113</f>
        <v>0</v>
      </c>
      <c r="K115" s="13"/>
      <c r="L115" s="14">
        <f>+'KY_Res by Plant Acct P16(REG)'!L113</f>
        <v>0</v>
      </c>
      <c r="M115" s="13"/>
      <c r="N115" s="14">
        <f>+'KY_Res by Plant Acct P16(REG)'!N113</f>
        <v>0</v>
      </c>
      <c r="O115" s="13"/>
      <c r="P115" s="14">
        <f>+'KY_Res by Plant Acct P16(REG)'!P113</f>
        <v>0</v>
      </c>
      <c r="Q115" s="13"/>
      <c r="R115" s="14">
        <f t="shared" si="4"/>
        <v>-1551099.69</v>
      </c>
    </row>
    <row r="116" spans="1:18" outlineLevel="1" x14ac:dyDescent="0.2">
      <c r="A116" s="3" t="s">
        <v>3525</v>
      </c>
      <c r="B116" s="14">
        <f>+'KY_Res by Plant Acct P16(REG)'!B114</f>
        <v>-1452930.9699999997</v>
      </c>
      <c r="C116" s="13"/>
      <c r="D116" s="14">
        <f>+'KY_Res by Plant Acct P16(REG)'!D114</f>
        <v>-136002.35999999999</v>
      </c>
      <c r="E116" s="13"/>
      <c r="F116" s="14">
        <f>+'KY_Res by Plant Acct P16(REG)'!F114</f>
        <v>0</v>
      </c>
      <c r="G116" s="13"/>
      <c r="H116" s="14">
        <f>+'KY_Res by Plant Acct P16(REG)'!H114</f>
        <v>0</v>
      </c>
      <c r="I116" s="13"/>
      <c r="J116" s="14">
        <f>+'KY_Res by Plant Acct P16(REG)'!J114</f>
        <v>0</v>
      </c>
      <c r="K116" s="13"/>
      <c r="L116" s="14">
        <f>+'KY_Res by Plant Acct P16(REG)'!L114</f>
        <v>0</v>
      </c>
      <c r="M116" s="13"/>
      <c r="N116" s="14">
        <f>+'KY_Res by Plant Acct P16(REG)'!N114</f>
        <v>0</v>
      </c>
      <c r="O116" s="13"/>
      <c r="P116" s="14">
        <f>+'KY_Res by Plant Acct P16(REG)'!P114</f>
        <v>0</v>
      </c>
      <c r="Q116" s="13"/>
      <c r="R116" s="14">
        <f t="shared" si="4"/>
        <v>-1588933.3299999996</v>
      </c>
    </row>
    <row r="117" spans="1:18" x14ac:dyDescent="0.2">
      <c r="A117" s="3" t="s">
        <v>3526</v>
      </c>
      <c r="B117" s="14">
        <f>SUM(B100:B116)</f>
        <v>-18487885.009999998</v>
      </c>
      <c r="C117" s="13"/>
      <c r="D117" s="14">
        <f>SUM(D100:D116)</f>
        <v>-2565306.4699999997</v>
      </c>
      <c r="E117" s="13"/>
      <c r="F117" s="14">
        <f>SUM(F100:F116)</f>
        <v>95642.86</v>
      </c>
      <c r="G117" s="13"/>
      <c r="H117" s="14">
        <f>SUM(H100:H116)</f>
        <v>0</v>
      </c>
      <c r="I117" s="13"/>
      <c r="J117" s="14">
        <f>SUM(J100:J116)</f>
        <v>0</v>
      </c>
      <c r="K117" s="13"/>
      <c r="L117" s="14">
        <f>SUM(L100:L116)</f>
        <v>7774.24</v>
      </c>
      <c r="M117" s="13"/>
      <c r="N117" s="14">
        <f>SUM(N100:N116)</f>
        <v>0</v>
      </c>
      <c r="O117" s="13"/>
      <c r="P117" s="14">
        <f>SUM(P100:P116)</f>
        <v>0</v>
      </c>
      <c r="Q117" s="13"/>
      <c r="R117" s="14">
        <f>SUM(R100:R116)</f>
        <v>-20949774.380000003</v>
      </c>
    </row>
    <row r="118" spans="1:18" outlineLevel="1" x14ac:dyDescent="0.2">
      <c r="A118" s="3" t="s">
        <v>3527</v>
      </c>
      <c r="B118" s="14">
        <f>+'KY_Res by Plant Acct P16(REG)'!B116</f>
        <v>-345052.06</v>
      </c>
      <c r="C118" s="13"/>
      <c r="D118" s="14">
        <f>+'KY_Res by Plant Acct P16(REG)'!D116</f>
        <v>-638935.03</v>
      </c>
      <c r="E118" s="13"/>
      <c r="F118" s="14">
        <f>+'KY_Res by Plant Acct P16(REG)'!F116</f>
        <v>0</v>
      </c>
      <c r="G118" s="13"/>
      <c r="H118" s="14">
        <f>+'KY_Res by Plant Acct P16(REG)'!H116</f>
        <v>0</v>
      </c>
      <c r="I118" s="13"/>
      <c r="J118" s="14">
        <f>+'KY_Res by Plant Acct P16(REG)'!J116</f>
        <v>0</v>
      </c>
      <c r="K118" s="13"/>
      <c r="L118" s="14">
        <f>+'KY_Res by Plant Acct P16(REG)'!L116</f>
        <v>0</v>
      </c>
      <c r="M118" s="13"/>
      <c r="N118" s="14">
        <f>+'KY_Res by Plant Acct P16(REG)'!N116</f>
        <v>0</v>
      </c>
      <c r="O118" s="13"/>
      <c r="P118" s="14">
        <f>+'KY_Res by Plant Acct P16(REG)'!P116</f>
        <v>0</v>
      </c>
      <c r="Q118" s="13"/>
      <c r="R118" s="14">
        <f>SUM(B118:P118)</f>
        <v>-983987.09000000008</v>
      </c>
    </row>
    <row r="119" spans="1:18" outlineLevel="1" x14ac:dyDescent="0.2">
      <c r="A119" s="3" t="s">
        <v>3528</v>
      </c>
      <c r="B119" s="14">
        <f>+'KY_Res by Plant Acct P16(REG)'!B117</f>
        <v>-1643640.07</v>
      </c>
      <c r="C119" s="13"/>
      <c r="D119" s="14">
        <f>+'KY_Res by Plant Acct P16(REG)'!D117</f>
        <v>-1728733.19</v>
      </c>
      <c r="E119" s="13"/>
      <c r="F119" s="14">
        <f>+'KY_Res by Plant Acct P16(REG)'!F117</f>
        <v>0</v>
      </c>
      <c r="G119" s="13"/>
      <c r="H119" s="14">
        <f>+'KY_Res by Plant Acct P16(REG)'!H117</f>
        <v>0</v>
      </c>
      <c r="I119" s="13"/>
      <c r="J119" s="14">
        <f>+'KY_Res by Plant Acct P16(REG)'!J117</f>
        <v>0</v>
      </c>
      <c r="K119" s="13"/>
      <c r="L119" s="14">
        <f>+'KY_Res by Plant Acct P16(REG)'!L117</f>
        <v>0</v>
      </c>
      <c r="M119" s="13"/>
      <c r="N119" s="14">
        <f>+'KY_Res by Plant Acct P16(REG)'!N117</f>
        <v>0</v>
      </c>
      <c r="O119" s="13"/>
      <c r="P119" s="14">
        <f>+'KY_Res by Plant Acct P16(REG)'!P117</f>
        <v>0</v>
      </c>
      <c r="Q119" s="13"/>
      <c r="R119" s="14">
        <f>SUM(B119:P119)</f>
        <v>-3372373.26</v>
      </c>
    </row>
    <row r="120" spans="1:18" outlineLevel="1" x14ac:dyDescent="0.2">
      <c r="A120" s="3" t="s">
        <v>3529</v>
      </c>
      <c r="B120" s="14">
        <f>+'KY_Res by Plant Acct P16(REG)'!B118</f>
        <v>-71115.070000000007</v>
      </c>
      <c r="C120" s="13"/>
      <c r="D120" s="14">
        <f>+'KY_Res by Plant Acct P16(REG)'!D118</f>
        <v>-13557.36</v>
      </c>
      <c r="E120" s="13"/>
      <c r="F120" s="14">
        <f>+'KY_Res by Plant Acct P16(REG)'!F118</f>
        <v>0</v>
      </c>
      <c r="G120" s="13"/>
      <c r="H120" s="14">
        <f>+'KY_Res by Plant Acct P16(REG)'!H118</f>
        <v>0</v>
      </c>
      <c r="I120" s="13"/>
      <c r="J120" s="14">
        <f>+'KY_Res by Plant Acct P16(REG)'!J118</f>
        <v>0</v>
      </c>
      <c r="K120" s="13"/>
      <c r="L120" s="14">
        <f>+'KY_Res by Plant Acct P16(REG)'!L118</f>
        <v>0</v>
      </c>
      <c r="M120" s="13"/>
      <c r="N120" s="14">
        <f>+'KY_Res by Plant Acct P16(REG)'!N118</f>
        <v>0</v>
      </c>
      <c r="O120" s="13"/>
      <c r="P120" s="14">
        <f>+'KY_Res by Plant Acct P16(REG)'!P118</f>
        <v>0</v>
      </c>
      <c r="Q120" s="13"/>
      <c r="R120" s="14">
        <f t="shared" ref="R120:R136" si="5">SUM(B120:P120)</f>
        <v>-84672.430000000008</v>
      </c>
    </row>
    <row r="121" spans="1:18" outlineLevel="1" x14ac:dyDescent="0.2">
      <c r="A121" s="3" t="s">
        <v>3530</v>
      </c>
      <c r="B121" s="14">
        <f>+'KY_Res by Plant Acct P16(REG)'!B119</f>
        <v>-92783.400000000009</v>
      </c>
      <c r="C121" s="13"/>
      <c r="D121" s="14">
        <f>+'KY_Res by Plant Acct P16(REG)'!D119</f>
        <v>-18757.080000000002</v>
      </c>
      <c r="E121" s="13"/>
      <c r="F121" s="14">
        <f>+'KY_Res by Plant Acct P16(REG)'!F119</f>
        <v>0</v>
      </c>
      <c r="G121" s="13"/>
      <c r="H121" s="14">
        <f>+'KY_Res by Plant Acct P16(REG)'!H119</f>
        <v>0</v>
      </c>
      <c r="I121" s="13"/>
      <c r="J121" s="14">
        <f>+'KY_Res by Plant Acct P16(REG)'!J119</f>
        <v>0</v>
      </c>
      <c r="K121" s="13"/>
      <c r="L121" s="14">
        <f>+'KY_Res by Plant Acct P16(REG)'!L119</f>
        <v>0</v>
      </c>
      <c r="M121" s="13"/>
      <c r="N121" s="14">
        <f>+'KY_Res by Plant Acct P16(REG)'!N119</f>
        <v>0</v>
      </c>
      <c r="O121" s="13"/>
      <c r="P121" s="14">
        <f>+'KY_Res by Plant Acct P16(REG)'!P119</f>
        <v>0</v>
      </c>
      <c r="Q121" s="13"/>
      <c r="R121" s="14">
        <f t="shared" si="5"/>
        <v>-111540.48000000001</v>
      </c>
    </row>
    <row r="122" spans="1:18" outlineLevel="1" x14ac:dyDescent="0.2">
      <c r="A122" s="3" t="s">
        <v>3531</v>
      </c>
      <c r="B122" s="14">
        <f>+'KY_Res by Plant Acct P16(REG)'!B120</f>
        <v>-261412.27999999997</v>
      </c>
      <c r="C122" s="13"/>
      <c r="D122" s="14">
        <f>+'KY_Res by Plant Acct P16(REG)'!D120</f>
        <v>-36765.360000000001</v>
      </c>
      <c r="E122" s="13"/>
      <c r="F122" s="14">
        <f>+'KY_Res by Plant Acct P16(REG)'!F120</f>
        <v>0</v>
      </c>
      <c r="G122" s="13"/>
      <c r="H122" s="14">
        <f>+'KY_Res by Plant Acct P16(REG)'!H120</f>
        <v>0</v>
      </c>
      <c r="I122" s="13"/>
      <c r="J122" s="14">
        <f>+'KY_Res by Plant Acct P16(REG)'!J120</f>
        <v>0</v>
      </c>
      <c r="K122" s="13"/>
      <c r="L122" s="14">
        <f>+'KY_Res by Plant Acct P16(REG)'!L120</f>
        <v>0</v>
      </c>
      <c r="M122" s="13"/>
      <c r="N122" s="14">
        <f>+'KY_Res by Plant Acct P16(REG)'!N120</f>
        <v>0</v>
      </c>
      <c r="O122" s="13"/>
      <c r="P122" s="14">
        <f>+'KY_Res by Plant Acct P16(REG)'!P120</f>
        <v>0</v>
      </c>
      <c r="Q122" s="13"/>
      <c r="R122" s="14">
        <f t="shared" si="5"/>
        <v>-298177.63999999996</v>
      </c>
    </row>
    <row r="123" spans="1:18" outlineLevel="1" x14ac:dyDescent="0.2">
      <c r="A123" s="3" t="s">
        <v>3532</v>
      </c>
      <c r="B123" s="14">
        <f>+'KY_Res by Plant Acct P16(REG)'!B121</f>
        <v>-141990.41999999998</v>
      </c>
      <c r="C123" s="13"/>
      <c r="D123" s="14">
        <f>+'KY_Res by Plant Acct P16(REG)'!D121</f>
        <v>-55081.919999999998</v>
      </c>
      <c r="E123" s="13"/>
      <c r="F123" s="14">
        <f>+'KY_Res by Plant Acct P16(REG)'!F121</f>
        <v>0</v>
      </c>
      <c r="G123" s="13"/>
      <c r="H123" s="14">
        <f>+'KY_Res by Plant Acct P16(REG)'!H121</f>
        <v>0</v>
      </c>
      <c r="I123" s="13"/>
      <c r="J123" s="14">
        <f>+'KY_Res by Plant Acct P16(REG)'!J121</f>
        <v>0</v>
      </c>
      <c r="K123" s="13"/>
      <c r="L123" s="14">
        <f>+'KY_Res by Plant Acct P16(REG)'!L121</f>
        <v>0</v>
      </c>
      <c r="M123" s="13"/>
      <c r="N123" s="14">
        <f>+'KY_Res by Plant Acct P16(REG)'!N121</f>
        <v>0</v>
      </c>
      <c r="O123" s="13"/>
      <c r="P123" s="14">
        <f>+'KY_Res by Plant Acct P16(REG)'!P121</f>
        <v>0</v>
      </c>
      <c r="Q123" s="13"/>
      <c r="R123" s="14">
        <f t="shared" si="5"/>
        <v>-197072.33999999997</v>
      </c>
    </row>
    <row r="124" spans="1:18" outlineLevel="1" x14ac:dyDescent="0.2">
      <c r="A124" s="3" t="s">
        <v>3533</v>
      </c>
      <c r="B124" s="14">
        <f>+'KY_Res by Plant Acct P16(REG)'!B122</f>
        <v>-138794.38</v>
      </c>
      <c r="C124" s="13"/>
      <c r="D124" s="14">
        <f>+'KY_Res by Plant Acct P16(REG)'!D122</f>
        <v>-55719.48</v>
      </c>
      <c r="E124" s="13"/>
      <c r="F124" s="14">
        <f>+'KY_Res by Plant Acct P16(REG)'!F122</f>
        <v>0</v>
      </c>
      <c r="G124" s="13"/>
      <c r="H124" s="14">
        <f>+'KY_Res by Plant Acct P16(REG)'!H122</f>
        <v>0</v>
      </c>
      <c r="I124" s="13"/>
      <c r="J124" s="14">
        <f>+'KY_Res by Plant Acct P16(REG)'!J122</f>
        <v>0</v>
      </c>
      <c r="K124" s="13"/>
      <c r="L124" s="14">
        <f>+'KY_Res by Plant Acct P16(REG)'!L122</f>
        <v>0</v>
      </c>
      <c r="M124" s="13"/>
      <c r="N124" s="14">
        <f>+'KY_Res by Plant Acct P16(REG)'!N122</f>
        <v>0</v>
      </c>
      <c r="O124" s="13"/>
      <c r="P124" s="14">
        <f>+'KY_Res by Plant Acct P16(REG)'!P122</f>
        <v>0</v>
      </c>
      <c r="Q124" s="13"/>
      <c r="R124" s="14">
        <f t="shared" si="5"/>
        <v>-194513.86000000002</v>
      </c>
    </row>
    <row r="125" spans="1:18" outlineLevel="1" x14ac:dyDescent="0.2">
      <c r="A125" s="3" t="s">
        <v>3534</v>
      </c>
      <c r="B125" s="14">
        <f>+'KY_Res by Plant Acct P16(REG)'!B123</f>
        <v>-120423.74999999999</v>
      </c>
      <c r="C125" s="13"/>
      <c r="D125" s="14">
        <f>+'KY_Res by Plant Acct P16(REG)'!D123</f>
        <v>-18465.84</v>
      </c>
      <c r="E125" s="13"/>
      <c r="F125" s="14">
        <f>+'KY_Res by Plant Acct P16(REG)'!F123</f>
        <v>0</v>
      </c>
      <c r="G125" s="13"/>
      <c r="H125" s="14">
        <f>+'KY_Res by Plant Acct P16(REG)'!H123</f>
        <v>0</v>
      </c>
      <c r="I125" s="13"/>
      <c r="J125" s="14">
        <f>+'KY_Res by Plant Acct P16(REG)'!J123</f>
        <v>0</v>
      </c>
      <c r="K125" s="13"/>
      <c r="L125" s="14">
        <f>+'KY_Res by Plant Acct P16(REG)'!L123</f>
        <v>0</v>
      </c>
      <c r="M125" s="13"/>
      <c r="N125" s="14">
        <f>+'KY_Res by Plant Acct P16(REG)'!N123</f>
        <v>0</v>
      </c>
      <c r="O125" s="13"/>
      <c r="P125" s="14">
        <f>+'KY_Res by Plant Acct P16(REG)'!P123</f>
        <v>0</v>
      </c>
      <c r="Q125" s="13"/>
      <c r="R125" s="14">
        <f t="shared" si="5"/>
        <v>-138889.59</v>
      </c>
    </row>
    <row r="126" spans="1:18" outlineLevel="1" x14ac:dyDescent="0.2">
      <c r="A126" s="3" t="s">
        <v>3535</v>
      </c>
      <c r="B126" s="14">
        <f>+'KY_Res by Plant Acct P16(REG)'!B124</f>
        <v>-1205200.7000000002</v>
      </c>
      <c r="C126" s="13"/>
      <c r="D126" s="14">
        <f>+'KY_Res by Plant Acct P16(REG)'!D124</f>
        <v>-100018.8</v>
      </c>
      <c r="E126" s="13"/>
      <c r="F126" s="14">
        <f>+'KY_Res by Plant Acct P16(REG)'!F124</f>
        <v>0</v>
      </c>
      <c r="G126" s="13"/>
      <c r="H126" s="14">
        <f>+'KY_Res by Plant Acct P16(REG)'!H124</f>
        <v>0</v>
      </c>
      <c r="I126" s="13"/>
      <c r="J126" s="14">
        <f>+'KY_Res by Plant Acct P16(REG)'!J124</f>
        <v>0</v>
      </c>
      <c r="K126" s="13"/>
      <c r="L126" s="14">
        <f>+'KY_Res by Plant Acct P16(REG)'!L124</f>
        <v>0</v>
      </c>
      <c r="M126" s="13"/>
      <c r="N126" s="14">
        <f>+'KY_Res by Plant Acct P16(REG)'!N124</f>
        <v>0</v>
      </c>
      <c r="O126" s="13"/>
      <c r="P126" s="14">
        <f>+'KY_Res by Plant Acct P16(REG)'!P124</f>
        <v>0</v>
      </c>
      <c r="Q126" s="13"/>
      <c r="R126" s="14">
        <f t="shared" si="5"/>
        <v>-1305219.5000000002</v>
      </c>
    </row>
    <row r="127" spans="1:18" outlineLevel="1" x14ac:dyDescent="0.2">
      <c r="A127" s="3" t="s">
        <v>3536</v>
      </c>
      <c r="B127" s="14">
        <f>+'KY_Res by Plant Acct P16(REG)'!B125</f>
        <v>-5255745.580000001</v>
      </c>
      <c r="C127" s="13"/>
      <c r="D127" s="14">
        <f>+'KY_Res by Plant Acct P16(REG)'!D125</f>
        <v>-221789.61</v>
      </c>
      <c r="E127" s="13"/>
      <c r="F127" s="14">
        <f>+'KY_Res by Plant Acct P16(REG)'!F125</f>
        <v>0</v>
      </c>
      <c r="G127" s="13"/>
      <c r="H127" s="14">
        <f>+'KY_Res by Plant Acct P16(REG)'!H125</f>
        <v>0</v>
      </c>
      <c r="I127" s="13"/>
      <c r="J127" s="14">
        <f>+'KY_Res by Plant Acct P16(REG)'!J125</f>
        <v>0</v>
      </c>
      <c r="K127" s="13"/>
      <c r="L127" s="14">
        <f>+'KY_Res by Plant Acct P16(REG)'!L125</f>
        <v>0</v>
      </c>
      <c r="M127" s="13"/>
      <c r="N127" s="14">
        <f>+'KY_Res by Plant Acct P16(REG)'!N125</f>
        <v>0</v>
      </c>
      <c r="O127" s="13"/>
      <c r="P127" s="14">
        <f>+'KY_Res by Plant Acct P16(REG)'!P125</f>
        <v>0</v>
      </c>
      <c r="Q127" s="13"/>
      <c r="R127" s="14">
        <f t="shared" si="5"/>
        <v>-5477535.1900000013</v>
      </c>
    </row>
    <row r="128" spans="1:18" outlineLevel="1" x14ac:dyDescent="0.2">
      <c r="A128" s="3" t="s">
        <v>3952</v>
      </c>
      <c r="B128" s="14">
        <f>+'KY_Res by Plant Acct P16(REG)'!B126</f>
        <v>-192270.80000000002</v>
      </c>
      <c r="C128" s="13"/>
      <c r="D128" s="14">
        <f>+'KY_Res by Plant Acct P16(REG)'!D126</f>
        <v>-48439.32</v>
      </c>
      <c r="E128" s="13"/>
      <c r="F128" s="14">
        <f>+'KY_Res by Plant Acct P16(REG)'!F126</f>
        <v>0</v>
      </c>
      <c r="G128" s="13"/>
      <c r="H128" s="14">
        <f>+'KY_Res by Plant Acct P16(REG)'!H126</f>
        <v>0</v>
      </c>
      <c r="I128" s="13"/>
      <c r="J128" s="14">
        <f>+'KY_Res by Plant Acct P16(REG)'!J126</f>
        <v>0</v>
      </c>
      <c r="K128" s="13"/>
      <c r="L128" s="14">
        <f>+'KY_Res by Plant Acct P16(REG)'!L126</f>
        <v>0</v>
      </c>
      <c r="M128" s="13"/>
      <c r="N128" s="14">
        <f>+'KY_Res by Plant Acct P16(REG)'!N126</f>
        <v>0</v>
      </c>
      <c r="O128" s="13"/>
      <c r="P128" s="14">
        <f>+'KY_Res by Plant Acct P16(REG)'!P126</f>
        <v>0</v>
      </c>
      <c r="Q128" s="13"/>
      <c r="R128" s="14">
        <f t="shared" si="5"/>
        <v>-240710.12000000002</v>
      </c>
    </row>
    <row r="129" spans="1:18" outlineLevel="1" x14ac:dyDescent="0.2">
      <c r="A129" s="3" t="s">
        <v>3538</v>
      </c>
      <c r="B129" s="14">
        <f>+'KY_Res by Plant Acct P16(REG)'!B127</f>
        <v>-975254.99000000011</v>
      </c>
      <c r="C129" s="13"/>
      <c r="D129" s="14">
        <f>+'KY_Res by Plant Acct P16(REG)'!D127</f>
        <v>-102969.7</v>
      </c>
      <c r="E129" s="13"/>
      <c r="F129" s="14">
        <f>+'KY_Res by Plant Acct P16(REG)'!F127</f>
        <v>0</v>
      </c>
      <c r="G129" s="13"/>
      <c r="H129" s="14">
        <f>+'KY_Res by Plant Acct P16(REG)'!H127</f>
        <v>0</v>
      </c>
      <c r="I129" s="13"/>
      <c r="J129" s="14">
        <f>+'KY_Res by Plant Acct P16(REG)'!J127</f>
        <v>0</v>
      </c>
      <c r="K129" s="13"/>
      <c r="L129" s="14">
        <f>+'KY_Res by Plant Acct P16(REG)'!L127</f>
        <v>0</v>
      </c>
      <c r="M129" s="13"/>
      <c r="N129" s="14">
        <f>+'KY_Res by Plant Acct P16(REG)'!N127</f>
        <v>0</v>
      </c>
      <c r="O129" s="13"/>
      <c r="P129" s="14">
        <f>+'KY_Res by Plant Acct P16(REG)'!P127</f>
        <v>0</v>
      </c>
      <c r="Q129" s="13"/>
      <c r="R129" s="14">
        <f t="shared" si="5"/>
        <v>-1078224.6900000002</v>
      </c>
    </row>
    <row r="130" spans="1:18" outlineLevel="1" x14ac:dyDescent="0.2">
      <c r="A130" s="3" t="s">
        <v>3539</v>
      </c>
      <c r="B130" s="14">
        <f>+'KY_Res by Plant Acct P16(REG)'!B128</f>
        <v>-246640.91999999998</v>
      </c>
      <c r="C130" s="13"/>
      <c r="D130" s="14">
        <f>+'KY_Res by Plant Acct P16(REG)'!D128</f>
        <v>-22734.84</v>
      </c>
      <c r="E130" s="13"/>
      <c r="F130" s="14">
        <f>+'KY_Res by Plant Acct P16(REG)'!F128</f>
        <v>0</v>
      </c>
      <c r="G130" s="13"/>
      <c r="H130" s="14">
        <f>+'KY_Res by Plant Acct P16(REG)'!H128</f>
        <v>0</v>
      </c>
      <c r="I130" s="13"/>
      <c r="J130" s="14">
        <f>+'KY_Res by Plant Acct P16(REG)'!J128</f>
        <v>0</v>
      </c>
      <c r="K130" s="13"/>
      <c r="L130" s="14">
        <f>+'KY_Res by Plant Acct P16(REG)'!L128</f>
        <v>0</v>
      </c>
      <c r="M130" s="13"/>
      <c r="N130" s="14">
        <f>+'KY_Res by Plant Acct P16(REG)'!N128</f>
        <v>0</v>
      </c>
      <c r="O130" s="13"/>
      <c r="P130" s="14">
        <f>+'KY_Res by Plant Acct P16(REG)'!P128</f>
        <v>0</v>
      </c>
      <c r="Q130" s="13"/>
      <c r="R130" s="14">
        <f t="shared" si="5"/>
        <v>-269375.76</v>
      </c>
    </row>
    <row r="131" spans="1:18" outlineLevel="1" x14ac:dyDescent="0.2">
      <c r="A131" s="3" t="s">
        <v>3540</v>
      </c>
      <c r="B131" s="14">
        <f>+'KY_Res by Plant Acct P16(REG)'!B129</f>
        <v>-110150.07</v>
      </c>
      <c r="C131" s="13"/>
      <c r="D131" s="14">
        <f>+'KY_Res by Plant Acct P16(REG)'!D129</f>
        <v>-8792.76</v>
      </c>
      <c r="E131" s="13"/>
      <c r="F131" s="14">
        <f>+'KY_Res by Plant Acct P16(REG)'!F129</f>
        <v>0</v>
      </c>
      <c r="G131" s="13"/>
      <c r="H131" s="14">
        <f>+'KY_Res by Plant Acct P16(REG)'!H129</f>
        <v>0</v>
      </c>
      <c r="I131" s="13"/>
      <c r="J131" s="14">
        <f>+'KY_Res by Plant Acct P16(REG)'!J129</f>
        <v>0</v>
      </c>
      <c r="K131" s="13"/>
      <c r="L131" s="14">
        <f>+'KY_Res by Plant Acct P16(REG)'!L129</f>
        <v>0</v>
      </c>
      <c r="M131" s="13"/>
      <c r="N131" s="14">
        <f>+'KY_Res by Plant Acct P16(REG)'!N129</f>
        <v>0</v>
      </c>
      <c r="O131" s="13"/>
      <c r="P131" s="14">
        <f>+'KY_Res by Plant Acct P16(REG)'!P129</f>
        <v>0</v>
      </c>
      <c r="Q131" s="13"/>
      <c r="R131" s="14">
        <f t="shared" si="5"/>
        <v>-118942.83</v>
      </c>
    </row>
    <row r="132" spans="1:18" outlineLevel="1" x14ac:dyDescent="0.2">
      <c r="A132" s="3" t="s">
        <v>3541</v>
      </c>
      <c r="B132" s="14">
        <f>+'KY_Res by Plant Acct P16(REG)'!B130</f>
        <v>-110006.41999999998</v>
      </c>
      <c r="C132" s="13"/>
      <c r="D132" s="14">
        <f>+'KY_Res by Plant Acct P16(REG)'!D130</f>
        <v>-8780.2800000000007</v>
      </c>
      <c r="E132" s="13"/>
      <c r="F132" s="14">
        <f>+'KY_Res by Plant Acct P16(REG)'!F130</f>
        <v>0</v>
      </c>
      <c r="G132" s="13"/>
      <c r="H132" s="14">
        <f>+'KY_Res by Plant Acct P16(REG)'!H130</f>
        <v>0</v>
      </c>
      <c r="I132" s="13"/>
      <c r="J132" s="14">
        <f>+'KY_Res by Plant Acct P16(REG)'!J130</f>
        <v>0</v>
      </c>
      <c r="K132" s="13"/>
      <c r="L132" s="14">
        <f>+'KY_Res by Plant Acct P16(REG)'!L130</f>
        <v>0</v>
      </c>
      <c r="M132" s="13"/>
      <c r="N132" s="14">
        <f>+'KY_Res by Plant Acct P16(REG)'!N130</f>
        <v>0</v>
      </c>
      <c r="O132" s="13"/>
      <c r="P132" s="14">
        <f>+'KY_Res by Plant Acct P16(REG)'!P130</f>
        <v>0</v>
      </c>
      <c r="Q132" s="13"/>
      <c r="R132" s="14">
        <f t="shared" si="5"/>
        <v>-118786.69999999998</v>
      </c>
    </row>
    <row r="133" spans="1:18" outlineLevel="1" x14ac:dyDescent="0.2">
      <c r="A133" s="3" t="s">
        <v>3542</v>
      </c>
      <c r="B133" s="14">
        <f>+'KY_Res by Plant Acct P16(REG)'!B131</f>
        <v>-231910.34</v>
      </c>
      <c r="C133" s="13"/>
      <c r="D133" s="14">
        <f>+'KY_Res by Plant Acct P16(REG)'!D131</f>
        <v>-20925.72</v>
      </c>
      <c r="E133" s="13"/>
      <c r="F133" s="14">
        <f>+'KY_Res by Plant Acct P16(REG)'!F131</f>
        <v>0</v>
      </c>
      <c r="G133" s="13"/>
      <c r="H133" s="14">
        <f>+'KY_Res by Plant Acct P16(REG)'!H131</f>
        <v>0</v>
      </c>
      <c r="I133" s="13"/>
      <c r="J133" s="14">
        <f>+'KY_Res by Plant Acct P16(REG)'!J131</f>
        <v>0</v>
      </c>
      <c r="K133" s="13"/>
      <c r="L133" s="14">
        <f>+'KY_Res by Plant Acct P16(REG)'!L131</f>
        <v>0</v>
      </c>
      <c r="M133" s="13"/>
      <c r="N133" s="14">
        <f>+'KY_Res by Plant Acct P16(REG)'!N131</f>
        <v>0</v>
      </c>
      <c r="O133" s="13"/>
      <c r="P133" s="14">
        <f>+'KY_Res by Plant Acct P16(REG)'!P131</f>
        <v>0</v>
      </c>
      <c r="Q133" s="13"/>
      <c r="R133" s="14">
        <f t="shared" si="5"/>
        <v>-252836.06</v>
      </c>
    </row>
    <row r="134" spans="1:18" outlineLevel="1" x14ac:dyDescent="0.2">
      <c r="A134" s="3" t="s">
        <v>3543</v>
      </c>
      <c r="B134" s="14">
        <f>+'KY_Res by Plant Acct P16(REG)'!B132</f>
        <v>-231238.86999999997</v>
      </c>
      <c r="C134" s="13"/>
      <c r="D134" s="14">
        <f>+'KY_Res by Plant Acct P16(REG)'!D132</f>
        <v>-20865.240000000002</v>
      </c>
      <c r="E134" s="13"/>
      <c r="F134" s="14">
        <f>+'KY_Res by Plant Acct P16(REG)'!F132</f>
        <v>0</v>
      </c>
      <c r="G134" s="13"/>
      <c r="H134" s="14">
        <f>+'KY_Res by Plant Acct P16(REG)'!H132</f>
        <v>0</v>
      </c>
      <c r="I134" s="13"/>
      <c r="J134" s="14">
        <f>+'KY_Res by Plant Acct P16(REG)'!J132</f>
        <v>0</v>
      </c>
      <c r="K134" s="13"/>
      <c r="L134" s="14">
        <f>+'KY_Res by Plant Acct P16(REG)'!L132</f>
        <v>0</v>
      </c>
      <c r="M134" s="13"/>
      <c r="N134" s="14">
        <f>+'KY_Res by Plant Acct P16(REG)'!N132</f>
        <v>0</v>
      </c>
      <c r="O134" s="13"/>
      <c r="P134" s="14">
        <f>+'KY_Res by Plant Acct P16(REG)'!P132</f>
        <v>0</v>
      </c>
      <c r="Q134" s="13"/>
      <c r="R134" s="14">
        <f t="shared" si="5"/>
        <v>-252104.10999999996</v>
      </c>
    </row>
    <row r="135" spans="1:18" outlineLevel="1" x14ac:dyDescent="0.2">
      <c r="A135" s="3" t="s">
        <v>3544</v>
      </c>
      <c r="B135" s="14">
        <f>+'KY_Res by Plant Acct P16(REG)'!B133</f>
        <v>-236878.61</v>
      </c>
      <c r="C135" s="13"/>
      <c r="D135" s="14">
        <f>+'KY_Res by Plant Acct P16(REG)'!D133</f>
        <v>-21613.8</v>
      </c>
      <c r="E135" s="13"/>
      <c r="F135" s="14">
        <f>+'KY_Res by Plant Acct P16(REG)'!F133</f>
        <v>0</v>
      </c>
      <c r="G135" s="13"/>
      <c r="H135" s="14">
        <f>+'KY_Res by Plant Acct P16(REG)'!H133</f>
        <v>0</v>
      </c>
      <c r="I135" s="13"/>
      <c r="J135" s="14">
        <f>+'KY_Res by Plant Acct P16(REG)'!J133</f>
        <v>0</v>
      </c>
      <c r="K135" s="13"/>
      <c r="L135" s="14">
        <f>+'KY_Res by Plant Acct P16(REG)'!L133</f>
        <v>0</v>
      </c>
      <c r="M135" s="13"/>
      <c r="N135" s="14">
        <f>+'KY_Res by Plant Acct P16(REG)'!N133</f>
        <v>0</v>
      </c>
      <c r="O135" s="13"/>
      <c r="P135" s="14">
        <f>+'KY_Res by Plant Acct P16(REG)'!P133</f>
        <v>0</v>
      </c>
      <c r="Q135" s="13"/>
      <c r="R135" s="14">
        <f t="shared" si="5"/>
        <v>-258492.40999999997</v>
      </c>
    </row>
    <row r="136" spans="1:18" outlineLevel="1" x14ac:dyDescent="0.2">
      <c r="A136" s="3" t="s">
        <v>3545</v>
      </c>
      <c r="B136" s="14">
        <f>+'KY_Res by Plant Acct P16(REG)'!B134</f>
        <v>-2216038.84</v>
      </c>
      <c r="C136" s="13"/>
      <c r="D136" s="14">
        <f>+'KY_Res by Plant Acct P16(REG)'!D134</f>
        <v>-162194.88</v>
      </c>
      <c r="E136" s="13"/>
      <c r="F136" s="14">
        <f>+'KY_Res by Plant Acct P16(REG)'!F134</f>
        <v>0</v>
      </c>
      <c r="G136" s="13"/>
      <c r="H136" s="14">
        <f>+'KY_Res by Plant Acct P16(REG)'!H134</f>
        <v>0</v>
      </c>
      <c r="I136" s="13"/>
      <c r="J136" s="14">
        <f>+'KY_Res by Plant Acct P16(REG)'!J134</f>
        <v>0</v>
      </c>
      <c r="K136" s="13"/>
      <c r="L136" s="14">
        <f>+'KY_Res by Plant Acct P16(REG)'!L134</f>
        <v>0</v>
      </c>
      <c r="M136" s="13"/>
      <c r="N136" s="14">
        <f>+'KY_Res by Plant Acct P16(REG)'!N134</f>
        <v>0</v>
      </c>
      <c r="O136" s="13"/>
      <c r="P136" s="14">
        <f>+'KY_Res by Plant Acct P16(REG)'!P134</f>
        <v>0</v>
      </c>
      <c r="Q136" s="13"/>
      <c r="R136" s="14">
        <f t="shared" si="5"/>
        <v>-2378233.7199999997</v>
      </c>
    </row>
    <row r="137" spans="1:18" x14ac:dyDescent="0.2">
      <c r="A137" s="3" t="s">
        <v>3546</v>
      </c>
      <c r="B137" s="14">
        <f>SUM(B118:B136)</f>
        <v>-13826547.57</v>
      </c>
      <c r="C137" s="13"/>
      <c r="D137" s="14">
        <f>SUM(D118:D136)</f>
        <v>-3305140.2099999986</v>
      </c>
      <c r="E137" s="13"/>
      <c r="F137" s="14">
        <f>SUM(F118:F136)</f>
        <v>0</v>
      </c>
      <c r="G137" s="13"/>
      <c r="H137" s="14">
        <f>SUM(H118:H136)</f>
        <v>0</v>
      </c>
      <c r="I137" s="13"/>
      <c r="J137" s="14">
        <f>SUM(J118:J136)</f>
        <v>0</v>
      </c>
      <c r="K137" s="13"/>
      <c r="L137" s="14">
        <f>SUM(L118:L136)</f>
        <v>0</v>
      </c>
      <c r="M137" s="13"/>
      <c r="N137" s="14">
        <f>SUM(N118:N136)</f>
        <v>0</v>
      </c>
      <c r="O137" s="13"/>
      <c r="P137" s="14">
        <f>SUM(P118:P136)</f>
        <v>0</v>
      </c>
      <c r="Q137" s="13"/>
      <c r="R137" s="14">
        <f>SUM(R118:R136)</f>
        <v>-17131687.779999997</v>
      </c>
    </row>
    <row r="138" spans="1:18" x14ac:dyDescent="0.2">
      <c r="A138" s="3" t="s">
        <v>3547</v>
      </c>
      <c r="B138" s="14">
        <f>+'KY_Res by Plant Acct P16(REG)'!B136</f>
        <v>2.9103830456733704E-11</v>
      </c>
      <c r="C138" s="13"/>
      <c r="D138" s="14">
        <f>+'KY_Res by Plant Acct P16(REG)'!D136</f>
        <v>0</v>
      </c>
      <c r="E138" s="13"/>
      <c r="F138" s="14">
        <f>+'KY_Res by Plant Acct P16(REG)'!F136</f>
        <v>0</v>
      </c>
      <c r="G138" s="13"/>
      <c r="H138" s="14">
        <f>+'KY_Res by Plant Acct P16(REG)'!H136</f>
        <v>0</v>
      </c>
      <c r="I138" s="13"/>
      <c r="J138" s="14">
        <f>+'KY_Res by Plant Acct P16(REG)'!J136</f>
        <v>0</v>
      </c>
      <c r="K138" s="13"/>
      <c r="L138" s="14">
        <f>+'KY_Res by Plant Acct P16(REG)'!L136</f>
        <v>0</v>
      </c>
      <c r="M138" s="13"/>
      <c r="N138" s="14">
        <f>+'KY_Res by Plant Acct P16(REG)'!N136</f>
        <v>0</v>
      </c>
      <c r="O138" s="13"/>
      <c r="P138" s="14">
        <f>+'KY_Res by Plant Acct P16(REG)'!P136</f>
        <v>0</v>
      </c>
      <c r="Q138" s="13"/>
      <c r="R138" s="14">
        <f t="shared" ref="R138:R153" si="6">SUM(B138:P138)</f>
        <v>2.9103830456733704E-11</v>
      </c>
    </row>
    <row r="139" spans="1:18" outlineLevel="1" x14ac:dyDescent="0.2">
      <c r="A139" s="3" t="s">
        <v>3548</v>
      </c>
      <c r="B139" s="14">
        <f>+'KY_Res by Plant Acct P16(REG)'!B137</f>
        <v>-1353523.58</v>
      </c>
      <c r="C139" s="13"/>
      <c r="D139" s="14">
        <f>+'KY_Res by Plant Acct P16(REG)'!D137</f>
        <v>-4623805.3600000003</v>
      </c>
      <c r="E139" s="13"/>
      <c r="F139" s="14">
        <f>+'KY_Res by Plant Acct P16(REG)'!F137</f>
        <v>0</v>
      </c>
      <c r="G139" s="13"/>
      <c r="H139" s="14">
        <f>+'KY_Res by Plant Acct P16(REG)'!H137</f>
        <v>0</v>
      </c>
      <c r="I139" s="13"/>
      <c r="J139" s="14">
        <f>+'KY_Res by Plant Acct P16(REG)'!J137</f>
        <v>0</v>
      </c>
      <c r="K139" s="13"/>
      <c r="L139" s="14">
        <f>+'KY_Res by Plant Acct P16(REG)'!L137</f>
        <v>0</v>
      </c>
      <c r="M139" s="13"/>
      <c r="N139" s="14">
        <f>+'KY_Res by Plant Acct P16(REG)'!N137</f>
        <v>0</v>
      </c>
      <c r="O139" s="13"/>
      <c r="P139" s="14">
        <f>+'KY_Res by Plant Acct P16(REG)'!P137</f>
        <v>0</v>
      </c>
      <c r="Q139" s="13"/>
      <c r="R139" s="14">
        <f>SUM(B139:P139)</f>
        <v>-5977328.9400000004</v>
      </c>
    </row>
    <row r="140" spans="1:18" outlineLevel="1" x14ac:dyDescent="0.2">
      <c r="A140" s="3" t="s">
        <v>3549</v>
      </c>
      <c r="B140" s="14">
        <f>+'KY_Res by Plant Acct P16(REG)'!B138</f>
        <v>-10072719.619999997</v>
      </c>
      <c r="C140" s="13"/>
      <c r="D140" s="14">
        <f>+'KY_Res by Plant Acct P16(REG)'!D138</f>
        <v>-855587.28</v>
      </c>
      <c r="E140" s="13"/>
      <c r="F140" s="14">
        <f>+'KY_Res by Plant Acct P16(REG)'!F138</f>
        <v>0</v>
      </c>
      <c r="G140" s="13"/>
      <c r="H140" s="14">
        <f>+'KY_Res by Plant Acct P16(REG)'!H138</f>
        <v>0</v>
      </c>
      <c r="I140" s="13"/>
      <c r="J140" s="14">
        <f>+'KY_Res by Plant Acct P16(REG)'!J138</f>
        <v>0</v>
      </c>
      <c r="K140" s="13"/>
      <c r="L140" s="14">
        <f>+'KY_Res by Plant Acct P16(REG)'!L138</f>
        <v>232764.75</v>
      </c>
      <c r="M140" s="13"/>
      <c r="N140" s="14">
        <f>+'KY_Res by Plant Acct P16(REG)'!N138</f>
        <v>0</v>
      </c>
      <c r="O140" s="13"/>
      <c r="P140" s="14">
        <f>+'KY_Res by Plant Acct P16(REG)'!P138</f>
        <v>0</v>
      </c>
      <c r="Q140" s="13"/>
      <c r="R140" s="14">
        <f t="shared" si="6"/>
        <v>-10695542.149999997</v>
      </c>
    </row>
    <row r="141" spans="1:18" outlineLevel="1" x14ac:dyDescent="0.2">
      <c r="A141" s="3" t="s">
        <v>3550</v>
      </c>
      <c r="B141" s="14">
        <f>+'KY_Res by Plant Acct P16(REG)'!B139</f>
        <v>-21054696.039999999</v>
      </c>
      <c r="C141" s="13"/>
      <c r="D141" s="14">
        <f>+'KY_Res by Plant Acct P16(REG)'!D139</f>
        <v>-1534183.2</v>
      </c>
      <c r="E141" s="13"/>
      <c r="F141" s="14">
        <f>+'KY_Res by Plant Acct P16(REG)'!F139</f>
        <v>37337.79</v>
      </c>
      <c r="G141" s="13"/>
      <c r="H141" s="14">
        <f>+'KY_Res by Plant Acct P16(REG)'!H139</f>
        <v>0</v>
      </c>
      <c r="I141" s="13"/>
      <c r="J141" s="14">
        <f>+'KY_Res by Plant Acct P16(REG)'!J139</f>
        <v>0</v>
      </c>
      <c r="K141" s="13"/>
      <c r="L141" s="14">
        <f>+'KY_Res by Plant Acct P16(REG)'!L139</f>
        <v>2846.75</v>
      </c>
      <c r="M141" s="13"/>
      <c r="N141" s="14">
        <f>+'KY_Res by Plant Acct P16(REG)'!N139</f>
        <v>0</v>
      </c>
      <c r="O141" s="13"/>
      <c r="P141" s="14">
        <f>+'KY_Res by Plant Acct P16(REG)'!P139</f>
        <v>0</v>
      </c>
      <c r="Q141" s="13"/>
      <c r="R141" s="14">
        <f t="shared" si="6"/>
        <v>-22548694.699999999</v>
      </c>
    </row>
    <row r="142" spans="1:18" outlineLevel="1" x14ac:dyDescent="0.2">
      <c r="A142" s="3" t="s">
        <v>3551</v>
      </c>
      <c r="B142" s="14">
        <f>+'KY_Res by Plant Acct P16(REG)'!B140</f>
        <v>-6777304.4399999995</v>
      </c>
      <c r="C142" s="13"/>
      <c r="D142" s="14">
        <f>+'KY_Res by Plant Acct P16(REG)'!D140</f>
        <v>-612463.07999999996</v>
      </c>
      <c r="E142" s="13"/>
      <c r="F142" s="14">
        <f>+'KY_Res by Plant Acct P16(REG)'!F140</f>
        <v>0</v>
      </c>
      <c r="G142" s="13"/>
      <c r="H142" s="14">
        <f>+'KY_Res by Plant Acct P16(REG)'!H140</f>
        <v>0</v>
      </c>
      <c r="I142" s="13"/>
      <c r="J142" s="14">
        <f>+'KY_Res by Plant Acct P16(REG)'!J140</f>
        <v>0</v>
      </c>
      <c r="K142" s="13"/>
      <c r="L142" s="14">
        <f>+'KY_Res by Plant Acct P16(REG)'!L140</f>
        <v>0</v>
      </c>
      <c r="M142" s="13"/>
      <c r="N142" s="14">
        <f>+'KY_Res by Plant Acct P16(REG)'!N140</f>
        <v>0</v>
      </c>
      <c r="O142" s="13"/>
      <c r="P142" s="14">
        <f>+'KY_Res by Plant Acct P16(REG)'!P140</f>
        <v>0</v>
      </c>
      <c r="Q142" s="13"/>
      <c r="R142" s="14">
        <f t="shared" si="6"/>
        <v>-7389767.5199999996</v>
      </c>
    </row>
    <row r="143" spans="1:18" outlineLevel="1" x14ac:dyDescent="0.2">
      <c r="A143" s="3" t="s">
        <v>3552</v>
      </c>
      <c r="B143" s="14">
        <f>+'KY_Res by Plant Acct P16(REG)'!B141</f>
        <v>-14206645.290000001</v>
      </c>
      <c r="C143" s="13"/>
      <c r="D143" s="14">
        <f>+'KY_Res by Plant Acct P16(REG)'!D141</f>
        <v>-1752242.49</v>
      </c>
      <c r="E143" s="13"/>
      <c r="F143" s="14">
        <f>+'KY_Res by Plant Acct P16(REG)'!F141</f>
        <v>22084.78</v>
      </c>
      <c r="G143" s="13"/>
      <c r="H143" s="14">
        <f>+'KY_Res by Plant Acct P16(REG)'!H141</f>
        <v>0</v>
      </c>
      <c r="I143" s="13"/>
      <c r="J143" s="14">
        <f>+'KY_Res by Plant Acct P16(REG)'!J141</f>
        <v>0</v>
      </c>
      <c r="K143" s="13"/>
      <c r="L143" s="14">
        <f>+'KY_Res by Plant Acct P16(REG)'!L141</f>
        <v>962.1</v>
      </c>
      <c r="M143" s="13"/>
      <c r="N143" s="14">
        <f>+'KY_Res by Plant Acct P16(REG)'!N141</f>
        <v>0</v>
      </c>
      <c r="O143" s="13"/>
      <c r="P143" s="14">
        <f>+'KY_Res by Plant Acct P16(REG)'!P141</f>
        <v>0</v>
      </c>
      <c r="Q143" s="13"/>
      <c r="R143" s="14">
        <f t="shared" si="6"/>
        <v>-15935840.900000002</v>
      </c>
    </row>
    <row r="144" spans="1:18" outlineLevel="1" x14ac:dyDescent="0.2">
      <c r="A144" s="3" t="s">
        <v>3553</v>
      </c>
      <c r="B144" s="14">
        <f>+'KY_Res by Plant Acct P16(REG)'!B142</f>
        <v>-13616279.57</v>
      </c>
      <c r="C144" s="13"/>
      <c r="D144" s="14">
        <f>+'KY_Res by Plant Acct P16(REG)'!D142</f>
        <v>-1577663.29</v>
      </c>
      <c r="E144" s="13"/>
      <c r="F144" s="14">
        <f>+'KY_Res by Plant Acct P16(REG)'!F142</f>
        <v>22084.78</v>
      </c>
      <c r="G144" s="13"/>
      <c r="H144" s="14">
        <f>+'KY_Res by Plant Acct P16(REG)'!H142</f>
        <v>0</v>
      </c>
      <c r="I144" s="13"/>
      <c r="J144" s="14">
        <f>+'KY_Res by Plant Acct P16(REG)'!J142</f>
        <v>0</v>
      </c>
      <c r="K144" s="13"/>
      <c r="L144" s="14">
        <f>+'KY_Res by Plant Acct P16(REG)'!L142</f>
        <v>962.1</v>
      </c>
      <c r="M144" s="13"/>
      <c r="N144" s="14">
        <f>+'KY_Res by Plant Acct P16(REG)'!N142</f>
        <v>0</v>
      </c>
      <c r="O144" s="13"/>
      <c r="P144" s="14">
        <f>+'KY_Res by Plant Acct P16(REG)'!P142</f>
        <v>0</v>
      </c>
      <c r="Q144" s="13"/>
      <c r="R144" s="14">
        <f t="shared" si="6"/>
        <v>-15170895.98</v>
      </c>
    </row>
    <row r="145" spans="1:18" outlineLevel="1" x14ac:dyDescent="0.2">
      <c r="A145" s="3" t="s">
        <v>3554</v>
      </c>
      <c r="B145" s="14">
        <f>+'KY_Res by Plant Acct P16(REG)'!B143</f>
        <v>-14860849.270000003</v>
      </c>
      <c r="C145" s="13"/>
      <c r="D145" s="14">
        <f>+'KY_Res by Plant Acct P16(REG)'!D143</f>
        <v>-1387356.12</v>
      </c>
      <c r="E145" s="13"/>
      <c r="F145" s="14">
        <f>+'KY_Res by Plant Acct P16(REG)'!F143</f>
        <v>0</v>
      </c>
      <c r="G145" s="13"/>
      <c r="H145" s="14">
        <f>+'KY_Res by Plant Acct P16(REG)'!H143</f>
        <v>0</v>
      </c>
      <c r="I145" s="13"/>
      <c r="J145" s="14">
        <f>+'KY_Res by Plant Acct P16(REG)'!J143</f>
        <v>0</v>
      </c>
      <c r="K145" s="13"/>
      <c r="L145" s="14">
        <f>+'KY_Res by Plant Acct P16(REG)'!L143</f>
        <v>0</v>
      </c>
      <c r="M145" s="13"/>
      <c r="N145" s="14">
        <f>+'KY_Res by Plant Acct P16(REG)'!N143</f>
        <v>0</v>
      </c>
      <c r="O145" s="13"/>
      <c r="P145" s="14">
        <f>+'KY_Res by Plant Acct P16(REG)'!P143</f>
        <v>0</v>
      </c>
      <c r="Q145" s="13"/>
      <c r="R145" s="14">
        <f t="shared" si="6"/>
        <v>-16248205.390000004</v>
      </c>
    </row>
    <row r="146" spans="1:18" outlineLevel="1" x14ac:dyDescent="0.2">
      <c r="A146" s="3" t="s">
        <v>3555</v>
      </c>
      <c r="B146" s="14">
        <f>+'KY_Res by Plant Acct P16(REG)'!B144</f>
        <v>-12156038.130000001</v>
      </c>
      <c r="C146" s="13"/>
      <c r="D146" s="14">
        <f>+'KY_Res by Plant Acct P16(REG)'!D144</f>
        <v>-933371.93</v>
      </c>
      <c r="E146" s="13"/>
      <c r="F146" s="14">
        <f>+'KY_Res by Plant Acct P16(REG)'!F144</f>
        <v>4311.63</v>
      </c>
      <c r="G146" s="13"/>
      <c r="H146" s="14">
        <f>+'KY_Res by Plant Acct P16(REG)'!H144</f>
        <v>0</v>
      </c>
      <c r="I146" s="13"/>
      <c r="J146" s="14">
        <f>+'KY_Res by Plant Acct P16(REG)'!J144</f>
        <v>0</v>
      </c>
      <c r="K146" s="13"/>
      <c r="L146" s="14">
        <f>+'KY_Res by Plant Acct P16(REG)'!L144</f>
        <v>0</v>
      </c>
      <c r="M146" s="13"/>
      <c r="N146" s="14">
        <f>+'KY_Res by Plant Acct P16(REG)'!N144</f>
        <v>0</v>
      </c>
      <c r="O146" s="13"/>
      <c r="P146" s="14">
        <f>+'KY_Res by Plant Acct P16(REG)'!P144</f>
        <v>0</v>
      </c>
      <c r="Q146" s="13"/>
      <c r="R146" s="14">
        <f t="shared" si="6"/>
        <v>-13085098.43</v>
      </c>
    </row>
    <row r="147" spans="1:18" outlineLevel="1" x14ac:dyDescent="0.2">
      <c r="A147" s="3" t="s">
        <v>3556</v>
      </c>
      <c r="B147" s="14">
        <f>+'KY_Res by Plant Acct P16(REG)'!B145</f>
        <v>-5651831.9100000001</v>
      </c>
      <c r="C147" s="13"/>
      <c r="D147" s="14">
        <f>+'KY_Res by Plant Acct P16(REG)'!D145</f>
        <v>-850811.16</v>
      </c>
      <c r="E147" s="13"/>
      <c r="F147" s="14">
        <f>+'KY_Res by Plant Acct P16(REG)'!F145</f>
        <v>0</v>
      </c>
      <c r="G147" s="13"/>
      <c r="H147" s="14">
        <f>+'KY_Res by Plant Acct P16(REG)'!H145</f>
        <v>0</v>
      </c>
      <c r="I147" s="13"/>
      <c r="J147" s="14">
        <f>+'KY_Res by Plant Acct P16(REG)'!J145</f>
        <v>0</v>
      </c>
      <c r="K147" s="13"/>
      <c r="L147" s="14">
        <f>+'KY_Res by Plant Acct P16(REG)'!L145</f>
        <v>0</v>
      </c>
      <c r="M147" s="13"/>
      <c r="N147" s="14">
        <f>+'KY_Res by Plant Acct P16(REG)'!N145</f>
        <v>0</v>
      </c>
      <c r="O147" s="13"/>
      <c r="P147" s="14">
        <f>+'KY_Res by Plant Acct P16(REG)'!P145</f>
        <v>0</v>
      </c>
      <c r="Q147" s="13"/>
      <c r="R147" s="14">
        <f t="shared" si="6"/>
        <v>-6502643.0700000003</v>
      </c>
    </row>
    <row r="148" spans="1:18" outlineLevel="1" x14ac:dyDescent="0.2">
      <c r="A148" s="3" t="s">
        <v>3557</v>
      </c>
      <c r="B148" s="14">
        <f>+'KY_Res by Plant Acct P16(REG)'!B146</f>
        <v>-8285715.4299999997</v>
      </c>
      <c r="C148" s="13"/>
      <c r="D148" s="14">
        <f>+'KY_Res by Plant Acct P16(REG)'!D146</f>
        <v>-978150.87</v>
      </c>
      <c r="E148" s="13"/>
      <c r="F148" s="14">
        <f>+'KY_Res by Plant Acct P16(REG)'!F146</f>
        <v>0</v>
      </c>
      <c r="G148" s="13"/>
      <c r="H148" s="14">
        <f>+'KY_Res by Plant Acct P16(REG)'!H146</f>
        <v>0</v>
      </c>
      <c r="I148" s="13"/>
      <c r="J148" s="14">
        <f>+'KY_Res by Plant Acct P16(REG)'!J146</f>
        <v>0</v>
      </c>
      <c r="K148" s="13"/>
      <c r="L148" s="14">
        <f>+'KY_Res by Plant Acct P16(REG)'!L146</f>
        <v>0</v>
      </c>
      <c r="M148" s="13"/>
      <c r="N148" s="14">
        <f>+'KY_Res by Plant Acct P16(REG)'!N146</f>
        <v>0</v>
      </c>
      <c r="O148" s="13"/>
      <c r="P148" s="14">
        <f>+'KY_Res by Plant Acct P16(REG)'!P146</f>
        <v>0</v>
      </c>
      <c r="Q148" s="13"/>
      <c r="R148" s="14">
        <f t="shared" si="6"/>
        <v>-9263866.2999999989</v>
      </c>
    </row>
    <row r="149" spans="1:18" outlineLevel="1" x14ac:dyDescent="0.2">
      <c r="A149" s="3" t="s">
        <v>3558</v>
      </c>
      <c r="B149" s="14">
        <f>+'KY_Res by Plant Acct P16(REG)'!B147</f>
        <v>-13187243.049999999</v>
      </c>
      <c r="C149" s="13"/>
      <c r="D149" s="14">
        <f>+'KY_Res by Plant Acct P16(REG)'!D147</f>
        <v>-1299461.1399999999</v>
      </c>
      <c r="E149" s="13"/>
      <c r="F149" s="14">
        <f>+'KY_Res by Plant Acct P16(REG)'!F147</f>
        <v>0</v>
      </c>
      <c r="G149" s="13"/>
      <c r="H149" s="14">
        <f>+'KY_Res by Plant Acct P16(REG)'!H147</f>
        <v>0</v>
      </c>
      <c r="I149" s="13"/>
      <c r="J149" s="14">
        <f>+'KY_Res by Plant Acct P16(REG)'!J147</f>
        <v>0</v>
      </c>
      <c r="K149" s="13"/>
      <c r="L149" s="14">
        <f>+'KY_Res by Plant Acct P16(REG)'!L147</f>
        <v>0</v>
      </c>
      <c r="M149" s="13"/>
      <c r="N149" s="14">
        <f>+'KY_Res by Plant Acct P16(REG)'!N147</f>
        <v>0</v>
      </c>
      <c r="O149" s="13"/>
      <c r="P149" s="14">
        <f>+'KY_Res by Plant Acct P16(REG)'!P147</f>
        <v>0</v>
      </c>
      <c r="Q149" s="13"/>
      <c r="R149" s="14">
        <f t="shared" si="6"/>
        <v>-14486704.189999999</v>
      </c>
    </row>
    <row r="150" spans="1:18" outlineLevel="1" x14ac:dyDescent="0.2">
      <c r="A150" s="3" t="s">
        <v>3559</v>
      </c>
      <c r="B150" s="14">
        <f>+'KY_Res by Plant Acct P16(REG)'!B148</f>
        <v>-13527496.110000003</v>
      </c>
      <c r="C150" s="13"/>
      <c r="D150" s="14">
        <f>+'KY_Res by Plant Acct P16(REG)'!D148</f>
        <v>-1429075.3</v>
      </c>
      <c r="E150" s="13"/>
      <c r="F150" s="14">
        <f>+'KY_Res by Plant Acct P16(REG)'!F148</f>
        <v>0</v>
      </c>
      <c r="G150" s="13"/>
      <c r="H150" s="14">
        <f>+'KY_Res by Plant Acct P16(REG)'!H148</f>
        <v>0</v>
      </c>
      <c r="I150" s="13"/>
      <c r="J150" s="14">
        <f>+'KY_Res by Plant Acct P16(REG)'!J148</f>
        <v>0</v>
      </c>
      <c r="K150" s="13"/>
      <c r="L150" s="14">
        <f>+'KY_Res by Plant Acct P16(REG)'!L148</f>
        <v>0</v>
      </c>
      <c r="M150" s="13"/>
      <c r="N150" s="14">
        <f>+'KY_Res by Plant Acct P16(REG)'!N148</f>
        <v>0</v>
      </c>
      <c r="O150" s="13"/>
      <c r="P150" s="14">
        <f>+'KY_Res by Plant Acct P16(REG)'!P148</f>
        <v>0</v>
      </c>
      <c r="Q150" s="13"/>
      <c r="R150" s="14">
        <f t="shared" si="6"/>
        <v>-14956571.410000004</v>
      </c>
    </row>
    <row r="151" spans="1:18" outlineLevel="1" x14ac:dyDescent="0.2">
      <c r="A151" s="3" t="s">
        <v>3560</v>
      </c>
      <c r="B151" s="14">
        <f>+'KY_Res by Plant Acct P16(REG)'!B149</f>
        <v>-8647623.6999999993</v>
      </c>
      <c r="C151" s="13"/>
      <c r="D151" s="14">
        <f>+'KY_Res by Plant Acct P16(REG)'!D149</f>
        <v>-1022703.12</v>
      </c>
      <c r="E151" s="13"/>
      <c r="F151" s="14">
        <f>+'KY_Res by Plant Acct P16(REG)'!F149</f>
        <v>0</v>
      </c>
      <c r="G151" s="13"/>
      <c r="H151" s="14">
        <f>+'KY_Res by Plant Acct P16(REG)'!H149</f>
        <v>0</v>
      </c>
      <c r="I151" s="13"/>
      <c r="J151" s="14">
        <f>+'KY_Res by Plant Acct P16(REG)'!J149</f>
        <v>0</v>
      </c>
      <c r="K151" s="13"/>
      <c r="L151" s="14">
        <f>+'KY_Res by Plant Acct P16(REG)'!L149</f>
        <v>0</v>
      </c>
      <c r="M151" s="13"/>
      <c r="N151" s="14">
        <f>+'KY_Res by Plant Acct P16(REG)'!N149</f>
        <v>0</v>
      </c>
      <c r="O151" s="13"/>
      <c r="P151" s="14">
        <f>+'KY_Res by Plant Acct P16(REG)'!P149</f>
        <v>0</v>
      </c>
      <c r="Q151" s="13"/>
      <c r="R151" s="14">
        <f t="shared" si="6"/>
        <v>-9670326.8199999984</v>
      </c>
    </row>
    <row r="152" spans="1:18" outlineLevel="1" x14ac:dyDescent="0.2">
      <c r="A152" s="3" t="s">
        <v>3561</v>
      </c>
      <c r="B152" s="14">
        <f>+'KY_Res by Plant Acct P16(REG)'!B150</f>
        <v>-8098853.5999999996</v>
      </c>
      <c r="C152" s="13"/>
      <c r="D152" s="14">
        <f>+'KY_Res by Plant Acct P16(REG)'!D150</f>
        <v>-978664.08</v>
      </c>
      <c r="E152" s="13"/>
      <c r="F152" s="14">
        <f>+'KY_Res by Plant Acct P16(REG)'!F150</f>
        <v>0</v>
      </c>
      <c r="G152" s="13"/>
      <c r="H152" s="14">
        <f>+'KY_Res by Plant Acct P16(REG)'!H150</f>
        <v>0</v>
      </c>
      <c r="I152" s="13"/>
      <c r="J152" s="14">
        <f>+'KY_Res by Plant Acct P16(REG)'!J150</f>
        <v>0</v>
      </c>
      <c r="K152" s="13"/>
      <c r="L152" s="14">
        <f>+'KY_Res by Plant Acct P16(REG)'!L150</f>
        <v>0</v>
      </c>
      <c r="M152" s="13"/>
      <c r="N152" s="14">
        <f>+'KY_Res by Plant Acct P16(REG)'!N150</f>
        <v>0</v>
      </c>
      <c r="O152" s="13"/>
      <c r="P152" s="14">
        <f>+'KY_Res by Plant Acct P16(REG)'!P150</f>
        <v>0</v>
      </c>
      <c r="Q152" s="13"/>
      <c r="R152" s="14">
        <f t="shared" si="6"/>
        <v>-9077517.6799999997</v>
      </c>
    </row>
    <row r="153" spans="1:18" outlineLevel="1" x14ac:dyDescent="0.2">
      <c r="A153" s="3" t="s">
        <v>3562</v>
      </c>
      <c r="B153" s="14">
        <f>+'KY_Res by Plant Acct P16(REG)'!B151</f>
        <v>-8411415.9100000001</v>
      </c>
      <c r="C153" s="13"/>
      <c r="D153" s="14">
        <f>+'KY_Res by Plant Acct P16(REG)'!D151</f>
        <v>-980638.8</v>
      </c>
      <c r="E153" s="13"/>
      <c r="F153" s="14">
        <f>+'KY_Res by Plant Acct P16(REG)'!F151</f>
        <v>0</v>
      </c>
      <c r="G153" s="13"/>
      <c r="H153" s="14">
        <f>+'KY_Res by Plant Acct P16(REG)'!H151</f>
        <v>0</v>
      </c>
      <c r="I153" s="13"/>
      <c r="J153" s="14">
        <f>+'KY_Res by Plant Acct P16(REG)'!J151</f>
        <v>0</v>
      </c>
      <c r="K153" s="13"/>
      <c r="L153" s="14">
        <f>+'KY_Res by Plant Acct P16(REG)'!L151</f>
        <v>0</v>
      </c>
      <c r="M153" s="13"/>
      <c r="N153" s="14">
        <f>+'KY_Res by Plant Acct P16(REG)'!N151</f>
        <v>0</v>
      </c>
      <c r="O153" s="13"/>
      <c r="P153" s="14">
        <f>+'KY_Res by Plant Acct P16(REG)'!P151</f>
        <v>0</v>
      </c>
      <c r="Q153" s="13"/>
      <c r="R153" s="14">
        <f t="shared" si="6"/>
        <v>-9392054.7100000009</v>
      </c>
    </row>
    <row r="154" spans="1:18" x14ac:dyDescent="0.2">
      <c r="A154" s="3" t="s">
        <v>3563</v>
      </c>
      <c r="B154" s="14">
        <f>SUM(B139:B153)</f>
        <v>-159908235.64999998</v>
      </c>
      <c r="C154" s="13"/>
      <c r="D154" s="14">
        <f>SUM(D139:D153)</f>
        <v>-20816177.219999999</v>
      </c>
      <c r="E154" s="13"/>
      <c r="F154" s="14">
        <f>SUM(F139:F153)</f>
        <v>85818.98000000001</v>
      </c>
      <c r="G154" s="13"/>
      <c r="H154" s="14">
        <f>SUM(H139:H153)</f>
        <v>0</v>
      </c>
      <c r="I154" s="13"/>
      <c r="J154" s="14">
        <f>SUM(J139:J153)</f>
        <v>0</v>
      </c>
      <c r="K154" s="13"/>
      <c r="L154" s="14">
        <f>SUM(L139:L153)</f>
        <v>237535.7</v>
      </c>
      <c r="M154" s="13"/>
      <c r="N154" s="14">
        <f>SUM(N139:N153)</f>
        <v>0</v>
      </c>
      <c r="O154" s="13"/>
      <c r="P154" s="14">
        <f>SUM(P139:P153)</f>
        <v>0</v>
      </c>
      <c r="Q154" s="13"/>
      <c r="R154" s="14">
        <f>SUM(R139:R153)</f>
        <v>-180401058.19</v>
      </c>
    </row>
    <row r="155" spans="1:18" outlineLevel="1" x14ac:dyDescent="0.2">
      <c r="A155" s="3" t="s">
        <v>3564</v>
      </c>
      <c r="B155" s="14">
        <f>+'KY_Res by Plant Acct P16(REG)'!B153</f>
        <v>-1903560.49</v>
      </c>
      <c r="C155" s="13"/>
      <c r="D155" s="14">
        <f>+'KY_Res by Plant Acct P16(REG)'!D153</f>
        <v>-2735264.22</v>
      </c>
      <c r="E155" s="13"/>
      <c r="F155" s="14">
        <f>+'KY_Res by Plant Acct P16(REG)'!F153</f>
        <v>0</v>
      </c>
      <c r="G155" s="13"/>
      <c r="H155" s="14">
        <f>+'KY_Res by Plant Acct P16(REG)'!H153</f>
        <v>0</v>
      </c>
      <c r="I155" s="13"/>
      <c r="J155" s="14">
        <f>+'KY_Res by Plant Acct P16(REG)'!J153</f>
        <v>0</v>
      </c>
      <c r="K155" s="13"/>
      <c r="L155" s="14">
        <f>+'KY_Res by Plant Acct P16(REG)'!L153</f>
        <v>0</v>
      </c>
      <c r="M155" s="13"/>
      <c r="N155" s="14">
        <f>+'KY_Res by Plant Acct P16(REG)'!N153</f>
        <v>0</v>
      </c>
      <c r="O155" s="13"/>
      <c r="P155" s="14">
        <f>+'KY_Res by Plant Acct P16(REG)'!P153</f>
        <v>0</v>
      </c>
      <c r="Q155" s="13"/>
      <c r="R155" s="14">
        <f>SUM(B155:P155)</f>
        <v>-4638824.71</v>
      </c>
    </row>
    <row r="156" spans="1:18" outlineLevel="1" x14ac:dyDescent="0.2">
      <c r="A156" s="3" t="s">
        <v>3565</v>
      </c>
      <c r="B156" s="14">
        <f>+'KY_Res by Plant Acct P16(REG)'!B154</f>
        <v>-3129053.9100000006</v>
      </c>
      <c r="C156" s="13"/>
      <c r="D156" s="14">
        <f>+'KY_Res by Plant Acct P16(REG)'!D154</f>
        <v>-126799.32</v>
      </c>
      <c r="E156" s="13"/>
      <c r="F156" s="14">
        <f>+'KY_Res by Plant Acct P16(REG)'!F154</f>
        <v>0</v>
      </c>
      <c r="G156" s="13"/>
      <c r="H156" s="14">
        <f>+'KY_Res by Plant Acct P16(REG)'!H154</f>
        <v>0</v>
      </c>
      <c r="I156" s="13"/>
      <c r="J156" s="14">
        <f>+'KY_Res by Plant Acct P16(REG)'!J154</f>
        <v>0</v>
      </c>
      <c r="K156" s="13"/>
      <c r="L156" s="14">
        <f>+'KY_Res by Plant Acct P16(REG)'!L154</f>
        <v>0</v>
      </c>
      <c r="M156" s="13"/>
      <c r="N156" s="14">
        <f>+'KY_Res by Plant Acct P16(REG)'!N154</f>
        <v>0</v>
      </c>
      <c r="O156" s="13"/>
      <c r="P156" s="14">
        <f>+'KY_Res by Plant Acct P16(REG)'!P154</f>
        <v>0</v>
      </c>
      <c r="Q156" s="13"/>
      <c r="R156" s="14">
        <f t="shared" ref="R156:R171" si="7">SUM(B156:P156)</f>
        <v>-3255853.2300000004</v>
      </c>
    </row>
    <row r="157" spans="1:18" outlineLevel="1" x14ac:dyDescent="0.2">
      <c r="A157" s="3" t="s">
        <v>3566</v>
      </c>
      <c r="B157" s="14">
        <f>+'KY_Res by Plant Acct P16(REG)'!B155</f>
        <v>-2847510.32</v>
      </c>
      <c r="C157" s="13"/>
      <c r="D157" s="14">
        <f>+'KY_Res by Plant Acct P16(REG)'!D155</f>
        <v>-198243.6</v>
      </c>
      <c r="E157" s="13"/>
      <c r="F157" s="14">
        <f>+'KY_Res by Plant Acct P16(REG)'!F155</f>
        <v>0</v>
      </c>
      <c r="G157" s="13"/>
      <c r="H157" s="14">
        <f>+'KY_Res by Plant Acct P16(REG)'!H155</f>
        <v>0</v>
      </c>
      <c r="I157" s="13"/>
      <c r="J157" s="14">
        <f>+'KY_Res by Plant Acct P16(REG)'!J155</f>
        <v>0</v>
      </c>
      <c r="K157" s="13"/>
      <c r="L157" s="14">
        <f>+'KY_Res by Plant Acct P16(REG)'!L155</f>
        <v>0</v>
      </c>
      <c r="M157" s="13"/>
      <c r="N157" s="14">
        <f>+'KY_Res by Plant Acct P16(REG)'!N155</f>
        <v>0</v>
      </c>
      <c r="O157" s="13"/>
      <c r="P157" s="14">
        <f>+'KY_Res by Plant Acct P16(REG)'!P155</f>
        <v>0</v>
      </c>
      <c r="Q157" s="13"/>
      <c r="R157" s="14">
        <f t="shared" si="7"/>
        <v>-3045753.92</v>
      </c>
    </row>
    <row r="158" spans="1:18" outlineLevel="1" x14ac:dyDescent="0.2">
      <c r="A158" s="3" t="s">
        <v>3567</v>
      </c>
      <c r="B158" s="14">
        <f>+'KY_Res by Plant Acct P16(REG)'!B156</f>
        <v>-1327386.1399999999</v>
      </c>
      <c r="C158" s="13"/>
      <c r="D158" s="14">
        <f>+'KY_Res by Plant Acct P16(REG)'!D156</f>
        <v>-102632.16</v>
      </c>
      <c r="E158" s="13"/>
      <c r="F158" s="14">
        <f>+'KY_Res by Plant Acct P16(REG)'!F156</f>
        <v>0</v>
      </c>
      <c r="G158" s="13"/>
      <c r="H158" s="14">
        <f>+'KY_Res by Plant Acct P16(REG)'!H156</f>
        <v>0</v>
      </c>
      <c r="I158" s="13"/>
      <c r="J158" s="14">
        <f>+'KY_Res by Plant Acct P16(REG)'!J156</f>
        <v>0</v>
      </c>
      <c r="K158" s="13"/>
      <c r="L158" s="14">
        <f>+'KY_Res by Plant Acct P16(REG)'!L156</f>
        <v>0</v>
      </c>
      <c r="M158" s="13"/>
      <c r="N158" s="14">
        <f>+'KY_Res by Plant Acct P16(REG)'!N156</f>
        <v>0</v>
      </c>
      <c r="O158" s="13"/>
      <c r="P158" s="14">
        <f>+'KY_Res by Plant Acct P16(REG)'!P156</f>
        <v>0</v>
      </c>
      <c r="Q158" s="13"/>
      <c r="R158" s="14">
        <f t="shared" si="7"/>
        <v>-1430018.2999999998</v>
      </c>
    </row>
    <row r="159" spans="1:18" outlineLevel="1" x14ac:dyDescent="0.2">
      <c r="A159" s="3" t="s">
        <v>3568</v>
      </c>
      <c r="B159" s="14">
        <f>+'KY_Res by Plant Acct P16(REG)'!B157</f>
        <v>-1994405.28</v>
      </c>
      <c r="C159" s="13"/>
      <c r="D159" s="14">
        <f>+'KY_Res by Plant Acct P16(REG)'!D157</f>
        <v>-132478.07999999999</v>
      </c>
      <c r="E159" s="13"/>
      <c r="F159" s="14">
        <f>+'KY_Res by Plant Acct P16(REG)'!F157</f>
        <v>0</v>
      </c>
      <c r="G159" s="13"/>
      <c r="H159" s="14">
        <f>+'KY_Res by Plant Acct P16(REG)'!H157</f>
        <v>0</v>
      </c>
      <c r="I159" s="13"/>
      <c r="J159" s="14">
        <f>+'KY_Res by Plant Acct P16(REG)'!J157</f>
        <v>0</v>
      </c>
      <c r="K159" s="13"/>
      <c r="L159" s="14">
        <f>+'KY_Res by Plant Acct P16(REG)'!L157</f>
        <v>0</v>
      </c>
      <c r="M159" s="13"/>
      <c r="N159" s="14">
        <f>+'KY_Res by Plant Acct P16(REG)'!N157</f>
        <v>0</v>
      </c>
      <c r="O159" s="13"/>
      <c r="P159" s="14">
        <f>+'KY_Res by Plant Acct P16(REG)'!P157</f>
        <v>0</v>
      </c>
      <c r="Q159" s="13"/>
      <c r="R159" s="14">
        <f t="shared" si="7"/>
        <v>-2126883.36</v>
      </c>
    </row>
    <row r="160" spans="1:18" outlineLevel="1" x14ac:dyDescent="0.2">
      <c r="A160" s="3" t="s">
        <v>3569</v>
      </c>
      <c r="B160" s="14">
        <f>+'KY_Res by Plant Acct P16(REG)'!B158</f>
        <v>-1971762.9500000002</v>
      </c>
      <c r="C160" s="13"/>
      <c r="D160" s="14">
        <f>+'KY_Res by Plant Acct P16(REG)'!D158</f>
        <v>-134705.76</v>
      </c>
      <c r="E160" s="13"/>
      <c r="F160" s="14">
        <f>+'KY_Res by Plant Acct P16(REG)'!F158</f>
        <v>0</v>
      </c>
      <c r="G160" s="13"/>
      <c r="H160" s="14">
        <f>+'KY_Res by Plant Acct P16(REG)'!H158</f>
        <v>0</v>
      </c>
      <c r="I160" s="13"/>
      <c r="J160" s="14">
        <f>+'KY_Res by Plant Acct P16(REG)'!J158</f>
        <v>0</v>
      </c>
      <c r="K160" s="13"/>
      <c r="L160" s="14">
        <f>+'KY_Res by Plant Acct P16(REG)'!L158</f>
        <v>0</v>
      </c>
      <c r="M160" s="13"/>
      <c r="N160" s="14">
        <f>+'KY_Res by Plant Acct P16(REG)'!N158</f>
        <v>0</v>
      </c>
      <c r="O160" s="13"/>
      <c r="P160" s="14">
        <f>+'KY_Res by Plant Acct P16(REG)'!P158</f>
        <v>0</v>
      </c>
      <c r="Q160" s="13"/>
      <c r="R160" s="14">
        <f t="shared" si="7"/>
        <v>-2106468.71</v>
      </c>
    </row>
    <row r="161" spans="1:18" outlineLevel="1" x14ac:dyDescent="0.2">
      <c r="A161" s="3" t="s">
        <v>3570</v>
      </c>
      <c r="B161" s="14">
        <f>+'KY_Res by Plant Acct P16(REG)'!B159</f>
        <v>-3437474.2699999996</v>
      </c>
      <c r="C161" s="13"/>
      <c r="D161" s="14">
        <f>+'KY_Res by Plant Acct P16(REG)'!D159</f>
        <v>-167736.95999999999</v>
      </c>
      <c r="E161" s="13"/>
      <c r="F161" s="14">
        <f>+'KY_Res by Plant Acct P16(REG)'!F159</f>
        <v>0</v>
      </c>
      <c r="G161" s="13"/>
      <c r="H161" s="14">
        <f>+'KY_Res by Plant Acct P16(REG)'!H159</f>
        <v>0</v>
      </c>
      <c r="I161" s="13"/>
      <c r="J161" s="14">
        <f>+'KY_Res by Plant Acct P16(REG)'!J159</f>
        <v>0</v>
      </c>
      <c r="K161" s="13"/>
      <c r="L161" s="14">
        <f>+'KY_Res by Plant Acct P16(REG)'!L159</f>
        <v>0</v>
      </c>
      <c r="M161" s="13"/>
      <c r="N161" s="14">
        <f>+'KY_Res by Plant Acct P16(REG)'!N159</f>
        <v>0</v>
      </c>
      <c r="O161" s="13"/>
      <c r="P161" s="14">
        <f>+'KY_Res by Plant Acct P16(REG)'!P159</f>
        <v>0</v>
      </c>
      <c r="Q161" s="13"/>
      <c r="R161" s="14">
        <f t="shared" si="7"/>
        <v>-3605211.2299999995</v>
      </c>
    </row>
    <row r="162" spans="1:18" outlineLevel="1" x14ac:dyDescent="0.2">
      <c r="A162" s="3" t="s">
        <v>3571</v>
      </c>
      <c r="B162" s="14">
        <f>+'KY_Res by Plant Acct P16(REG)'!B160</f>
        <v>-3599862.6100000003</v>
      </c>
      <c r="C162" s="13"/>
      <c r="D162" s="14">
        <f>+'KY_Res by Plant Acct P16(REG)'!D160</f>
        <v>-130511.03999999999</v>
      </c>
      <c r="E162" s="13"/>
      <c r="F162" s="14">
        <f>+'KY_Res by Plant Acct P16(REG)'!F160</f>
        <v>0</v>
      </c>
      <c r="G162" s="13"/>
      <c r="H162" s="14">
        <f>+'KY_Res by Plant Acct P16(REG)'!H160</f>
        <v>0</v>
      </c>
      <c r="I162" s="13"/>
      <c r="J162" s="14">
        <f>+'KY_Res by Plant Acct P16(REG)'!J160</f>
        <v>0</v>
      </c>
      <c r="K162" s="13"/>
      <c r="L162" s="14">
        <f>+'KY_Res by Plant Acct P16(REG)'!L160</f>
        <v>0</v>
      </c>
      <c r="M162" s="13"/>
      <c r="N162" s="14">
        <f>+'KY_Res by Plant Acct P16(REG)'!N160</f>
        <v>0</v>
      </c>
      <c r="O162" s="13"/>
      <c r="P162" s="14">
        <f>+'KY_Res by Plant Acct P16(REG)'!P160</f>
        <v>0</v>
      </c>
      <c r="Q162" s="13"/>
      <c r="R162" s="14">
        <f t="shared" si="7"/>
        <v>-3730373.6500000004</v>
      </c>
    </row>
    <row r="163" spans="1:18" outlineLevel="1" x14ac:dyDescent="0.2">
      <c r="A163" s="3" t="s">
        <v>3572</v>
      </c>
      <c r="B163" s="14">
        <f>+'KY_Res by Plant Acct P16(REG)'!B161</f>
        <v>0</v>
      </c>
      <c r="C163" s="13"/>
      <c r="D163" s="14">
        <f>+'KY_Res by Plant Acct P16(REG)'!D161</f>
        <v>-327054.75</v>
      </c>
      <c r="E163" s="13"/>
      <c r="F163" s="14">
        <f>+'KY_Res by Plant Acct P16(REG)'!F161</f>
        <v>0</v>
      </c>
      <c r="G163" s="13"/>
      <c r="H163" s="14">
        <f>+'KY_Res by Plant Acct P16(REG)'!H161</f>
        <v>0</v>
      </c>
      <c r="I163" s="13"/>
      <c r="J163" s="14">
        <f>+'KY_Res by Plant Acct P16(REG)'!J161</f>
        <v>0</v>
      </c>
      <c r="K163" s="13"/>
      <c r="L163" s="14">
        <f>+'KY_Res by Plant Acct P16(REG)'!L161</f>
        <v>0</v>
      </c>
      <c r="M163" s="13"/>
      <c r="N163" s="14">
        <f>+'KY_Res by Plant Acct P16(REG)'!N161</f>
        <v>0</v>
      </c>
      <c r="O163" s="13"/>
      <c r="P163" s="14">
        <f>+'KY_Res by Plant Acct P16(REG)'!P161</f>
        <v>0</v>
      </c>
      <c r="Q163" s="13"/>
      <c r="R163" s="14">
        <f t="shared" si="7"/>
        <v>-327054.75</v>
      </c>
    </row>
    <row r="164" spans="1:18" outlineLevel="1" x14ac:dyDescent="0.2">
      <c r="A164" s="3" t="s">
        <v>3573</v>
      </c>
      <c r="B164" s="14">
        <f>+'KY_Res by Plant Acct P16(REG)'!B162</f>
        <v>-2341530.61</v>
      </c>
      <c r="C164" s="13"/>
      <c r="D164" s="14">
        <f>+'KY_Res by Plant Acct P16(REG)'!D162</f>
        <v>-51228.84</v>
      </c>
      <c r="E164" s="13"/>
      <c r="F164" s="14">
        <f>+'KY_Res by Plant Acct P16(REG)'!F162</f>
        <v>0</v>
      </c>
      <c r="G164" s="13"/>
      <c r="H164" s="14">
        <f>+'KY_Res by Plant Acct P16(REG)'!H162</f>
        <v>0</v>
      </c>
      <c r="I164" s="13"/>
      <c r="J164" s="14">
        <f>+'KY_Res by Plant Acct P16(REG)'!J162</f>
        <v>0</v>
      </c>
      <c r="K164" s="13"/>
      <c r="L164" s="14">
        <f>+'KY_Res by Plant Acct P16(REG)'!L162</f>
        <v>0</v>
      </c>
      <c r="M164" s="13"/>
      <c r="N164" s="14">
        <f>+'KY_Res by Plant Acct P16(REG)'!N162</f>
        <v>0</v>
      </c>
      <c r="O164" s="13"/>
      <c r="P164" s="14">
        <f>+'KY_Res by Plant Acct P16(REG)'!P162</f>
        <v>0</v>
      </c>
      <c r="Q164" s="13"/>
      <c r="R164" s="14">
        <f t="shared" si="7"/>
        <v>-2392759.4499999997</v>
      </c>
    </row>
    <row r="165" spans="1:18" outlineLevel="1" x14ac:dyDescent="0.2">
      <c r="A165" s="3" t="s">
        <v>3574</v>
      </c>
      <c r="B165" s="14">
        <f>+'KY_Res by Plant Acct P16(REG)'!B163</f>
        <v>-2269180.6399999997</v>
      </c>
      <c r="C165" s="13"/>
      <c r="D165" s="14">
        <f>+'KY_Res by Plant Acct P16(REG)'!D163</f>
        <v>-189679.08</v>
      </c>
      <c r="E165" s="13"/>
      <c r="F165" s="14">
        <f>+'KY_Res by Plant Acct P16(REG)'!F163</f>
        <v>0</v>
      </c>
      <c r="G165" s="13"/>
      <c r="H165" s="14">
        <f>+'KY_Res by Plant Acct P16(REG)'!H163</f>
        <v>0</v>
      </c>
      <c r="I165" s="13"/>
      <c r="J165" s="14">
        <f>+'KY_Res by Plant Acct P16(REG)'!J163</f>
        <v>0</v>
      </c>
      <c r="K165" s="13"/>
      <c r="L165" s="14">
        <f>+'KY_Res by Plant Acct P16(REG)'!L163</f>
        <v>0</v>
      </c>
      <c r="M165" s="13"/>
      <c r="N165" s="14">
        <f>+'KY_Res by Plant Acct P16(REG)'!N163</f>
        <v>0</v>
      </c>
      <c r="O165" s="13"/>
      <c r="P165" s="14">
        <f>+'KY_Res by Plant Acct P16(REG)'!P163</f>
        <v>0</v>
      </c>
      <c r="Q165" s="13"/>
      <c r="R165" s="14">
        <f t="shared" si="7"/>
        <v>-2458859.7199999997</v>
      </c>
    </row>
    <row r="166" spans="1:18" outlineLevel="1" x14ac:dyDescent="0.2">
      <c r="A166" s="3" t="s">
        <v>3575</v>
      </c>
      <c r="B166" s="14">
        <f>+'KY_Res by Plant Acct P16(REG)'!B164</f>
        <v>-1149085.9399999997</v>
      </c>
      <c r="C166" s="13"/>
      <c r="D166" s="14">
        <f>+'KY_Res by Plant Acct P16(REG)'!D164</f>
        <v>-103950.72</v>
      </c>
      <c r="E166" s="13"/>
      <c r="F166" s="14">
        <f>+'KY_Res by Plant Acct P16(REG)'!F164</f>
        <v>0</v>
      </c>
      <c r="G166" s="13"/>
      <c r="H166" s="14">
        <f>+'KY_Res by Plant Acct P16(REG)'!H164</f>
        <v>0</v>
      </c>
      <c r="I166" s="13"/>
      <c r="J166" s="14">
        <f>+'KY_Res by Plant Acct P16(REG)'!J164</f>
        <v>0</v>
      </c>
      <c r="K166" s="13"/>
      <c r="L166" s="14">
        <f>+'KY_Res by Plant Acct P16(REG)'!L164</f>
        <v>0</v>
      </c>
      <c r="M166" s="13"/>
      <c r="N166" s="14">
        <f>+'KY_Res by Plant Acct P16(REG)'!N164</f>
        <v>0</v>
      </c>
      <c r="O166" s="13"/>
      <c r="P166" s="14">
        <f>+'KY_Res by Plant Acct P16(REG)'!P164</f>
        <v>0</v>
      </c>
      <c r="Q166" s="13"/>
      <c r="R166" s="14">
        <f t="shared" si="7"/>
        <v>-1253036.6599999997</v>
      </c>
    </row>
    <row r="167" spans="1:18" outlineLevel="1" x14ac:dyDescent="0.2">
      <c r="A167" s="3" t="s">
        <v>3576</v>
      </c>
      <c r="B167" s="14">
        <f>+'KY_Res by Plant Acct P16(REG)'!B165</f>
        <v>-1691733.11</v>
      </c>
      <c r="C167" s="13"/>
      <c r="D167" s="14">
        <f>+'KY_Res by Plant Acct P16(REG)'!D165</f>
        <v>-134032.13</v>
      </c>
      <c r="E167" s="13"/>
      <c r="F167" s="14">
        <f>+'KY_Res by Plant Acct P16(REG)'!F165</f>
        <v>0</v>
      </c>
      <c r="G167" s="13"/>
      <c r="H167" s="14">
        <f>+'KY_Res by Plant Acct P16(REG)'!H165</f>
        <v>0</v>
      </c>
      <c r="I167" s="13"/>
      <c r="J167" s="14">
        <f>+'KY_Res by Plant Acct P16(REG)'!J165</f>
        <v>0</v>
      </c>
      <c r="K167" s="13"/>
      <c r="L167" s="14">
        <f>+'KY_Res by Plant Acct P16(REG)'!L165</f>
        <v>0</v>
      </c>
      <c r="M167" s="13"/>
      <c r="N167" s="14">
        <f>+'KY_Res by Plant Acct P16(REG)'!N165</f>
        <v>0</v>
      </c>
      <c r="O167" s="13"/>
      <c r="P167" s="14">
        <f>+'KY_Res by Plant Acct P16(REG)'!P165</f>
        <v>0</v>
      </c>
      <c r="Q167" s="13"/>
      <c r="R167" s="14">
        <f t="shared" si="7"/>
        <v>-1825765.2400000002</v>
      </c>
    </row>
    <row r="168" spans="1:18" outlineLevel="1" x14ac:dyDescent="0.2">
      <c r="A168" s="3" t="s">
        <v>3577</v>
      </c>
      <c r="B168" s="14">
        <f>+'KY_Res by Plant Acct P16(REG)'!B166</f>
        <v>-1689538.4599999997</v>
      </c>
      <c r="C168" s="13"/>
      <c r="D168" s="14">
        <f>+'KY_Res by Plant Acct P16(REG)'!D166</f>
        <v>-133586.51999999999</v>
      </c>
      <c r="E168" s="13"/>
      <c r="F168" s="14">
        <f>+'KY_Res by Plant Acct P16(REG)'!F166</f>
        <v>0</v>
      </c>
      <c r="G168" s="13"/>
      <c r="H168" s="14">
        <f>+'KY_Res by Plant Acct P16(REG)'!H166</f>
        <v>0</v>
      </c>
      <c r="I168" s="13"/>
      <c r="J168" s="14">
        <f>+'KY_Res by Plant Acct P16(REG)'!J166</f>
        <v>0</v>
      </c>
      <c r="K168" s="13"/>
      <c r="L168" s="14">
        <f>+'KY_Res by Plant Acct P16(REG)'!L166</f>
        <v>0</v>
      </c>
      <c r="M168" s="13"/>
      <c r="N168" s="14">
        <f>+'KY_Res by Plant Acct P16(REG)'!N166</f>
        <v>0</v>
      </c>
      <c r="O168" s="13"/>
      <c r="P168" s="14">
        <f>+'KY_Res by Plant Acct P16(REG)'!P166</f>
        <v>0</v>
      </c>
      <c r="Q168" s="13"/>
      <c r="R168" s="14">
        <f t="shared" si="7"/>
        <v>-1823124.9799999997</v>
      </c>
    </row>
    <row r="169" spans="1:18" outlineLevel="1" x14ac:dyDescent="0.2">
      <c r="A169" s="3" t="s">
        <v>3578</v>
      </c>
      <c r="B169" s="14">
        <f>+'KY_Res by Plant Acct P16(REG)'!B167</f>
        <v>-1154958.17</v>
      </c>
      <c r="C169" s="13"/>
      <c r="D169" s="14">
        <f>+'KY_Res by Plant Acct P16(REG)'!D167</f>
        <v>-103517.88</v>
      </c>
      <c r="E169" s="13"/>
      <c r="F169" s="14">
        <f>+'KY_Res by Plant Acct P16(REG)'!F167</f>
        <v>0</v>
      </c>
      <c r="G169" s="13"/>
      <c r="H169" s="14">
        <f>+'KY_Res by Plant Acct P16(REG)'!H167</f>
        <v>0</v>
      </c>
      <c r="I169" s="13"/>
      <c r="J169" s="14">
        <f>+'KY_Res by Plant Acct P16(REG)'!J167</f>
        <v>0</v>
      </c>
      <c r="K169" s="13"/>
      <c r="L169" s="14">
        <f>+'KY_Res by Plant Acct P16(REG)'!L167</f>
        <v>0</v>
      </c>
      <c r="M169" s="13"/>
      <c r="N169" s="14">
        <f>+'KY_Res by Plant Acct P16(REG)'!N167</f>
        <v>0</v>
      </c>
      <c r="O169" s="13"/>
      <c r="P169" s="14">
        <f>+'KY_Res by Plant Acct P16(REG)'!P167</f>
        <v>0</v>
      </c>
      <c r="Q169" s="13"/>
      <c r="R169" s="14">
        <f t="shared" si="7"/>
        <v>-1258476.0499999998</v>
      </c>
    </row>
    <row r="170" spans="1:18" outlineLevel="1" x14ac:dyDescent="0.2">
      <c r="A170" s="3" t="s">
        <v>3579</v>
      </c>
      <c r="B170" s="14">
        <f>+'KY_Res by Plant Acct P16(REG)'!B168</f>
        <v>-1150135.4200000002</v>
      </c>
      <c r="C170" s="13"/>
      <c r="D170" s="14">
        <f>+'KY_Res by Plant Acct P16(REG)'!D168</f>
        <v>-103089.24</v>
      </c>
      <c r="E170" s="13"/>
      <c r="F170" s="14">
        <f>+'KY_Res by Plant Acct P16(REG)'!F168</f>
        <v>0</v>
      </c>
      <c r="G170" s="13"/>
      <c r="H170" s="14">
        <f>+'KY_Res by Plant Acct P16(REG)'!H168</f>
        <v>0</v>
      </c>
      <c r="I170" s="13"/>
      <c r="J170" s="14">
        <f>+'KY_Res by Plant Acct P16(REG)'!J168</f>
        <v>0</v>
      </c>
      <c r="K170" s="13"/>
      <c r="L170" s="14">
        <f>+'KY_Res by Plant Acct P16(REG)'!L168</f>
        <v>0</v>
      </c>
      <c r="M170" s="13"/>
      <c r="N170" s="14">
        <f>+'KY_Res by Plant Acct P16(REG)'!N168</f>
        <v>0</v>
      </c>
      <c r="O170" s="13"/>
      <c r="P170" s="14">
        <f>+'KY_Res by Plant Acct P16(REG)'!P168</f>
        <v>0</v>
      </c>
      <c r="Q170" s="13"/>
      <c r="R170" s="14">
        <f t="shared" si="7"/>
        <v>-1253224.6600000001</v>
      </c>
    </row>
    <row r="171" spans="1:18" outlineLevel="1" x14ac:dyDescent="0.2">
      <c r="A171" s="3" t="s">
        <v>3580</v>
      </c>
      <c r="B171" s="14">
        <f>+'KY_Res by Plant Acct P16(REG)'!B169</f>
        <v>-1150226.0299999998</v>
      </c>
      <c r="C171" s="13"/>
      <c r="D171" s="14">
        <f>+'KY_Res by Plant Acct P16(REG)'!D169</f>
        <v>-113078.87</v>
      </c>
      <c r="E171" s="13"/>
      <c r="F171" s="14">
        <f>+'KY_Res by Plant Acct P16(REG)'!F169</f>
        <v>432616.31</v>
      </c>
      <c r="G171" s="13"/>
      <c r="H171" s="14">
        <f>+'KY_Res by Plant Acct P16(REG)'!H169</f>
        <v>0</v>
      </c>
      <c r="I171" s="13"/>
      <c r="J171" s="14">
        <f>+'KY_Res by Plant Acct P16(REG)'!J169</f>
        <v>0</v>
      </c>
      <c r="K171" s="13"/>
      <c r="L171" s="14">
        <f>+'KY_Res by Plant Acct P16(REG)'!L169</f>
        <v>0</v>
      </c>
      <c r="M171" s="13"/>
      <c r="N171" s="14">
        <f>+'KY_Res by Plant Acct P16(REG)'!N169</f>
        <v>0</v>
      </c>
      <c r="O171" s="13"/>
      <c r="P171" s="14">
        <f>+'KY_Res by Plant Acct P16(REG)'!P169</f>
        <v>0</v>
      </c>
      <c r="Q171" s="13"/>
      <c r="R171" s="14">
        <f t="shared" si="7"/>
        <v>-830688.58999999985</v>
      </c>
    </row>
    <row r="172" spans="1:18" x14ac:dyDescent="0.2">
      <c r="A172" s="3" t="s">
        <v>3581</v>
      </c>
      <c r="B172" s="14">
        <f>SUM(B155:B171)</f>
        <v>-32807404.350000001</v>
      </c>
      <c r="C172" s="13"/>
      <c r="D172" s="14">
        <f>SUM(D155:D171)</f>
        <v>-4987589.17</v>
      </c>
      <c r="E172" s="13"/>
      <c r="F172" s="14">
        <f>SUM(F155:F171)</f>
        <v>432616.31</v>
      </c>
      <c r="G172" s="13"/>
      <c r="H172" s="14">
        <f>SUM(H155:H171)</f>
        <v>0</v>
      </c>
      <c r="I172" s="13"/>
      <c r="J172" s="14">
        <f>SUM(J155:J171)</f>
        <v>0</v>
      </c>
      <c r="K172" s="13"/>
      <c r="L172" s="14">
        <f>SUM(L155:L171)</f>
        <v>0</v>
      </c>
      <c r="M172" s="13"/>
      <c r="N172" s="14">
        <f>SUM(N155:N171)</f>
        <v>0</v>
      </c>
      <c r="O172" s="13"/>
      <c r="P172" s="14">
        <f>SUM(P155:P171)</f>
        <v>0</v>
      </c>
      <c r="Q172" s="13"/>
      <c r="R172" s="14">
        <f>SUM(R155:R171)</f>
        <v>-37362377.209999993</v>
      </c>
    </row>
    <row r="173" spans="1:18" outlineLevel="1" x14ac:dyDescent="0.2">
      <c r="A173" s="3" t="s">
        <v>3582</v>
      </c>
      <c r="B173" s="14">
        <f>+'KY_Res by Plant Acct P16(REG)'!B171</f>
        <v>-421423.9</v>
      </c>
      <c r="C173" s="13"/>
      <c r="D173" s="14">
        <f>+'KY_Res by Plant Acct P16(REG)'!D171</f>
        <v>-669864.13</v>
      </c>
      <c r="E173" s="13"/>
      <c r="F173" s="14">
        <f>+'KY_Res by Plant Acct P16(REG)'!F171</f>
        <v>0</v>
      </c>
      <c r="G173" s="13"/>
      <c r="H173" s="14">
        <f>+'KY_Res by Plant Acct P16(REG)'!H171</f>
        <v>0</v>
      </c>
      <c r="I173" s="13"/>
      <c r="J173" s="14">
        <f>+'KY_Res by Plant Acct P16(REG)'!J171</f>
        <v>0</v>
      </c>
      <c r="K173" s="13"/>
      <c r="L173" s="14">
        <f>+'KY_Res by Plant Acct P16(REG)'!L171</f>
        <v>0</v>
      </c>
      <c r="M173" s="13"/>
      <c r="N173" s="14">
        <f>+'KY_Res by Plant Acct P16(REG)'!N171</f>
        <v>0</v>
      </c>
      <c r="O173" s="13"/>
      <c r="P173" s="14">
        <f>+'KY_Res by Plant Acct P16(REG)'!P171</f>
        <v>0</v>
      </c>
      <c r="Q173" s="13"/>
      <c r="R173" s="14">
        <f>SUM(B173:P173)</f>
        <v>-1091288.03</v>
      </c>
    </row>
    <row r="174" spans="1:18" outlineLevel="1" x14ac:dyDescent="0.2">
      <c r="A174" s="3" t="s">
        <v>3583</v>
      </c>
      <c r="B174" s="14">
        <f>+'KY_Res by Plant Acct P16(REG)'!B172</f>
        <v>-1659632.9700000002</v>
      </c>
      <c r="C174" s="13"/>
      <c r="D174" s="14">
        <f>+'KY_Res by Plant Acct P16(REG)'!D172</f>
        <v>-97376.76</v>
      </c>
      <c r="E174" s="13"/>
      <c r="F174" s="14">
        <f>+'KY_Res by Plant Acct P16(REG)'!F172</f>
        <v>0</v>
      </c>
      <c r="G174" s="13"/>
      <c r="H174" s="14">
        <f>+'KY_Res by Plant Acct P16(REG)'!H172</f>
        <v>0</v>
      </c>
      <c r="I174" s="13"/>
      <c r="J174" s="14">
        <f>+'KY_Res by Plant Acct P16(REG)'!J172</f>
        <v>0</v>
      </c>
      <c r="K174" s="13"/>
      <c r="L174" s="14">
        <f>+'KY_Res by Plant Acct P16(REG)'!L172</f>
        <v>0</v>
      </c>
      <c r="M174" s="13"/>
      <c r="N174" s="14">
        <f>+'KY_Res by Plant Acct P16(REG)'!N172</f>
        <v>0</v>
      </c>
      <c r="O174" s="13"/>
      <c r="P174" s="14">
        <f>+'KY_Res by Plant Acct P16(REG)'!P172</f>
        <v>0</v>
      </c>
      <c r="Q174" s="13"/>
      <c r="R174" s="14">
        <f t="shared" ref="R174:R189" si="8">SUM(B174:P174)</f>
        <v>-1757009.7300000002</v>
      </c>
    </row>
    <row r="175" spans="1:18" outlineLevel="1" x14ac:dyDescent="0.2">
      <c r="A175" s="3" t="s">
        <v>3584</v>
      </c>
      <c r="B175" s="14">
        <f>+'KY_Res by Plant Acct P16(REG)'!B173</f>
        <v>-1381238.0999999999</v>
      </c>
      <c r="C175" s="13"/>
      <c r="D175" s="14">
        <f>+'KY_Res by Plant Acct P16(REG)'!D173</f>
        <v>-106269.48</v>
      </c>
      <c r="E175" s="13"/>
      <c r="F175" s="14">
        <f>+'KY_Res by Plant Acct P16(REG)'!F173</f>
        <v>0</v>
      </c>
      <c r="G175" s="13"/>
      <c r="H175" s="14">
        <f>+'KY_Res by Plant Acct P16(REG)'!H173</f>
        <v>0</v>
      </c>
      <c r="I175" s="13"/>
      <c r="J175" s="14">
        <f>+'KY_Res by Plant Acct P16(REG)'!J173</f>
        <v>0</v>
      </c>
      <c r="K175" s="13"/>
      <c r="L175" s="14">
        <f>+'KY_Res by Plant Acct P16(REG)'!L173</f>
        <v>0</v>
      </c>
      <c r="M175" s="13"/>
      <c r="N175" s="14">
        <f>+'KY_Res by Plant Acct P16(REG)'!N173</f>
        <v>0</v>
      </c>
      <c r="O175" s="13"/>
      <c r="P175" s="14">
        <f>+'KY_Res by Plant Acct P16(REG)'!P173</f>
        <v>0</v>
      </c>
      <c r="Q175" s="13"/>
      <c r="R175" s="14">
        <f t="shared" si="8"/>
        <v>-1487507.5799999998</v>
      </c>
    </row>
    <row r="176" spans="1:18" outlineLevel="1" x14ac:dyDescent="0.2">
      <c r="A176" s="3" t="s">
        <v>3585</v>
      </c>
      <c r="B176" s="14">
        <f>+'KY_Res by Plant Acct P16(REG)'!B174</f>
        <v>-1003516.0499999999</v>
      </c>
      <c r="C176" s="13"/>
      <c r="D176" s="14">
        <f>+'KY_Res by Plant Acct P16(REG)'!D174</f>
        <v>-90099.12</v>
      </c>
      <c r="E176" s="13"/>
      <c r="F176" s="14">
        <f>+'KY_Res by Plant Acct P16(REG)'!F174</f>
        <v>0</v>
      </c>
      <c r="G176" s="13"/>
      <c r="H176" s="14">
        <f>+'KY_Res by Plant Acct P16(REG)'!H174</f>
        <v>0</v>
      </c>
      <c r="I176" s="13"/>
      <c r="J176" s="14">
        <f>+'KY_Res by Plant Acct P16(REG)'!J174</f>
        <v>0</v>
      </c>
      <c r="K176" s="13"/>
      <c r="L176" s="14">
        <f>+'KY_Res by Plant Acct P16(REG)'!L174</f>
        <v>0</v>
      </c>
      <c r="M176" s="13"/>
      <c r="N176" s="14">
        <f>+'KY_Res by Plant Acct P16(REG)'!N174</f>
        <v>0</v>
      </c>
      <c r="O176" s="13"/>
      <c r="P176" s="14">
        <f>+'KY_Res by Plant Acct P16(REG)'!P174</f>
        <v>0</v>
      </c>
      <c r="Q176" s="13"/>
      <c r="R176" s="14">
        <f t="shared" si="8"/>
        <v>-1093615.17</v>
      </c>
    </row>
    <row r="177" spans="1:18" outlineLevel="1" x14ac:dyDescent="0.2">
      <c r="A177" s="3" t="s">
        <v>3586</v>
      </c>
      <c r="B177" s="14">
        <f>+'KY_Res by Plant Acct P16(REG)'!B175</f>
        <v>-987424.86999999988</v>
      </c>
      <c r="C177" s="13"/>
      <c r="D177" s="14">
        <f>+'KY_Res by Plant Acct P16(REG)'!D175</f>
        <v>-80863.08</v>
      </c>
      <c r="E177" s="13"/>
      <c r="F177" s="14">
        <f>+'KY_Res by Plant Acct P16(REG)'!F175</f>
        <v>0</v>
      </c>
      <c r="G177" s="13"/>
      <c r="H177" s="14">
        <f>+'KY_Res by Plant Acct P16(REG)'!H175</f>
        <v>0</v>
      </c>
      <c r="I177" s="13"/>
      <c r="J177" s="14">
        <f>+'KY_Res by Plant Acct P16(REG)'!J175</f>
        <v>0</v>
      </c>
      <c r="K177" s="13"/>
      <c r="L177" s="14">
        <f>+'KY_Res by Plant Acct P16(REG)'!L175</f>
        <v>0</v>
      </c>
      <c r="M177" s="13"/>
      <c r="N177" s="14">
        <f>+'KY_Res by Plant Acct P16(REG)'!N175</f>
        <v>0</v>
      </c>
      <c r="O177" s="13"/>
      <c r="P177" s="14">
        <f>+'KY_Res by Plant Acct P16(REG)'!P175</f>
        <v>0</v>
      </c>
      <c r="Q177" s="13"/>
      <c r="R177" s="14">
        <f t="shared" si="8"/>
        <v>-1068287.95</v>
      </c>
    </row>
    <row r="178" spans="1:18" outlineLevel="1" x14ac:dyDescent="0.2">
      <c r="A178" s="3" t="s">
        <v>3587</v>
      </c>
      <c r="B178" s="14">
        <f>+'KY_Res by Plant Acct P16(REG)'!B176</f>
        <v>-966000.32</v>
      </c>
      <c r="C178" s="13"/>
      <c r="D178" s="14">
        <f>+'KY_Res by Plant Acct P16(REG)'!D176</f>
        <v>-79488.36</v>
      </c>
      <c r="E178" s="13"/>
      <c r="F178" s="14">
        <f>+'KY_Res by Plant Acct P16(REG)'!F176</f>
        <v>0</v>
      </c>
      <c r="G178" s="13"/>
      <c r="H178" s="14">
        <f>+'KY_Res by Plant Acct P16(REG)'!H176</f>
        <v>0</v>
      </c>
      <c r="I178" s="13"/>
      <c r="J178" s="14">
        <f>+'KY_Res by Plant Acct P16(REG)'!J176</f>
        <v>0</v>
      </c>
      <c r="K178" s="13"/>
      <c r="L178" s="14">
        <f>+'KY_Res by Plant Acct P16(REG)'!L176</f>
        <v>0</v>
      </c>
      <c r="M178" s="13"/>
      <c r="N178" s="14">
        <f>+'KY_Res by Plant Acct P16(REG)'!N176</f>
        <v>0</v>
      </c>
      <c r="O178" s="13"/>
      <c r="P178" s="14">
        <f>+'KY_Res by Plant Acct P16(REG)'!P176</f>
        <v>0</v>
      </c>
      <c r="Q178" s="13"/>
      <c r="R178" s="14">
        <f t="shared" si="8"/>
        <v>-1045488.6799999999</v>
      </c>
    </row>
    <row r="179" spans="1:18" outlineLevel="1" x14ac:dyDescent="0.2">
      <c r="A179" s="3" t="s">
        <v>3588</v>
      </c>
      <c r="B179" s="14">
        <f>+'KY_Res by Plant Acct P16(REG)'!B177</f>
        <v>-1750768.7099999997</v>
      </c>
      <c r="C179" s="13"/>
      <c r="D179" s="14">
        <f>+'KY_Res by Plant Acct P16(REG)'!D177</f>
        <v>-134051.4</v>
      </c>
      <c r="E179" s="13"/>
      <c r="F179" s="14">
        <f>+'KY_Res by Plant Acct P16(REG)'!F177</f>
        <v>0</v>
      </c>
      <c r="G179" s="13"/>
      <c r="H179" s="14">
        <f>+'KY_Res by Plant Acct P16(REG)'!H177</f>
        <v>0</v>
      </c>
      <c r="I179" s="13"/>
      <c r="J179" s="14">
        <f>+'KY_Res by Plant Acct P16(REG)'!J177</f>
        <v>0</v>
      </c>
      <c r="K179" s="13"/>
      <c r="L179" s="14">
        <f>+'KY_Res by Plant Acct P16(REG)'!L177</f>
        <v>0</v>
      </c>
      <c r="M179" s="13"/>
      <c r="N179" s="14">
        <f>+'KY_Res by Plant Acct P16(REG)'!N177</f>
        <v>0</v>
      </c>
      <c r="O179" s="13"/>
      <c r="P179" s="14">
        <f>+'KY_Res by Plant Acct P16(REG)'!P177</f>
        <v>0</v>
      </c>
      <c r="Q179" s="13"/>
      <c r="R179" s="14">
        <f t="shared" si="8"/>
        <v>-1884820.1099999996</v>
      </c>
    </row>
    <row r="180" spans="1:18" outlineLevel="1" x14ac:dyDescent="0.2">
      <c r="A180" s="3" t="s">
        <v>3589</v>
      </c>
      <c r="B180" s="14">
        <f>+'KY_Res by Plant Acct P16(REG)'!B178</f>
        <v>-2494754.1</v>
      </c>
      <c r="C180" s="13"/>
      <c r="D180" s="14">
        <f>+'KY_Res by Plant Acct P16(REG)'!D178</f>
        <v>-142156.20000000001</v>
      </c>
      <c r="E180" s="13"/>
      <c r="F180" s="14">
        <f>+'KY_Res by Plant Acct P16(REG)'!F178</f>
        <v>0</v>
      </c>
      <c r="G180" s="13"/>
      <c r="H180" s="14">
        <f>+'KY_Res by Plant Acct P16(REG)'!H178</f>
        <v>0</v>
      </c>
      <c r="I180" s="13"/>
      <c r="J180" s="14">
        <f>+'KY_Res by Plant Acct P16(REG)'!J178</f>
        <v>0</v>
      </c>
      <c r="K180" s="13"/>
      <c r="L180" s="14">
        <f>+'KY_Res by Plant Acct P16(REG)'!L178</f>
        <v>0</v>
      </c>
      <c r="M180" s="13"/>
      <c r="N180" s="14">
        <f>+'KY_Res by Plant Acct P16(REG)'!N178</f>
        <v>0</v>
      </c>
      <c r="O180" s="13"/>
      <c r="P180" s="14">
        <f>+'KY_Res by Plant Acct P16(REG)'!P178</f>
        <v>0</v>
      </c>
      <c r="Q180" s="13"/>
      <c r="R180" s="14">
        <f t="shared" si="8"/>
        <v>-2636910.3000000003</v>
      </c>
    </row>
    <row r="181" spans="1:18" outlineLevel="1" x14ac:dyDescent="0.2">
      <c r="A181" s="3" t="s">
        <v>3590</v>
      </c>
      <c r="B181" s="14">
        <f>+'KY_Res by Plant Acct P16(REG)'!B179</f>
        <v>0</v>
      </c>
      <c r="C181" s="13"/>
      <c r="D181" s="14">
        <f>+'KY_Res by Plant Acct P16(REG)'!D179</f>
        <v>-15968.27</v>
      </c>
      <c r="E181" s="13"/>
      <c r="F181" s="14">
        <f>+'KY_Res by Plant Acct P16(REG)'!F179</f>
        <v>0</v>
      </c>
      <c r="G181" s="13"/>
      <c r="H181" s="14">
        <f>+'KY_Res by Plant Acct P16(REG)'!H179</f>
        <v>0</v>
      </c>
      <c r="I181" s="13"/>
      <c r="J181" s="14">
        <f>+'KY_Res by Plant Acct P16(REG)'!J179</f>
        <v>0</v>
      </c>
      <c r="K181" s="13"/>
      <c r="L181" s="14">
        <f>+'KY_Res by Plant Acct P16(REG)'!L179</f>
        <v>0</v>
      </c>
      <c r="M181" s="13"/>
      <c r="N181" s="14">
        <f>+'KY_Res by Plant Acct P16(REG)'!N179</f>
        <v>0</v>
      </c>
      <c r="O181" s="13"/>
      <c r="P181" s="14">
        <f>+'KY_Res by Plant Acct P16(REG)'!P179</f>
        <v>0</v>
      </c>
      <c r="Q181" s="13"/>
      <c r="R181" s="14">
        <f t="shared" si="8"/>
        <v>-15968.27</v>
      </c>
    </row>
    <row r="182" spans="1:18" outlineLevel="1" x14ac:dyDescent="0.2">
      <c r="A182" s="3" t="s">
        <v>3591</v>
      </c>
      <c r="B182" s="14">
        <f>+'KY_Res by Plant Acct P16(REG)'!B180</f>
        <v>-105619.12000000002</v>
      </c>
      <c r="C182" s="13"/>
      <c r="D182" s="14">
        <f>+'KY_Res by Plant Acct P16(REG)'!D180</f>
        <v>-62525.760000000002</v>
      </c>
      <c r="E182" s="13"/>
      <c r="F182" s="14">
        <f>+'KY_Res by Plant Acct P16(REG)'!F180</f>
        <v>0</v>
      </c>
      <c r="G182" s="13"/>
      <c r="H182" s="14">
        <f>+'KY_Res by Plant Acct P16(REG)'!H180</f>
        <v>0</v>
      </c>
      <c r="I182" s="13"/>
      <c r="J182" s="14">
        <f>+'KY_Res by Plant Acct P16(REG)'!J180</f>
        <v>0</v>
      </c>
      <c r="K182" s="13"/>
      <c r="L182" s="14">
        <f>+'KY_Res by Plant Acct P16(REG)'!L180</f>
        <v>0</v>
      </c>
      <c r="M182" s="13"/>
      <c r="N182" s="14">
        <f>+'KY_Res by Plant Acct P16(REG)'!N180</f>
        <v>0</v>
      </c>
      <c r="O182" s="13"/>
      <c r="P182" s="14">
        <f>+'KY_Res by Plant Acct P16(REG)'!P180</f>
        <v>0</v>
      </c>
      <c r="Q182" s="13"/>
      <c r="R182" s="14">
        <f t="shared" si="8"/>
        <v>-168144.88000000003</v>
      </c>
    </row>
    <row r="183" spans="1:18" outlineLevel="1" x14ac:dyDescent="0.2">
      <c r="A183" s="3" t="s">
        <v>3592</v>
      </c>
      <c r="B183" s="14">
        <f>+'KY_Res by Plant Acct P16(REG)'!B181</f>
        <v>-1141301.55</v>
      </c>
      <c r="C183" s="13"/>
      <c r="D183" s="14">
        <f>+'KY_Res by Plant Acct P16(REG)'!D181</f>
        <v>-90487.32</v>
      </c>
      <c r="E183" s="13"/>
      <c r="F183" s="14">
        <f>+'KY_Res by Plant Acct P16(REG)'!F181</f>
        <v>0</v>
      </c>
      <c r="G183" s="13"/>
      <c r="H183" s="14">
        <f>+'KY_Res by Plant Acct P16(REG)'!H181</f>
        <v>0</v>
      </c>
      <c r="I183" s="13"/>
      <c r="J183" s="14">
        <f>+'KY_Res by Plant Acct P16(REG)'!J181</f>
        <v>0</v>
      </c>
      <c r="K183" s="13"/>
      <c r="L183" s="14">
        <f>+'KY_Res by Plant Acct P16(REG)'!L181</f>
        <v>0</v>
      </c>
      <c r="M183" s="13"/>
      <c r="N183" s="14">
        <f>+'KY_Res by Plant Acct P16(REG)'!N181</f>
        <v>0</v>
      </c>
      <c r="O183" s="13"/>
      <c r="P183" s="14">
        <f>+'KY_Res by Plant Acct P16(REG)'!P181</f>
        <v>0</v>
      </c>
      <c r="Q183" s="13"/>
      <c r="R183" s="14">
        <f t="shared" si="8"/>
        <v>-1231788.8700000001</v>
      </c>
    </row>
    <row r="184" spans="1:18" outlineLevel="1" x14ac:dyDescent="0.2">
      <c r="A184" s="3" t="s">
        <v>3953</v>
      </c>
      <c r="B184" s="14">
        <f>+'KY_Res by Plant Acct P16(REG)'!B182</f>
        <v>-2513401.3900000006</v>
      </c>
      <c r="C184" s="13"/>
      <c r="D184" s="14">
        <f>+'KY_Res by Plant Acct P16(REG)'!D182</f>
        <v>-283045.27</v>
      </c>
      <c r="E184" s="13"/>
      <c r="F184" s="14">
        <f>+'KY_Res by Plant Acct P16(REG)'!F182</f>
        <v>0</v>
      </c>
      <c r="G184" s="13"/>
      <c r="H184" s="14">
        <f>+'KY_Res by Plant Acct P16(REG)'!H182</f>
        <v>0</v>
      </c>
      <c r="I184" s="13"/>
      <c r="J184" s="14">
        <f>+'KY_Res by Plant Acct P16(REG)'!J182</f>
        <v>0</v>
      </c>
      <c r="K184" s="13"/>
      <c r="L184" s="14">
        <f>+'KY_Res by Plant Acct P16(REG)'!L182</f>
        <v>0</v>
      </c>
      <c r="M184" s="13"/>
      <c r="N184" s="14">
        <f>+'KY_Res by Plant Acct P16(REG)'!N182</f>
        <v>0</v>
      </c>
      <c r="O184" s="13"/>
      <c r="P184" s="14">
        <f>+'KY_Res by Plant Acct P16(REG)'!P182</f>
        <v>0</v>
      </c>
      <c r="Q184" s="13"/>
      <c r="R184" s="14">
        <f t="shared" si="8"/>
        <v>-2796446.6600000006</v>
      </c>
    </row>
    <row r="185" spans="1:18" outlineLevel="1" x14ac:dyDescent="0.2">
      <c r="A185" s="3" t="s">
        <v>3954</v>
      </c>
      <c r="B185" s="14">
        <f>+'KY_Res by Plant Acct P16(REG)'!B183</f>
        <v>-754635.43</v>
      </c>
      <c r="C185" s="13"/>
      <c r="D185" s="14">
        <f>+'KY_Res by Plant Acct P16(REG)'!D183</f>
        <v>-68863.61</v>
      </c>
      <c r="E185" s="13"/>
      <c r="F185" s="14">
        <f>+'KY_Res by Plant Acct P16(REG)'!F183</f>
        <v>39736.089999999997</v>
      </c>
      <c r="G185" s="13"/>
      <c r="H185" s="14">
        <f>+'KY_Res by Plant Acct P16(REG)'!H183</f>
        <v>0</v>
      </c>
      <c r="I185" s="13"/>
      <c r="J185" s="14">
        <f>+'KY_Res by Plant Acct P16(REG)'!J183</f>
        <v>0</v>
      </c>
      <c r="K185" s="13"/>
      <c r="L185" s="14">
        <f>+'KY_Res by Plant Acct P16(REG)'!L183</f>
        <v>0</v>
      </c>
      <c r="M185" s="13"/>
      <c r="N185" s="14">
        <f>+'KY_Res by Plant Acct P16(REG)'!N183</f>
        <v>0</v>
      </c>
      <c r="O185" s="13"/>
      <c r="P185" s="14">
        <f>+'KY_Res by Plant Acct P16(REG)'!P183</f>
        <v>0</v>
      </c>
      <c r="Q185" s="13"/>
      <c r="R185" s="14">
        <f t="shared" si="8"/>
        <v>-783762.95000000007</v>
      </c>
    </row>
    <row r="186" spans="1:18" outlineLevel="1" x14ac:dyDescent="0.2">
      <c r="A186" s="3" t="s">
        <v>3955</v>
      </c>
      <c r="B186" s="14">
        <f>+'KY_Res by Plant Acct P16(REG)'!B184</f>
        <v>-1688232.24</v>
      </c>
      <c r="C186" s="13"/>
      <c r="D186" s="14">
        <f>+'KY_Res by Plant Acct P16(REG)'!D184</f>
        <v>-180502.59</v>
      </c>
      <c r="E186" s="13"/>
      <c r="F186" s="14">
        <f>+'KY_Res by Plant Acct P16(REG)'!F184</f>
        <v>39736.089999999997</v>
      </c>
      <c r="G186" s="13"/>
      <c r="H186" s="14">
        <f>+'KY_Res by Plant Acct P16(REG)'!H184</f>
        <v>0</v>
      </c>
      <c r="I186" s="13"/>
      <c r="J186" s="14">
        <f>+'KY_Res by Plant Acct P16(REG)'!J184</f>
        <v>0</v>
      </c>
      <c r="K186" s="13"/>
      <c r="L186" s="14">
        <f>+'KY_Res by Plant Acct P16(REG)'!L184</f>
        <v>0</v>
      </c>
      <c r="M186" s="13"/>
      <c r="N186" s="14">
        <f>+'KY_Res by Plant Acct P16(REG)'!N184</f>
        <v>0</v>
      </c>
      <c r="O186" s="13"/>
      <c r="P186" s="14">
        <f>+'KY_Res by Plant Acct P16(REG)'!P184</f>
        <v>0</v>
      </c>
      <c r="Q186" s="13"/>
      <c r="R186" s="14">
        <f t="shared" si="8"/>
        <v>-1828998.74</v>
      </c>
    </row>
    <row r="187" spans="1:18" outlineLevel="1" x14ac:dyDescent="0.2">
      <c r="A187" s="3" t="s">
        <v>3956</v>
      </c>
      <c r="B187" s="14">
        <f>+'KY_Res by Plant Acct P16(REG)'!B185</f>
        <v>-1250888.4300000002</v>
      </c>
      <c r="C187" s="13"/>
      <c r="D187" s="14">
        <f>+'KY_Res by Plant Acct P16(REG)'!D185</f>
        <v>-136222.51999999999</v>
      </c>
      <c r="E187" s="13"/>
      <c r="F187" s="14">
        <f>+'KY_Res by Plant Acct P16(REG)'!F185</f>
        <v>36029</v>
      </c>
      <c r="G187" s="13"/>
      <c r="H187" s="14">
        <f>+'KY_Res by Plant Acct P16(REG)'!H185</f>
        <v>0</v>
      </c>
      <c r="I187" s="13"/>
      <c r="J187" s="14">
        <f>+'KY_Res by Plant Acct P16(REG)'!J185</f>
        <v>0</v>
      </c>
      <c r="K187" s="13"/>
      <c r="L187" s="14">
        <f>+'KY_Res by Plant Acct P16(REG)'!L185</f>
        <v>0</v>
      </c>
      <c r="M187" s="13"/>
      <c r="N187" s="14">
        <f>+'KY_Res by Plant Acct P16(REG)'!N185</f>
        <v>0</v>
      </c>
      <c r="O187" s="13"/>
      <c r="P187" s="14">
        <f>+'KY_Res by Plant Acct P16(REG)'!P185</f>
        <v>0</v>
      </c>
      <c r="Q187" s="13"/>
      <c r="R187" s="14">
        <f t="shared" si="8"/>
        <v>-1351081.9500000002</v>
      </c>
    </row>
    <row r="188" spans="1:18" outlineLevel="1" x14ac:dyDescent="0.2">
      <c r="A188" s="3" t="s">
        <v>3957</v>
      </c>
      <c r="B188" s="14">
        <f>+'KY_Res by Plant Acct P16(REG)'!B186</f>
        <v>-1229820.04</v>
      </c>
      <c r="C188" s="13"/>
      <c r="D188" s="14">
        <f>+'KY_Res by Plant Acct P16(REG)'!D186</f>
        <v>-116678.86</v>
      </c>
      <c r="E188" s="13"/>
      <c r="F188" s="14">
        <f>+'KY_Res by Plant Acct P16(REG)'!F186</f>
        <v>0</v>
      </c>
      <c r="G188" s="13"/>
      <c r="H188" s="14">
        <f>+'KY_Res by Plant Acct P16(REG)'!H186</f>
        <v>0</v>
      </c>
      <c r="I188" s="13"/>
      <c r="J188" s="14">
        <f>+'KY_Res by Plant Acct P16(REG)'!J186</f>
        <v>0</v>
      </c>
      <c r="K188" s="13"/>
      <c r="L188" s="14">
        <f>+'KY_Res by Plant Acct P16(REG)'!L186</f>
        <v>0</v>
      </c>
      <c r="M188" s="13"/>
      <c r="N188" s="14">
        <f>+'KY_Res by Plant Acct P16(REG)'!N186</f>
        <v>0</v>
      </c>
      <c r="O188" s="13"/>
      <c r="P188" s="14">
        <f>+'KY_Res by Plant Acct P16(REG)'!P186</f>
        <v>0</v>
      </c>
      <c r="Q188" s="13"/>
      <c r="R188" s="14">
        <f t="shared" si="8"/>
        <v>-1346498.9000000001</v>
      </c>
    </row>
    <row r="189" spans="1:18" outlineLevel="1" x14ac:dyDescent="0.2">
      <c r="A189" s="3" t="s">
        <v>3958</v>
      </c>
      <c r="B189" s="14">
        <f>+'KY_Res by Plant Acct P16(REG)'!B187</f>
        <v>-1257225.4400000002</v>
      </c>
      <c r="C189" s="13"/>
      <c r="D189" s="14">
        <f>+'KY_Res by Plant Acct P16(REG)'!D187</f>
        <v>-120609.46</v>
      </c>
      <c r="E189" s="13"/>
      <c r="F189" s="14">
        <f>+'KY_Res by Plant Acct P16(REG)'!F187</f>
        <v>0</v>
      </c>
      <c r="G189" s="13"/>
      <c r="H189" s="14">
        <f>+'KY_Res by Plant Acct P16(REG)'!H187</f>
        <v>0</v>
      </c>
      <c r="I189" s="13"/>
      <c r="J189" s="14">
        <f>+'KY_Res by Plant Acct P16(REG)'!J187</f>
        <v>0</v>
      </c>
      <c r="K189" s="13"/>
      <c r="L189" s="14">
        <f>+'KY_Res by Plant Acct P16(REG)'!L187</f>
        <v>0</v>
      </c>
      <c r="M189" s="13"/>
      <c r="N189" s="14">
        <f>+'KY_Res by Plant Acct P16(REG)'!N187</f>
        <v>0</v>
      </c>
      <c r="O189" s="13"/>
      <c r="P189" s="14">
        <f>+'KY_Res by Plant Acct P16(REG)'!P187</f>
        <v>0</v>
      </c>
      <c r="Q189" s="13"/>
      <c r="R189" s="14">
        <f t="shared" si="8"/>
        <v>-1377834.9000000001</v>
      </c>
    </row>
    <row r="190" spans="1:18" x14ac:dyDescent="0.2">
      <c r="A190" s="3" t="s">
        <v>3599</v>
      </c>
      <c r="B190" s="14">
        <f>SUM(B173:B189)</f>
        <v>-20605882.66</v>
      </c>
      <c r="C190" s="13"/>
      <c r="D190" s="14">
        <f>SUM(D173:D189)</f>
        <v>-2475072.19</v>
      </c>
      <c r="E190" s="13"/>
      <c r="F190" s="14">
        <f>SUM(F173:F189)</f>
        <v>115501.18</v>
      </c>
      <c r="G190" s="13"/>
      <c r="H190" s="14">
        <f>SUM(H173:H189)</f>
        <v>0</v>
      </c>
      <c r="I190" s="13"/>
      <c r="J190" s="14">
        <f>SUM(J173:J189)</f>
        <v>0</v>
      </c>
      <c r="K190" s="13"/>
      <c r="L190" s="14">
        <f>SUM(L173:L189)</f>
        <v>0</v>
      </c>
      <c r="M190" s="13"/>
      <c r="N190" s="14">
        <f>SUM(N173:N189)</f>
        <v>0</v>
      </c>
      <c r="O190" s="13"/>
      <c r="P190" s="14">
        <f>SUM(P173:P189)</f>
        <v>0</v>
      </c>
      <c r="Q190" s="13"/>
      <c r="R190" s="14">
        <f>SUM(R173:R189)</f>
        <v>-22965453.669999994</v>
      </c>
    </row>
    <row r="191" spans="1:18" outlineLevel="1" x14ac:dyDescent="0.2">
      <c r="A191" s="3" t="s">
        <v>3959</v>
      </c>
      <c r="B191" s="14">
        <f>+'KY_Res by Plant Acct P16(REG)'!B189</f>
        <v>0</v>
      </c>
      <c r="C191" s="13"/>
      <c r="D191" s="14">
        <f>+'KY_Res by Plant Acct P16(REG)'!D189</f>
        <v>0</v>
      </c>
      <c r="E191" s="13"/>
      <c r="F191" s="14">
        <f>+'KY_Res by Plant Acct P16(REG)'!F189</f>
        <v>0</v>
      </c>
      <c r="G191" s="13"/>
      <c r="H191" s="14">
        <f>+'KY_Res by Plant Acct P16(REG)'!H189</f>
        <v>0</v>
      </c>
      <c r="I191" s="13"/>
      <c r="J191" s="14">
        <f>+'KY_Res by Plant Acct P16(REG)'!J189</f>
        <v>0</v>
      </c>
      <c r="K191" s="13"/>
      <c r="L191" s="14">
        <f>+'KY_Res by Plant Acct P16(REG)'!L189</f>
        <v>0</v>
      </c>
      <c r="M191" s="13"/>
      <c r="N191" s="14">
        <f>+'KY_Res by Plant Acct P16(REG)'!N189</f>
        <v>0</v>
      </c>
      <c r="O191" s="13"/>
      <c r="P191" s="14">
        <f>+'KY_Res by Plant Acct P16(REG)'!P189</f>
        <v>0</v>
      </c>
      <c r="Q191" s="13"/>
      <c r="R191" s="14">
        <f t="shared" ref="R191:R199" si="9">SUM(B191:P191)</f>
        <v>0</v>
      </c>
    </row>
    <row r="192" spans="1:18" outlineLevel="1" x14ac:dyDescent="0.2">
      <c r="A192" s="3" t="s">
        <v>3960</v>
      </c>
      <c r="B192" s="14">
        <f>+'KY_Res by Plant Acct P16(REG)'!B190</f>
        <v>0</v>
      </c>
      <c r="C192" s="13"/>
      <c r="D192" s="14">
        <f>+'KY_Res by Plant Acct P16(REG)'!D190</f>
        <v>0</v>
      </c>
      <c r="E192" s="13"/>
      <c r="F192" s="14">
        <f>+'KY_Res by Plant Acct P16(REG)'!F190</f>
        <v>0</v>
      </c>
      <c r="G192" s="13"/>
      <c r="H192" s="14">
        <f>+'KY_Res by Plant Acct P16(REG)'!H190</f>
        <v>0</v>
      </c>
      <c r="I192" s="13"/>
      <c r="J192" s="14">
        <f>+'KY_Res by Plant Acct P16(REG)'!J190</f>
        <v>0</v>
      </c>
      <c r="K192" s="13"/>
      <c r="L192" s="14">
        <f>+'KY_Res by Plant Acct P16(REG)'!L190</f>
        <v>0</v>
      </c>
      <c r="M192" s="13"/>
      <c r="N192" s="14">
        <f>+'KY_Res by Plant Acct P16(REG)'!N190</f>
        <v>0</v>
      </c>
      <c r="O192" s="13"/>
      <c r="P192" s="14">
        <f>+'KY_Res by Plant Acct P16(REG)'!P190</f>
        <v>0</v>
      </c>
      <c r="Q192" s="13"/>
      <c r="R192" s="14">
        <f t="shared" si="9"/>
        <v>0</v>
      </c>
    </row>
    <row r="193" spans="1:18" outlineLevel="1" x14ac:dyDescent="0.2">
      <c r="A193" s="3" t="s">
        <v>3961</v>
      </c>
      <c r="B193" s="14">
        <f>+'KY_Res by Plant Acct P16(REG)'!B191</f>
        <v>0</v>
      </c>
      <c r="C193" s="13"/>
      <c r="D193" s="14">
        <f>+'KY_Res by Plant Acct P16(REG)'!D191</f>
        <v>0</v>
      </c>
      <c r="E193" s="13"/>
      <c r="F193" s="14">
        <f>+'KY_Res by Plant Acct P16(REG)'!F191</f>
        <v>0</v>
      </c>
      <c r="G193" s="13"/>
      <c r="H193" s="14">
        <f>+'KY_Res by Plant Acct P16(REG)'!H191</f>
        <v>0</v>
      </c>
      <c r="I193" s="13"/>
      <c r="J193" s="14">
        <f>+'KY_Res by Plant Acct P16(REG)'!J191</f>
        <v>0</v>
      </c>
      <c r="K193" s="13"/>
      <c r="L193" s="14">
        <f>+'KY_Res by Plant Acct P16(REG)'!L191</f>
        <v>0</v>
      </c>
      <c r="M193" s="13"/>
      <c r="N193" s="14">
        <f>+'KY_Res by Plant Acct P16(REG)'!N191</f>
        <v>0</v>
      </c>
      <c r="O193" s="13"/>
      <c r="P193" s="14">
        <f>+'KY_Res by Plant Acct P16(REG)'!P191</f>
        <v>0</v>
      </c>
      <c r="Q193" s="13"/>
      <c r="R193" s="14">
        <f t="shared" si="9"/>
        <v>0</v>
      </c>
    </row>
    <row r="194" spans="1:18" outlineLevel="1" x14ac:dyDescent="0.2">
      <c r="A194" s="3" t="s">
        <v>3962</v>
      </c>
      <c r="B194" s="14">
        <f>+'KY_Res by Plant Acct P16(REG)'!B192</f>
        <v>0</v>
      </c>
      <c r="C194" s="13"/>
      <c r="D194" s="14">
        <f>+'KY_Res by Plant Acct P16(REG)'!D192</f>
        <v>0</v>
      </c>
      <c r="E194" s="13"/>
      <c r="F194" s="14">
        <f>+'KY_Res by Plant Acct P16(REG)'!F192</f>
        <v>0</v>
      </c>
      <c r="G194" s="13"/>
      <c r="H194" s="14">
        <f>+'KY_Res by Plant Acct P16(REG)'!H192</f>
        <v>0</v>
      </c>
      <c r="I194" s="13"/>
      <c r="J194" s="14">
        <f>+'KY_Res by Plant Acct P16(REG)'!J192</f>
        <v>0</v>
      </c>
      <c r="K194" s="13"/>
      <c r="L194" s="14">
        <f>+'KY_Res by Plant Acct P16(REG)'!L192</f>
        <v>0</v>
      </c>
      <c r="M194" s="13"/>
      <c r="N194" s="14">
        <f>+'KY_Res by Plant Acct P16(REG)'!N192</f>
        <v>0</v>
      </c>
      <c r="O194" s="13"/>
      <c r="P194" s="14">
        <f>+'KY_Res by Plant Acct P16(REG)'!P192</f>
        <v>0</v>
      </c>
      <c r="Q194" s="13"/>
      <c r="R194" s="14">
        <f t="shared" si="9"/>
        <v>0</v>
      </c>
    </row>
    <row r="195" spans="1:18" outlineLevel="1" x14ac:dyDescent="0.2">
      <c r="A195" s="3" t="s">
        <v>3963</v>
      </c>
      <c r="B195" s="14">
        <f>+'KY_Res by Plant Acct P16(REG)'!B193</f>
        <v>0</v>
      </c>
      <c r="C195" s="13"/>
      <c r="D195" s="14">
        <f>+'KY_Res by Plant Acct P16(REG)'!D193</f>
        <v>0</v>
      </c>
      <c r="E195" s="13"/>
      <c r="F195" s="14">
        <f>+'KY_Res by Plant Acct P16(REG)'!F193</f>
        <v>0</v>
      </c>
      <c r="G195" s="13"/>
      <c r="H195" s="14">
        <f>+'KY_Res by Plant Acct P16(REG)'!H193</f>
        <v>0</v>
      </c>
      <c r="I195" s="13"/>
      <c r="J195" s="14">
        <f>+'KY_Res by Plant Acct P16(REG)'!J193</f>
        <v>0</v>
      </c>
      <c r="K195" s="13"/>
      <c r="L195" s="14">
        <f>+'KY_Res by Plant Acct P16(REG)'!L193</f>
        <v>0</v>
      </c>
      <c r="M195" s="13"/>
      <c r="N195" s="14">
        <f>+'KY_Res by Plant Acct P16(REG)'!N193</f>
        <v>0</v>
      </c>
      <c r="O195" s="13"/>
      <c r="P195" s="14">
        <f>+'KY_Res by Plant Acct P16(REG)'!P193</f>
        <v>0</v>
      </c>
      <c r="Q195" s="13"/>
      <c r="R195" s="14">
        <f t="shared" si="9"/>
        <v>0</v>
      </c>
    </row>
    <row r="196" spans="1:18" outlineLevel="1" x14ac:dyDescent="0.2">
      <c r="A196" s="3" t="s">
        <v>3964</v>
      </c>
      <c r="B196" s="14">
        <f>+'KY_Res by Plant Acct P16(REG)'!B194</f>
        <v>0</v>
      </c>
      <c r="C196" s="13"/>
      <c r="D196" s="14">
        <f>+'KY_Res by Plant Acct P16(REG)'!D194</f>
        <v>0</v>
      </c>
      <c r="E196" s="13"/>
      <c r="F196" s="14">
        <f>+'KY_Res by Plant Acct P16(REG)'!F194</f>
        <v>0</v>
      </c>
      <c r="G196" s="13"/>
      <c r="H196" s="14">
        <f>+'KY_Res by Plant Acct P16(REG)'!H194</f>
        <v>0</v>
      </c>
      <c r="I196" s="13"/>
      <c r="J196" s="14">
        <f>+'KY_Res by Plant Acct P16(REG)'!J194</f>
        <v>0</v>
      </c>
      <c r="K196" s="13"/>
      <c r="L196" s="14">
        <f>+'KY_Res by Plant Acct P16(REG)'!L194</f>
        <v>0</v>
      </c>
      <c r="M196" s="13"/>
      <c r="N196" s="14">
        <f>+'KY_Res by Plant Acct P16(REG)'!N194</f>
        <v>0</v>
      </c>
      <c r="O196" s="13"/>
      <c r="P196" s="14">
        <f>+'KY_Res by Plant Acct P16(REG)'!P194</f>
        <v>0</v>
      </c>
      <c r="Q196" s="13"/>
      <c r="R196" s="14">
        <f t="shared" si="9"/>
        <v>0</v>
      </c>
    </row>
    <row r="197" spans="1:18" outlineLevel="1" x14ac:dyDescent="0.2">
      <c r="A197" s="3" t="s">
        <v>3965</v>
      </c>
      <c r="B197" s="14">
        <f>+'KY_Res by Plant Acct P16(REG)'!B195</f>
        <v>0</v>
      </c>
      <c r="C197" s="13"/>
      <c r="D197" s="14">
        <f>+'KY_Res by Plant Acct P16(REG)'!D195</f>
        <v>0</v>
      </c>
      <c r="E197" s="13"/>
      <c r="F197" s="14">
        <f>+'KY_Res by Plant Acct P16(REG)'!F195</f>
        <v>0</v>
      </c>
      <c r="G197" s="13"/>
      <c r="H197" s="14">
        <f>+'KY_Res by Plant Acct P16(REG)'!H195</f>
        <v>0</v>
      </c>
      <c r="I197" s="13"/>
      <c r="J197" s="14">
        <f>+'KY_Res by Plant Acct P16(REG)'!J195</f>
        <v>0</v>
      </c>
      <c r="K197" s="13"/>
      <c r="L197" s="14">
        <f>+'KY_Res by Plant Acct P16(REG)'!L195</f>
        <v>0</v>
      </c>
      <c r="M197" s="13"/>
      <c r="N197" s="14">
        <f>+'KY_Res by Plant Acct P16(REG)'!N195</f>
        <v>0</v>
      </c>
      <c r="O197" s="13"/>
      <c r="P197" s="14">
        <f>+'KY_Res by Plant Acct P16(REG)'!P195</f>
        <v>0</v>
      </c>
      <c r="Q197" s="13"/>
      <c r="R197" s="14">
        <f t="shared" si="9"/>
        <v>0</v>
      </c>
    </row>
    <row r="198" spans="1:18" outlineLevel="1" x14ac:dyDescent="0.2">
      <c r="A198" s="3" t="s">
        <v>3966</v>
      </c>
      <c r="B198" s="14">
        <f>+'KY_Res by Plant Acct P16(REG)'!B196</f>
        <v>0</v>
      </c>
      <c r="C198" s="13"/>
      <c r="D198" s="14">
        <f>+'KY_Res by Plant Acct P16(REG)'!D196</f>
        <v>0</v>
      </c>
      <c r="E198" s="13"/>
      <c r="F198" s="14">
        <f>+'KY_Res by Plant Acct P16(REG)'!F196</f>
        <v>0</v>
      </c>
      <c r="G198" s="13"/>
      <c r="H198" s="14">
        <f>+'KY_Res by Plant Acct P16(REG)'!H196</f>
        <v>0</v>
      </c>
      <c r="I198" s="13"/>
      <c r="J198" s="14">
        <f>+'KY_Res by Plant Acct P16(REG)'!J196</f>
        <v>0</v>
      </c>
      <c r="K198" s="13"/>
      <c r="L198" s="14">
        <f>+'KY_Res by Plant Acct P16(REG)'!L196</f>
        <v>0</v>
      </c>
      <c r="M198" s="13"/>
      <c r="N198" s="14">
        <f>+'KY_Res by Plant Acct P16(REG)'!N196</f>
        <v>0</v>
      </c>
      <c r="O198" s="13"/>
      <c r="P198" s="14">
        <f>+'KY_Res by Plant Acct P16(REG)'!P196</f>
        <v>0</v>
      </c>
      <c r="Q198" s="13"/>
      <c r="R198" s="14">
        <f t="shared" si="9"/>
        <v>0</v>
      </c>
    </row>
    <row r="199" spans="1:18" outlineLevel="1" x14ac:dyDescent="0.2">
      <c r="A199" s="3" t="s">
        <v>3967</v>
      </c>
      <c r="B199" s="14">
        <f>+'KY_Res by Plant Acct P16(REG)'!B197</f>
        <v>0</v>
      </c>
      <c r="C199" s="13"/>
      <c r="D199" s="14">
        <f>+'KY_Res by Plant Acct P16(REG)'!D197</f>
        <v>0</v>
      </c>
      <c r="E199" s="13"/>
      <c r="F199" s="14">
        <f>+'KY_Res by Plant Acct P16(REG)'!F197</f>
        <v>0</v>
      </c>
      <c r="G199" s="13"/>
      <c r="H199" s="14">
        <f>+'KY_Res by Plant Acct P16(REG)'!H197</f>
        <v>0</v>
      </c>
      <c r="I199" s="13"/>
      <c r="J199" s="14">
        <f>+'KY_Res by Plant Acct P16(REG)'!J197</f>
        <v>0</v>
      </c>
      <c r="K199" s="13"/>
      <c r="L199" s="14">
        <f>+'KY_Res by Plant Acct P16(REG)'!L197</f>
        <v>0</v>
      </c>
      <c r="M199" s="13"/>
      <c r="N199" s="14">
        <f>+'KY_Res by Plant Acct P16(REG)'!N197</f>
        <v>0</v>
      </c>
      <c r="O199" s="13"/>
      <c r="P199" s="14">
        <f>+'KY_Res by Plant Acct P16(REG)'!P197</f>
        <v>0</v>
      </c>
      <c r="Q199" s="13"/>
      <c r="R199" s="14">
        <f t="shared" si="9"/>
        <v>0</v>
      </c>
    </row>
    <row r="200" spans="1:18" x14ac:dyDescent="0.2">
      <c r="A200" s="3" t="s">
        <v>3968</v>
      </c>
      <c r="B200" s="14">
        <f>SUM(B191:B199)</f>
        <v>0</v>
      </c>
      <c r="D200" s="14">
        <f>SUM(D191:D199)</f>
        <v>0</v>
      </c>
      <c r="F200" s="14">
        <f>SUM(F191:F199)</f>
        <v>0</v>
      </c>
      <c r="H200" s="14">
        <f>SUM(H191:H199)</f>
        <v>0</v>
      </c>
      <c r="J200" s="14">
        <f>SUM(J191:J199)</f>
        <v>0</v>
      </c>
      <c r="L200" s="14">
        <f>SUM(L191:L199)</f>
        <v>0</v>
      </c>
      <c r="N200" s="14">
        <f>SUM(N191:N199)</f>
        <v>0</v>
      </c>
      <c r="P200" s="14">
        <f>SUM(P191:P199)</f>
        <v>0</v>
      </c>
      <c r="R200" s="14">
        <f>SUM(R191:R199)</f>
        <v>0</v>
      </c>
    </row>
    <row r="201" spans="1:18" outlineLevel="1" x14ac:dyDescent="0.2">
      <c r="A201" s="3" t="s">
        <v>3610</v>
      </c>
      <c r="B201" s="14">
        <f>+'KY_Res by Plant Acct P16(REG)'!B199</f>
        <v>-88.23</v>
      </c>
      <c r="C201" s="13"/>
      <c r="D201" s="14">
        <f>+'KY_Res by Plant Acct P16(REG)'!D199</f>
        <v>-39951.82</v>
      </c>
      <c r="E201" s="13"/>
      <c r="F201" s="14">
        <f>+'KY_Res by Plant Acct P16(REG)'!F199</f>
        <v>0</v>
      </c>
      <c r="G201" s="13"/>
      <c r="H201" s="14">
        <f>+'KY_Res by Plant Acct P16(REG)'!H199</f>
        <v>0</v>
      </c>
      <c r="I201" s="13"/>
      <c r="J201" s="14">
        <f>+'KY_Res by Plant Acct P16(REG)'!J199</f>
        <v>0</v>
      </c>
      <c r="K201" s="13"/>
      <c r="L201" s="14">
        <f>+'KY_Res by Plant Acct P16(REG)'!L199</f>
        <v>0</v>
      </c>
      <c r="M201" s="13"/>
      <c r="N201" s="14">
        <f>+'KY_Res by Plant Acct P16(REG)'!N199</f>
        <v>0</v>
      </c>
      <c r="O201" s="13"/>
      <c r="P201" s="14">
        <f>+'KY_Res by Plant Acct P16(REG)'!P199</f>
        <v>0</v>
      </c>
      <c r="Q201" s="13"/>
      <c r="R201" s="14">
        <f t="shared" ref="R201:R216" si="10">SUM(B201:P201)</f>
        <v>-40040.050000000003</v>
      </c>
    </row>
    <row r="202" spans="1:18" outlineLevel="1" x14ac:dyDescent="0.2">
      <c r="A202" s="3" t="s">
        <v>3969</v>
      </c>
      <c r="B202" s="14">
        <f>+'KY_Res by Plant Acct P16(REG)'!B200</f>
        <v>-170710.92</v>
      </c>
      <c r="C202" s="13"/>
      <c r="D202" s="14">
        <f>+'KY_Res by Plant Acct P16(REG)'!D200</f>
        <v>-8460.7900000000009</v>
      </c>
      <c r="E202" s="13"/>
      <c r="F202" s="14">
        <f>+'KY_Res by Plant Acct P16(REG)'!F200</f>
        <v>37083.75</v>
      </c>
      <c r="G202" s="13"/>
      <c r="H202" s="14">
        <f>+'KY_Res by Plant Acct P16(REG)'!H200</f>
        <v>0</v>
      </c>
      <c r="I202" s="13"/>
      <c r="J202" s="14">
        <f>+'KY_Res by Plant Acct P16(REG)'!J200</f>
        <v>0</v>
      </c>
      <c r="K202" s="13"/>
      <c r="L202" s="14">
        <f>+'KY_Res by Plant Acct P16(REG)'!L200</f>
        <v>0</v>
      </c>
      <c r="M202" s="13"/>
      <c r="N202" s="14">
        <f>+'KY_Res by Plant Acct P16(REG)'!N200</f>
        <v>0</v>
      </c>
      <c r="O202" s="13"/>
      <c r="P202" s="14">
        <f>+'KY_Res by Plant Acct P16(REG)'!P200</f>
        <v>0</v>
      </c>
      <c r="Q202" s="13"/>
      <c r="R202" s="14">
        <f t="shared" si="10"/>
        <v>-142087.96000000002</v>
      </c>
    </row>
    <row r="203" spans="1:18" outlineLevel="1" x14ac:dyDescent="0.2">
      <c r="A203" s="3" t="s">
        <v>3970</v>
      </c>
      <c r="B203" s="14">
        <f>+'KY_Res by Plant Acct P16(REG)'!B201</f>
        <v>-323815.61000000004</v>
      </c>
      <c r="C203" s="13"/>
      <c r="D203" s="14">
        <f>+'KY_Res by Plant Acct P16(REG)'!D201</f>
        <v>-28196.9</v>
      </c>
      <c r="E203" s="13"/>
      <c r="F203" s="14">
        <f>+'KY_Res by Plant Acct P16(REG)'!F201</f>
        <v>14789.08</v>
      </c>
      <c r="G203" s="13"/>
      <c r="H203" s="14">
        <f>+'KY_Res by Plant Acct P16(REG)'!H201</f>
        <v>0</v>
      </c>
      <c r="I203" s="13"/>
      <c r="J203" s="14">
        <f>+'KY_Res by Plant Acct P16(REG)'!J201</f>
        <v>0</v>
      </c>
      <c r="K203" s="13"/>
      <c r="L203" s="14">
        <f>+'KY_Res by Plant Acct P16(REG)'!L201</f>
        <v>0</v>
      </c>
      <c r="M203" s="13"/>
      <c r="N203" s="14">
        <f>+'KY_Res by Plant Acct P16(REG)'!N201</f>
        <v>0</v>
      </c>
      <c r="O203" s="13"/>
      <c r="P203" s="14">
        <f>+'KY_Res by Plant Acct P16(REG)'!P201</f>
        <v>0</v>
      </c>
      <c r="Q203" s="13"/>
      <c r="R203" s="14">
        <f t="shared" si="10"/>
        <v>-337223.43000000005</v>
      </c>
    </row>
    <row r="204" spans="1:18" outlineLevel="1" x14ac:dyDescent="0.2">
      <c r="A204" s="3" t="s">
        <v>3613</v>
      </c>
      <c r="B204" s="14">
        <f>+'KY_Res by Plant Acct P16(REG)'!B202</f>
        <v>-1067229.48</v>
      </c>
      <c r="C204" s="13"/>
      <c r="D204" s="14">
        <f>+'KY_Res by Plant Acct P16(REG)'!D202</f>
        <v>-83006.880000000005</v>
      </c>
      <c r="E204" s="13"/>
      <c r="F204" s="14">
        <f>+'KY_Res by Plant Acct P16(REG)'!F202</f>
        <v>0</v>
      </c>
      <c r="G204" s="13"/>
      <c r="H204" s="14">
        <f>+'KY_Res by Plant Acct P16(REG)'!H202</f>
        <v>0</v>
      </c>
      <c r="I204" s="13"/>
      <c r="J204" s="14">
        <f>+'KY_Res by Plant Acct P16(REG)'!J202</f>
        <v>0</v>
      </c>
      <c r="K204" s="13"/>
      <c r="L204" s="14">
        <f>+'KY_Res by Plant Acct P16(REG)'!L202</f>
        <v>0</v>
      </c>
      <c r="M204" s="13"/>
      <c r="N204" s="14">
        <f>+'KY_Res by Plant Acct P16(REG)'!N202</f>
        <v>0</v>
      </c>
      <c r="O204" s="13"/>
      <c r="P204" s="14">
        <f>+'KY_Res by Plant Acct P16(REG)'!P202</f>
        <v>0</v>
      </c>
      <c r="Q204" s="13"/>
      <c r="R204" s="14">
        <f t="shared" si="10"/>
        <v>-1150236.3599999999</v>
      </c>
    </row>
    <row r="205" spans="1:18" outlineLevel="1" x14ac:dyDescent="0.2">
      <c r="A205" s="3" t="s">
        <v>3614</v>
      </c>
      <c r="B205" s="14">
        <f>+'KY_Res by Plant Acct P16(REG)'!B203</f>
        <v>-26854.180000000004</v>
      </c>
      <c r="C205" s="13"/>
      <c r="D205" s="14">
        <f>+'KY_Res by Plant Acct P16(REG)'!D203</f>
        <v>-4359.76</v>
      </c>
      <c r="E205" s="13"/>
      <c r="F205" s="14">
        <f>+'KY_Res by Plant Acct P16(REG)'!F203</f>
        <v>0</v>
      </c>
      <c r="G205" s="13"/>
      <c r="H205" s="14">
        <f>+'KY_Res by Plant Acct P16(REG)'!H203</f>
        <v>0</v>
      </c>
      <c r="I205" s="13"/>
      <c r="J205" s="14">
        <f>+'KY_Res by Plant Acct P16(REG)'!J203</f>
        <v>0</v>
      </c>
      <c r="K205" s="13"/>
      <c r="L205" s="14">
        <f>+'KY_Res by Plant Acct P16(REG)'!L203</f>
        <v>0</v>
      </c>
      <c r="M205" s="13"/>
      <c r="N205" s="14">
        <f>+'KY_Res by Plant Acct P16(REG)'!N203</f>
        <v>0</v>
      </c>
      <c r="O205" s="13"/>
      <c r="P205" s="14">
        <f>+'KY_Res by Plant Acct P16(REG)'!P203</f>
        <v>0</v>
      </c>
      <c r="Q205" s="13"/>
      <c r="R205" s="14">
        <f t="shared" si="10"/>
        <v>-31213.940000000002</v>
      </c>
    </row>
    <row r="206" spans="1:18" outlineLevel="1" x14ac:dyDescent="0.2">
      <c r="A206" s="3" t="s">
        <v>3615</v>
      </c>
      <c r="B206" s="14">
        <f>+'KY_Res by Plant Acct P16(REG)'!B204</f>
        <v>-21717.21</v>
      </c>
      <c r="C206" s="13"/>
      <c r="D206" s="14">
        <f>+'KY_Res by Plant Acct P16(REG)'!D204</f>
        <v>-3400.77</v>
      </c>
      <c r="E206" s="13"/>
      <c r="F206" s="14">
        <f>+'KY_Res by Plant Acct P16(REG)'!F204</f>
        <v>0</v>
      </c>
      <c r="G206" s="13"/>
      <c r="H206" s="14">
        <f>+'KY_Res by Plant Acct P16(REG)'!H204</f>
        <v>0</v>
      </c>
      <c r="I206" s="13"/>
      <c r="J206" s="14">
        <f>+'KY_Res by Plant Acct P16(REG)'!J204</f>
        <v>0</v>
      </c>
      <c r="K206" s="13"/>
      <c r="L206" s="14">
        <f>+'KY_Res by Plant Acct P16(REG)'!L204</f>
        <v>0</v>
      </c>
      <c r="M206" s="13"/>
      <c r="N206" s="14">
        <f>+'KY_Res by Plant Acct P16(REG)'!N204</f>
        <v>0</v>
      </c>
      <c r="O206" s="13"/>
      <c r="P206" s="14">
        <f>+'KY_Res by Plant Acct P16(REG)'!P204</f>
        <v>0</v>
      </c>
      <c r="Q206" s="13"/>
      <c r="R206" s="14">
        <f t="shared" si="10"/>
        <v>-25117.98</v>
      </c>
    </row>
    <row r="207" spans="1:18" outlineLevel="1" x14ac:dyDescent="0.2">
      <c r="A207" s="3" t="s">
        <v>3616</v>
      </c>
      <c r="B207" s="14">
        <f>+'KY_Res by Plant Acct P16(REG)'!B205</f>
        <v>-180824.95999999999</v>
      </c>
      <c r="C207" s="13"/>
      <c r="D207" s="14">
        <f>+'KY_Res by Plant Acct P16(REG)'!D205</f>
        <v>-13205.34</v>
      </c>
      <c r="E207" s="13"/>
      <c r="F207" s="14">
        <f>+'KY_Res by Plant Acct P16(REG)'!F205</f>
        <v>0</v>
      </c>
      <c r="G207" s="13"/>
      <c r="H207" s="14">
        <f>+'KY_Res by Plant Acct P16(REG)'!H205</f>
        <v>0</v>
      </c>
      <c r="I207" s="13"/>
      <c r="J207" s="14">
        <f>+'KY_Res by Plant Acct P16(REG)'!J205</f>
        <v>0</v>
      </c>
      <c r="K207" s="13"/>
      <c r="L207" s="14">
        <f>+'KY_Res by Plant Acct P16(REG)'!L205</f>
        <v>0</v>
      </c>
      <c r="M207" s="13"/>
      <c r="N207" s="14">
        <f>+'KY_Res by Plant Acct P16(REG)'!N205</f>
        <v>0</v>
      </c>
      <c r="O207" s="13"/>
      <c r="P207" s="14">
        <f>+'KY_Res by Plant Acct P16(REG)'!P205</f>
        <v>0</v>
      </c>
      <c r="Q207" s="13"/>
      <c r="R207" s="14">
        <f t="shared" si="10"/>
        <v>-194030.3</v>
      </c>
    </row>
    <row r="208" spans="1:18" outlineLevel="1" x14ac:dyDescent="0.2">
      <c r="A208" s="3" t="s">
        <v>3617</v>
      </c>
      <c r="B208" s="14">
        <f>+'KY_Res by Plant Acct P16(REG)'!B206</f>
        <v>-524836.0199999999</v>
      </c>
      <c r="C208" s="13"/>
      <c r="D208" s="14">
        <f>+'KY_Res by Plant Acct P16(REG)'!D206</f>
        <v>-23629.09</v>
      </c>
      <c r="E208" s="13"/>
      <c r="F208" s="14">
        <f>+'KY_Res by Plant Acct P16(REG)'!F206</f>
        <v>62982.25</v>
      </c>
      <c r="G208" s="13"/>
      <c r="H208" s="14">
        <f>+'KY_Res by Plant Acct P16(REG)'!H206</f>
        <v>0</v>
      </c>
      <c r="I208" s="13"/>
      <c r="J208" s="14">
        <f>+'KY_Res by Plant Acct P16(REG)'!J206</f>
        <v>0</v>
      </c>
      <c r="K208" s="13"/>
      <c r="L208" s="14">
        <f>+'KY_Res by Plant Acct P16(REG)'!L206</f>
        <v>0</v>
      </c>
      <c r="M208" s="13"/>
      <c r="N208" s="14">
        <f>+'KY_Res by Plant Acct P16(REG)'!N206</f>
        <v>0</v>
      </c>
      <c r="O208" s="13"/>
      <c r="P208" s="14">
        <f>+'KY_Res by Plant Acct P16(REG)'!P206</f>
        <v>0</v>
      </c>
      <c r="Q208" s="13"/>
      <c r="R208" s="14">
        <f t="shared" si="10"/>
        <v>-485482.85999999987</v>
      </c>
    </row>
    <row r="209" spans="1:18" outlineLevel="1" x14ac:dyDescent="0.2">
      <c r="A209" s="3" t="s">
        <v>3618</v>
      </c>
      <c r="B209" s="14">
        <f>+'KY_Res by Plant Acct P16(REG)'!B207</f>
        <v>0</v>
      </c>
      <c r="C209" s="13"/>
      <c r="D209" s="14">
        <f>+'KY_Res by Plant Acct P16(REG)'!D207</f>
        <v>-6862.08</v>
      </c>
      <c r="E209" s="13"/>
      <c r="F209" s="14">
        <f>+'KY_Res by Plant Acct P16(REG)'!F207</f>
        <v>0</v>
      </c>
      <c r="G209" s="13"/>
      <c r="H209" s="14">
        <f>+'KY_Res by Plant Acct P16(REG)'!H207</f>
        <v>0</v>
      </c>
      <c r="I209" s="13"/>
      <c r="J209" s="14">
        <f>+'KY_Res by Plant Acct P16(REG)'!J207</f>
        <v>0</v>
      </c>
      <c r="K209" s="13"/>
      <c r="L209" s="14">
        <f>+'KY_Res by Plant Acct P16(REG)'!L207</f>
        <v>0</v>
      </c>
      <c r="M209" s="13"/>
      <c r="N209" s="14">
        <f>+'KY_Res by Plant Acct P16(REG)'!N207</f>
        <v>0</v>
      </c>
      <c r="O209" s="13"/>
      <c r="P209" s="14">
        <f>+'KY_Res by Plant Acct P16(REG)'!P207</f>
        <v>0</v>
      </c>
      <c r="Q209" s="13"/>
      <c r="R209" s="14">
        <f t="shared" si="10"/>
        <v>-6862.08</v>
      </c>
    </row>
    <row r="210" spans="1:18" outlineLevel="1" x14ac:dyDescent="0.2">
      <c r="A210" s="3" t="s">
        <v>3619</v>
      </c>
      <c r="B210" s="14">
        <f>+'KY_Res by Plant Acct P16(REG)'!B208</f>
        <v>-35538.300000000003</v>
      </c>
      <c r="C210" s="13"/>
      <c r="D210" s="14">
        <f>+'KY_Res by Plant Acct P16(REG)'!D208</f>
        <v>-1186.44</v>
      </c>
      <c r="E210" s="13"/>
      <c r="F210" s="14">
        <f>+'KY_Res by Plant Acct P16(REG)'!F208</f>
        <v>0</v>
      </c>
      <c r="G210" s="13"/>
      <c r="H210" s="14">
        <f>+'KY_Res by Plant Acct P16(REG)'!H208</f>
        <v>0</v>
      </c>
      <c r="I210" s="13"/>
      <c r="J210" s="14">
        <f>+'KY_Res by Plant Acct P16(REG)'!J208</f>
        <v>0</v>
      </c>
      <c r="K210" s="13"/>
      <c r="L210" s="14">
        <f>+'KY_Res by Plant Acct P16(REG)'!L208</f>
        <v>0</v>
      </c>
      <c r="M210" s="13"/>
      <c r="N210" s="14">
        <f>+'KY_Res by Plant Acct P16(REG)'!N208</f>
        <v>0</v>
      </c>
      <c r="O210" s="13"/>
      <c r="P210" s="14">
        <f>+'KY_Res by Plant Acct P16(REG)'!P208</f>
        <v>0</v>
      </c>
      <c r="Q210" s="13"/>
      <c r="R210" s="14">
        <f t="shared" si="10"/>
        <v>-36724.740000000005</v>
      </c>
    </row>
    <row r="211" spans="1:18" outlineLevel="1" x14ac:dyDescent="0.2">
      <c r="A211" s="3" t="s">
        <v>3620</v>
      </c>
      <c r="B211" s="14">
        <f>+'KY_Res by Plant Acct P16(REG)'!B209</f>
        <v>-546300.44999999995</v>
      </c>
      <c r="C211" s="13"/>
      <c r="D211" s="14">
        <f>+'KY_Res by Plant Acct P16(REG)'!D209</f>
        <v>-42234.29</v>
      </c>
      <c r="E211" s="13"/>
      <c r="F211" s="14">
        <f>+'KY_Res by Plant Acct P16(REG)'!F209</f>
        <v>0</v>
      </c>
      <c r="G211" s="13"/>
      <c r="H211" s="14">
        <f>+'KY_Res by Plant Acct P16(REG)'!H209</f>
        <v>0</v>
      </c>
      <c r="I211" s="13"/>
      <c r="J211" s="14">
        <f>+'KY_Res by Plant Acct P16(REG)'!J209</f>
        <v>0</v>
      </c>
      <c r="K211" s="13"/>
      <c r="L211" s="14">
        <f>+'KY_Res by Plant Acct P16(REG)'!L209</f>
        <v>0</v>
      </c>
      <c r="M211" s="13"/>
      <c r="N211" s="14">
        <f>+'KY_Res by Plant Acct P16(REG)'!N209</f>
        <v>0</v>
      </c>
      <c r="O211" s="13"/>
      <c r="P211" s="14">
        <f>+'KY_Res by Plant Acct P16(REG)'!P209</f>
        <v>0</v>
      </c>
      <c r="Q211" s="13"/>
      <c r="R211" s="14">
        <f t="shared" si="10"/>
        <v>-588534.74</v>
      </c>
    </row>
    <row r="212" spans="1:18" outlineLevel="1" x14ac:dyDescent="0.2">
      <c r="A212" s="3" t="s">
        <v>3621</v>
      </c>
      <c r="B212" s="14">
        <f>+'KY_Res by Plant Acct P16(REG)'!B210</f>
        <v>-11270.559999999998</v>
      </c>
      <c r="C212" s="13"/>
      <c r="D212" s="14">
        <f>+'KY_Res by Plant Acct P16(REG)'!D210</f>
        <v>-1884.12</v>
      </c>
      <c r="E212" s="13"/>
      <c r="F212" s="14">
        <f>+'KY_Res by Plant Acct P16(REG)'!F210</f>
        <v>0</v>
      </c>
      <c r="G212" s="13"/>
      <c r="H212" s="14">
        <f>+'KY_Res by Plant Acct P16(REG)'!H210</f>
        <v>0</v>
      </c>
      <c r="I212" s="13"/>
      <c r="J212" s="14">
        <f>+'KY_Res by Plant Acct P16(REG)'!J210</f>
        <v>0</v>
      </c>
      <c r="K212" s="13"/>
      <c r="L212" s="14">
        <f>+'KY_Res by Plant Acct P16(REG)'!L210</f>
        <v>0</v>
      </c>
      <c r="M212" s="13"/>
      <c r="N212" s="14">
        <f>+'KY_Res by Plant Acct P16(REG)'!N210</f>
        <v>0</v>
      </c>
      <c r="O212" s="13"/>
      <c r="P212" s="14">
        <f>+'KY_Res by Plant Acct P16(REG)'!P210</f>
        <v>0</v>
      </c>
      <c r="Q212" s="13"/>
      <c r="R212" s="14">
        <f t="shared" si="10"/>
        <v>-13154.679999999997</v>
      </c>
    </row>
    <row r="213" spans="1:18" outlineLevel="1" x14ac:dyDescent="0.2">
      <c r="A213" s="3" t="s">
        <v>3622</v>
      </c>
      <c r="B213" s="14">
        <f>+'KY_Res by Plant Acct P16(REG)'!B211</f>
        <v>-12880.1</v>
      </c>
      <c r="C213" s="13"/>
      <c r="D213" s="14">
        <f>+'KY_Res by Plant Acct P16(REG)'!D211</f>
        <v>-1141.08</v>
      </c>
      <c r="E213" s="13"/>
      <c r="F213" s="14">
        <f>+'KY_Res by Plant Acct P16(REG)'!F211</f>
        <v>0</v>
      </c>
      <c r="G213" s="13"/>
      <c r="H213" s="14">
        <f>+'KY_Res by Plant Acct P16(REG)'!H211</f>
        <v>0</v>
      </c>
      <c r="I213" s="13"/>
      <c r="J213" s="14">
        <f>+'KY_Res by Plant Acct P16(REG)'!J211</f>
        <v>0</v>
      </c>
      <c r="K213" s="13"/>
      <c r="L213" s="14">
        <f>+'KY_Res by Plant Acct P16(REG)'!L211</f>
        <v>0</v>
      </c>
      <c r="M213" s="13"/>
      <c r="N213" s="14">
        <f>+'KY_Res by Plant Acct P16(REG)'!N211</f>
        <v>0</v>
      </c>
      <c r="O213" s="13"/>
      <c r="P213" s="14">
        <f>+'KY_Res by Plant Acct P16(REG)'!P211</f>
        <v>0</v>
      </c>
      <c r="Q213" s="13"/>
      <c r="R213" s="14">
        <f t="shared" si="10"/>
        <v>-14021.18</v>
      </c>
    </row>
    <row r="214" spans="1:18" outlineLevel="1" x14ac:dyDescent="0.2">
      <c r="A214" s="3" t="s">
        <v>3623</v>
      </c>
      <c r="B214" s="14">
        <f>+'KY_Res by Plant Acct P16(REG)'!B212</f>
        <v>-3660.7200000000003</v>
      </c>
      <c r="C214" s="13"/>
      <c r="D214" s="14">
        <f>+'KY_Res by Plant Acct P16(REG)'!D212</f>
        <v>-343.92</v>
      </c>
      <c r="E214" s="13"/>
      <c r="F214" s="14">
        <f>+'KY_Res by Plant Acct P16(REG)'!F212</f>
        <v>0</v>
      </c>
      <c r="G214" s="13"/>
      <c r="H214" s="14">
        <f>+'KY_Res by Plant Acct P16(REG)'!H212</f>
        <v>0</v>
      </c>
      <c r="I214" s="13"/>
      <c r="J214" s="14">
        <f>+'KY_Res by Plant Acct P16(REG)'!J212</f>
        <v>0</v>
      </c>
      <c r="K214" s="13"/>
      <c r="L214" s="14">
        <f>+'KY_Res by Plant Acct P16(REG)'!L212</f>
        <v>0</v>
      </c>
      <c r="M214" s="13"/>
      <c r="N214" s="14">
        <f>+'KY_Res by Plant Acct P16(REG)'!N212</f>
        <v>0</v>
      </c>
      <c r="O214" s="13"/>
      <c r="P214" s="14">
        <f>+'KY_Res by Plant Acct P16(REG)'!P212</f>
        <v>0</v>
      </c>
      <c r="Q214" s="13"/>
      <c r="R214" s="14">
        <f t="shared" si="10"/>
        <v>-4004.6400000000003</v>
      </c>
    </row>
    <row r="215" spans="1:18" outlineLevel="1" x14ac:dyDescent="0.2">
      <c r="A215" s="3" t="s">
        <v>3624</v>
      </c>
      <c r="B215" s="14">
        <f>+'KY_Res by Plant Acct P16(REG)'!B213</f>
        <v>-3648.8100000000004</v>
      </c>
      <c r="C215" s="13"/>
      <c r="D215" s="14">
        <f>+'KY_Res by Plant Acct P16(REG)'!D213</f>
        <v>-342.84</v>
      </c>
      <c r="E215" s="13"/>
      <c r="F215" s="14">
        <f>+'KY_Res by Plant Acct P16(REG)'!F213</f>
        <v>0</v>
      </c>
      <c r="G215" s="13"/>
      <c r="H215" s="14">
        <f>+'KY_Res by Plant Acct P16(REG)'!H213</f>
        <v>0</v>
      </c>
      <c r="I215" s="13"/>
      <c r="J215" s="14">
        <f>+'KY_Res by Plant Acct P16(REG)'!J213</f>
        <v>0</v>
      </c>
      <c r="K215" s="13"/>
      <c r="L215" s="14">
        <f>+'KY_Res by Plant Acct P16(REG)'!L213</f>
        <v>0</v>
      </c>
      <c r="M215" s="13"/>
      <c r="N215" s="14">
        <f>+'KY_Res by Plant Acct P16(REG)'!N213</f>
        <v>0</v>
      </c>
      <c r="O215" s="13"/>
      <c r="P215" s="14">
        <f>+'KY_Res by Plant Acct P16(REG)'!P213</f>
        <v>0</v>
      </c>
      <c r="Q215" s="13"/>
      <c r="R215" s="14">
        <f t="shared" si="10"/>
        <v>-3991.6500000000005</v>
      </c>
    </row>
    <row r="216" spans="1:18" outlineLevel="1" x14ac:dyDescent="0.2">
      <c r="A216" s="3" t="s">
        <v>3625</v>
      </c>
      <c r="B216" s="14">
        <f>+'KY_Res by Plant Acct P16(REG)'!B214</f>
        <v>-3729.9</v>
      </c>
      <c r="C216" s="13"/>
      <c r="D216" s="14">
        <f>+'KY_Res by Plant Acct P16(REG)'!D214</f>
        <v>-353.64</v>
      </c>
      <c r="E216" s="13"/>
      <c r="F216" s="14">
        <f>+'KY_Res by Plant Acct P16(REG)'!F214</f>
        <v>0</v>
      </c>
      <c r="G216" s="13"/>
      <c r="H216" s="14">
        <f>+'KY_Res by Plant Acct P16(REG)'!H214</f>
        <v>0</v>
      </c>
      <c r="I216" s="13"/>
      <c r="J216" s="14">
        <f>+'KY_Res by Plant Acct P16(REG)'!J214</f>
        <v>0</v>
      </c>
      <c r="K216" s="13"/>
      <c r="L216" s="14">
        <f>+'KY_Res by Plant Acct P16(REG)'!L214</f>
        <v>0</v>
      </c>
      <c r="M216" s="13"/>
      <c r="N216" s="14">
        <f>+'KY_Res by Plant Acct P16(REG)'!N214</f>
        <v>0</v>
      </c>
      <c r="O216" s="13"/>
      <c r="P216" s="14">
        <f>+'KY_Res by Plant Acct P16(REG)'!P214</f>
        <v>0</v>
      </c>
      <c r="Q216" s="13"/>
      <c r="R216" s="14">
        <f t="shared" si="10"/>
        <v>-4083.54</v>
      </c>
    </row>
    <row r="217" spans="1:18" x14ac:dyDescent="0.2">
      <c r="A217" s="3" t="s">
        <v>3626</v>
      </c>
      <c r="B217" s="14">
        <f>SUM(B201:B216)</f>
        <v>-2933105.4499999997</v>
      </c>
      <c r="C217" s="13"/>
      <c r="D217" s="14">
        <f>SUM(D201:D216)</f>
        <v>-258559.76</v>
      </c>
      <c r="E217" s="13"/>
      <c r="F217" s="14">
        <f>SUM(F201:F216)</f>
        <v>114855.08</v>
      </c>
      <c r="G217" s="13"/>
      <c r="H217" s="14">
        <f>SUM(H201:H216)</f>
        <v>0</v>
      </c>
      <c r="I217" s="13"/>
      <c r="J217" s="14">
        <f>SUM(J201:J216)</f>
        <v>0</v>
      </c>
      <c r="K217" s="13"/>
      <c r="L217" s="14">
        <f>SUM(L201:L216)</f>
        <v>0</v>
      </c>
      <c r="M217" s="13"/>
      <c r="N217" s="14">
        <f>SUM(N201:N216)</f>
        <v>0</v>
      </c>
      <c r="O217" s="13"/>
      <c r="P217" s="14">
        <f>SUM(P201:P216)</f>
        <v>0</v>
      </c>
      <c r="Q217" s="13"/>
      <c r="R217" s="14">
        <f>SUM(R201:R216)</f>
        <v>-3076810.1300000008</v>
      </c>
    </row>
    <row r="218" spans="1:18" x14ac:dyDescent="0.2">
      <c r="A218" s="3" t="s">
        <v>3627</v>
      </c>
      <c r="B218" s="16">
        <f>+'KY_Res by Plant Acct P16(REG)'!B216</f>
        <v>-12147.94</v>
      </c>
      <c r="C218" s="13"/>
      <c r="D218" s="16">
        <f>+'KY_Res by Plant Acct P16(REG)'!D216</f>
        <v>-20825.04</v>
      </c>
      <c r="E218" s="13"/>
      <c r="F218" s="16">
        <f>+'KY_Res by Plant Acct P16(REG)'!F216</f>
        <v>0</v>
      </c>
      <c r="G218" s="13"/>
      <c r="H218" s="16">
        <f>+'KY_Res by Plant Acct P16(REG)'!H216</f>
        <v>0</v>
      </c>
      <c r="I218" s="13"/>
      <c r="J218" s="16">
        <f>+'KY_Res by Plant Acct P16(REG)'!J216</f>
        <v>0</v>
      </c>
      <c r="K218" s="13"/>
      <c r="L218" s="16">
        <f>+'KY_Res by Plant Acct P16(REG)'!L216</f>
        <v>0</v>
      </c>
      <c r="M218" s="13"/>
      <c r="N218" s="16">
        <f>+'KY_Res by Plant Acct P16(REG)'!N216</f>
        <v>0</v>
      </c>
      <c r="O218" s="13"/>
      <c r="P218" s="16">
        <f>+'KY_Res by Plant Acct P16(REG)'!P216</f>
        <v>0</v>
      </c>
      <c r="Q218" s="13"/>
      <c r="R218" s="16">
        <f>SUM(B218:P218)</f>
        <v>-32972.980000000003</v>
      </c>
    </row>
    <row r="219" spans="1:18" x14ac:dyDescent="0.2">
      <c r="A219" s="3" t="s">
        <v>3628</v>
      </c>
      <c r="B219" s="17">
        <f>B218+B217+B190+B172+B154+B138+B137+B117+B99+B97+B96+B200</f>
        <v>-248697741.02999997</v>
      </c>
      <c r="C219" s="13"/>
      <c r="D219" s="17">
        <f>D218+D217+D190+D172+D154+D138+D137+D117+D99+D97+D96+D200</f>
        <v>-34432621.659999996</v>
      </c>
      <c r="E219" s="13"/>
      <c r="F219" s="17">
        <f>F218+F217+F190+F172+F154+F138+F137+F117+F99+F97+F96+F200</f>
        <v>844434.41</v>
      </c>
      <c r="G219" s="13"/>
      <c r="H219" s="17">
        <f>H218+H217+H190+H172+H154+H138+H137+H117+H99+H97+H96+H200</f>
        <v>0</v>
      </c>
      <c r="I219" s="13"/>
      <c r="J219" s="17">
        <f>J218+J217+J190+J172+J154+J138+J137+J117+J99+J97+J96+J200</f>
        <v>0</v>
      </c>
      <c r="K219" s="13"/>
      <c r="L219" s="17">
        <f>L218+L217+L190+L172+L154+L138+L137+L117+L99+L97+L96+L200</f>
        <v>245309.94</v>
      </c>
      <c r="M219" s="13"/>
      <c r="N219" s="17">
        <f>N218+N217+N190+N172+N154+N138+N137+N117+N99+N97+N96+N200</f>
        <v>0</v>
      </c>
      <c r="O219" s="13"/>
      <c r="P219" s="17">
        <f>P218+P217+P190+P172+P154+P138+P137+P117+P99+P97+P96+P200</f>
        <v>0</v>
      </c>
      <c r="Q219" s="13"/>
      <c r="R219" s="17">
        <f>R218+R217+R190+R172+R154+R138+R137+R117+R99+R97+R96+R200</f>
        <v>-282040618.33999997</v>
      </c>
    </row>
    <row r="220" spans="1:18" x14ac:dyDescent="0.2">
      <c r="C220" s="13"/>
      <c r="E220" s="13"/>
      <c r="G220" s="13"/>
      <c r="I220" s="13"/>
      <c r="K220" s="13"/>
      <c r="M220" s="13"/>
      <c r="O220" s="13"/>
      <c r="Q220" s="13"/>
    </row>
    <row r="221" spans="1:18" x14ac:dyDescent="0.2">
      <c r="A221" s="12" t="s">
        <v>17</v>
      </c>
      <c r="C221" s="13"/>
      <c r="E221" s="13"/>
      <c r="G221" s="13"/>
      <c r="I221" s="13"/>
      <c r="K221" s="13"/>
      <c r="M221" s="13"/>
      <c r="O221" s="13"/>
      <c r="Q221" s="13"/>
    </row>
    <row r="222" spans="1:18" outlineLevel="1" x14ac:dyDescent="0.2">
      <c r="A222" s="3" t="s">
        <v>3629</v>
      </c>
      <c r="B222" s="14">
        <f>+'KY_Res by Plant Acct P16(REG)'!B220</f>
        <v>0</v>
      </c>
      <c r="C222" s="13"/>
      <c r="D222" s="14">
        <f>+'KY_Res by Plant Acct P16(REG)'!D220</f>
        <v>0</v>
      </c>
      <c r="E222" s="13"/>
      <c r="F222" s="14">
        <f>+'KY_Res by Plant Acct P16(REG)'!F220</f>
        <v>0</v>
      </c>
      <c r="G222" s="13"/>
      <c r="H222" s="14">
        <f>+'KY_Res by Plant Acct P16(REG)'!H220</f>
        <v>0</v>
      </c>
      <c r="I222" s="13"/>
      <c r="J222" s="14">
        <f>+'KY_Res by Plant Acct P16(REG)'!J220</f>
        <v>0</v>
      </c>
      <c r="K222" s="13"/>
      <c r="L222" s="14">
        <f>+'KY_Res by Plant Acct P16(REG)'!L220</f>
        <v>0</v>
      </c>
      <c r="M222" s="13"/>
      <c r="N222" s="14">
        <f>+'KY_Res by Plant Acct P16(REG)'!N220</f>
        <v>0</v>
      </c>
      <c r="O222" s="13"/>
      <c r="P222" s="14">
        <f>+'KY_Res by Plant Acct P16(REG)'!P220</f>
        <v>0</v>
      </c>
      <c r="Q222" s="13"/>
      <c r="R222" s="14">
        <f t="shared" ref="R222:R229" si="11">SUM(B222:P222)</f>
        <v>0</v>
      </c>
    </row>
    <row r="223" spans="1:18" outlineLevel="1" x14ac:dyDescent="0.2">
      <c r="A223" s="3" t="s">
        <v>3630</v>
      </c>
      <c r="B223" s="14">
        <f>+'KY_Res by Plant Acct P16(REG)'!B221</f>
        <v>0</v>
      </c>
      <c r="C223" s="13"/>
      <c r="D223" s="14">
        <f>+'KY_Res by Plant Acct P16(REG)'!D221</f>
        <v>0</v>
      </c>
      <c r="E223" s="13"/>
      <c r="F223" s="14">
        <f>+'KY_Res by Plant Acct P16(REG)'!F221</f>
        <v>0</v>
      </c>
      <c r="G223" s="13"/>
      <c r="H223" s="14">
        <f>+'KY_Res by Plant Acct P16(REG)'!H221</f>
        <v>0</v>
      </c>
      <c r="I223" s="13"/>
      <c r="J223" s="14">
        <f>+'KY_Res by Plant Acct P16(REG)'!J221</f>
        <v>0</v>
      </c>
      <c r="K223" s="13"/>
      <c r="L223" s="14">
        <f>+'KY_Res by Plant Acct P16(REG)'!L221</f>
        <v>0</v>
      </c>
      <c r="M223" s="13"/>
      <c r="N223" s="14">
        <f>+'KY_Res by Plant Acct P16(REG)'!N221</f>
        <v>0</v>
      </c>
      <c r="O223" s="13"/>
      <c r="P223" s="14">
        <f>+'KY_Res by Plant Acct P16(REG)'!P221</f>
        <v>0</v>
      </c>
      <c r="Q223" s="13"/>
      <c r="R223" s="14">
        <f t="shared" si="11"/>
        <v>0</v>
      </c>
    </row>
    <row r="224" spans="1:18" outlineLevel="1" x14ac:dyDescent="0.2">
      <c r="A224" s="3" t="s">
        <v>3631</v>
      </c>
      <c r="B224" s="14">
        <f>+'KY_Res by Plant Acct P16(REG)'!B222</f>
        <v>0</v>
      </c>
      <c r="C224" s="13"/>
      <c r="D224" s="14">
        <f>+'KY_Res by Plant Acct P16(REG)'!D222</f>
        <v>0</v>
      </c>
      <c r="E224" s="13"/>
      <c r="F224" s="14">
        <f>+'KY_Res by Plant Acct P16(REG)'!F222</f>
        <v>0</v>
      </c>
      <c r="G224" s="13"/>
      <c r="H224" s="14">
        <f>+'KY_Res by Plant Acct P16(REG)'!H222</f>
        <v>0</v>
      </c>
      <c r="I224" s="13"/>
      <c r="J224" s="14">
        <f>+'KY_Res by Plant Acct P16(REG)'!J222</f>
        <v>0</v>
      </c>
      <c r="K224" s="13"/>
      <c r="L224" s="14">
        <f>+'KY_Res by Plant Acct P16(REG)'!L222</f>
        <v>0</v>
      </c>
      <c r="M224" s="13"/>
      <c r="N224" s="14">
        <f>+'KY_Res by Plant Acct P16(REG)'!N222</f>
        <v>0</v>
      </c>
      <c r="O224" s="13"/>
      <c r="P224" s="14">
        <f>+'KY_Res by Plant Acct P16(REG)'!P222</f>
        <v>0</v>
      </c>
      <c r="Q224" s="13"/>
      <c r="R224" s="14">
        <f t="shared" si="11"/>
        <v>0</v>
      </c>
    </row>
    <row r="225" spans="1:20" outlineLevel="1" x14ac:dyDescent="0.2">
      <c r="A225" s="43" t="s">
        <v>3632</v>
      </c>
      <c r="B225" s="14">
        <f>+'KY_Res by Plant Acct P16(REG)'!B223</f>
        <v>0</v>
      </c>
      <c r="C225" s="13"/>
      <c r="D225" s="14">
        <f>+'KY_Res by Plant Acct P16(REG)'!D223</f>
        <v>0</v>
      </c>
      <c r="E225" s="13"/>
      <c r="F225" s="14">
        <f>+'KY_Res by Plant Acct P16(REG)'!F223</f>
        <v>0</v>
      </c>
      <c r="G225" s="13"/>
      <c r="H225" s="14">
        <f>+'KY_Res by Plant Acct P16(REG)'!H223</f>
        <v>0</v>
      </c>
      <c r="I225" s="13"/>
      <c r="J225" s="14">
        <f>+'KY_Res by Plant Acct P16(REG)'!J223</f>
        <v>0</v>
      </c>
      <c r="K225" s="13"/>
      <c r="L225" s="14">
        <f>+'KY_Res by Plant Acct P16(REG)'!L223</f>
        <v>0</v>
      </c>
      <c r="M225" s="13"/>
      <c r="N225" s="14">
        <f>+'KY_Res by Plant Acct P16(REG)'!N223</f>
        <v>0</v>
      </c>
      <c r="O225" s="13"/>
      <c r="P225" s="14">
        <f>+'KY_Res by Plant Acct P16(REG)'!P223</f>
        <v>0</v>
      </c>
      <c r="Q225" s="13"/>
      <c r="R225" s="14">
        <f>SUM(B225:P225)</f>
        <v>0</v>
      </c>
    </row>
    <row r="226" spans="1:20" outlineLevel="1" x14ac:dyDescent="0.2">
      <c r="A226" s="3" t="s">
        <v>3633</v>
      </c>
      <c r="B226" s="14">
        <f>+'KY_Res by Plant Acct P16(REG)'!B224</f>
        <v>0</v>
      </c>
      <c r="C226" s="13"/>
      <c r="D226" s="14">
        <f>+'KY_Res by Plant Acct P16(REG)'!D224</f>
        <v>0</v>
      </c>
      <c r="E226" s="13"/>
      <c r="F226" s="14">
        <f>+'KY_Res by Plant Acct P16(REG)'!F224</f>
        <v>0</v>
      </c>
      <c r="G226" s="13"/>
      <c r="H226" s="14">
        <f>+'KY_Res by Plant Acct P16(REG)'!H224</f>
        <v>0</v>
      </c>
      <c r="I226" s="13"/>
      <c r="J226" s="14">
        <f>+'KY_Res by Plant Acct P16(REG)'!J224</f>
        <v>0</v>
      </c>
      <c r="K226" s="13"/>
      <c r="L226" s="14">
        <f>+'KY_Res by Plant Acct P16(REG)'!L224</f>
        <v>0</v>
      </c>
      <c r="M226" s="13"/>
      <c r="N226" s="14">
        <f>+'KY_Res by Plant Acct P16(REG)'!N224</f>
        <v>0</v>
      </c>
      <c r="O226" s="13"/>
      <c r="P226" s="14">
        <f>+'KY_Res by Plant Acct P16(REG)'!P224</f>
        <v>0</v>
      </c>
      <c r="Q226" s="13"/>
      <c r="R226" s="14">
        <f t="shared" si="11"/>
        <v>0</v>
      </c>
    </row>
    <row r="227" spans="1:20" outlineLevel="1" x14ac:dyDescent="0.2">
      <c r="A227" s="3" t="s">
        <v>3634</v>
      </c>
      <c r="B227" s="14">
        <f>+'KY_Res by Plant Acct P16(REG)'!B225</f>
        <v>0</v>
      </c>
      <c r="C227" s="13"/>
      <c r="D227" s="14">
        <f>+'KY_Res by Plant Acct P16(REG)'!D225</f>
        <v>0</v>
      </c>
      <c r="E227" s="13"/>
      <c r="F227" s="14">
        <f>+'KY_Res by Plant Acct P16(REG)'!F225</f>
        <v>0</v>
      </c>
      <c r="G227" s="13"/>
      <c r="H227" s="14">
        <f>+'KY_Res by Plant Acct P16(REG)'!H225</f>
        <v>0</v>
      </c>
      <c r="I227" s="13"/>
      <c r="J227" s="14">
        <f>+'KY_Res by Plant Acct P16(REG)'!J225</f>
        <v>0</v>
      </c>
      <c r="K227" s="13"/>
      <c r="L227" s="14">
        <f>+'KY_Res by Plant Acct P16(REG)'!L225</f>
        <v>0</v>
      </c>
      <c r="M227" s="13"/>
      <c r="N227" s="14">
        <f>+'KY_Res by Plant Acct P16(REG)'!N225</f>
        <v>0</v>
      </c>
      <c r="O227" s="13"/>
      <c r="P227" s="14">
        <f>+'KY_Res by Plant Acct P16(REG)'!P225</f>
        <v>0</v>
      </c>
      <c r="Q227" s="13"/>
      <c r="R227" s="14">
        <f t="shared" si="11"/>
        <v>0</v>
      </c>
    </row>
    <row r="228" spans="1:20" outlineLevel="1" x14ac:dyDescent="0.2">
      <c r="A228" s="3" t="s">
        <v>3635</v>
      </c>
      <c r="B228" s="14">
        <f>+'KY_Res by Plant Acct P16(REG)'!B226</f>
        <v>0</v>
      </c>
      <c r="C228" s="13"/>
      <c r="D228" s="14">
        <f>+'KY_Res by Plant Acct P16(REG)'!D226</f>
        <v>0</v>
      </c>
      <c r="E228" s="13"/>
      <c r="F228" s="14">
        <f>+'KY_Res by Plant Acct P16(REG)'!F226</f>
        <v>0</v>
      </c>
      <c r="G228" s="13"/>
      <c r="H228" s="14">
        <f>+'KY_Res by Plant Acct P16(REG)'!H226</f>
        <v>0</v>
      </c>
      <c r="I228" s="13"/>
      <c r="J228" s="14">
        <f>+'KY_Res by Plant Acct P16(REG)'!J226</f>
        <v>0</v>
      </c>
      <c r="K228" s="13"/>
      <c r="L228" s="14">
        <f>+'KY_Res by Plant Acct P16(REG)'!L226</f>
        <v>0</v>
      </c>
      <c r="M228" s="13"/>
      <c r="N228" s="14">
        <f>+'KY_Res by Plant Acct P16(REG)'!N226</f>
        <v>0</v>
      </c>
      <c r="O228" s="13"/>
      <c r="P228" s="14">
        <f>+'KY_Res by Plant Acct P16(REG)'!P226</f>
        <v>0</v>
      </c>
      <c r="Q228" s="13"/>
      <c r="R228" s="14">
        <f t="shared" si="11"/>
        <v>0</v>
      </c>
    </row>
    <row r="229" spans="1:20" outlineLevel="1" x14ac:dyDescent="0.2">
      <c r="A229" s="3" t="s">
        <v>3636</v>
      </c>
      <c r="B229" s="14">
        <f>+'KY_Res by Plant Acct P16(REG)'!B227</f>
        <v>0</v>
      </c>
      <c r="C229" s="13"/>
      <c r="D229" s="14">
        <f>+'KY_Res by Plant Acct P16(REG)'!D227</f>
        <v>0</v>
      </c>
      <c r="E229" s="13"/>
      <c r="F229" s="14">
        <f>+'KY_Res by Plant Acct P16(REG)'!F227</f>
        <v>0</v>
      </c>
      <c r="G229" s="13"/>
      <c r="H229" s="14">
        <f>+'KY_Res by Plant Acct P16(REG)'!H227</f>
        <v>0</v>
      </c>
      <c r="I229" s="13"/>
      <c r="J229" s="14">
        <f>+'KY_Res by Plant Acct P16(REG)'!J227</f>
        <v>0</v>
      </c>
      <c r="K229" s="13"/>
      <c r="L229" s="14">
        <f>+'KY_Res by Plant Acct P16(REG)'!L227</f>
        <v>0</v>
      </c>
      <c r="M229" s="13"/>
      <c r="N229" s="14">
        <f>+'KY_Res by Plant Acct P16(REG)'!N227</f>
        <v>0</v>
      </c>
      <c r="O229" s="13"/>
      <c r="P229" s="14">
        <f>+'KY_Res by Plant Acct P16(REG)'!P227</f>
        <v>0</v>
      </c>
      <c r="Q229" s="13"/>
      <c r="R229" s="14">
        <f t="shared" si="11"/>
        <v>0</v>
      </c>
    </row>
    <row r="230" spans="1:20" x14ac:dyDescent="0.2">
      <c r="A230" s="3" t="s">
        <v>3637</v>
      </c>
      <c r="B230" s="14">
        <f>SUM(B222:B229)</f>
        <v>0</v>
      </c>
      <c r="C230" s="13"/>
      <c r="D230" s="14">
        <f>SUM(D222:D229)</f>
        <v>0</v>
      </c>
      <c r="E230" s="13"/>
      <c r="F230" s="14">
        <f>SUM(F222:F229)</f>
        <v>0</v>
      </c>
      <c r="G230" s="13"/>
      <c r="H230" s="14">
        <f>SUM(H222:H229)</f>
        <v>0</v>
      </c>
      <c r="I230" s="13"/>
      <c r="J230" s="14">
        <f>SUM(J222:J229)</f>
        <v>0</v>
      </c>
      <c r="K230" s="13"/>
      <c r="L230" s="14">
        <f>SUM(L222:L229)</f>
        <v>0</v>
      </c>
      <c r="M230" s="13"/>
      <c r="N230" s="14">
        <f>SUM(N222:N229)</f>
        <v>0</v>
      </c>
      <c r="O230" s="13"/>
      <c r="P230" s="14">
        <f>SUM(P222:P229)</f>
        <v>0</v>
      </c>
      <c r="Q230" s="13"/>
      <c r="R230" s="14">
        <f>SUM(R222:R229)</f>
        <v>0</v>
      </c>
      <c r="T230" s="13"/>
    </row>
    <row r="231" spans="1:20" outlineLevel="1" x14ac:dyDescent="0.2">
      <c r="A231" s="3" t="s">
        <v>3638</v>
      </c>
      <c r="B231" s="14">
        <f>+'KY_Res by Plant Acct P16(REG)'!B229</f>
        <v>-4858758.629999999</v>
      </c>
      <c r="C231" s="13"/>
      <c r="D231" s="14">
        <f>+'KY_Res by Plant Acct P16(REG)'!D229</f>
        <v>-1875.42</v>
      </c>
      <c r="E231" s="13"/>
      <c r="F231" s="14">
        <f>+'KY_Res by Plant Acct P16(REG)'!F229</f>
        <v>12926.67</v>
      </c>
      <c r="G231" s="13"/>
      <c r="H231" s="14">
        <f>+'KY_Res by Plant Acct P16(REG)'!H229</f>
        <v>0</v>
      </c>
      <c r="I231" s="13"/>
      <c r="J231" s="14">
        <f>+'KY_Res by Plant Acct P16(REG)'!J229</f>
        <v>0</v>
      </c>
      <c r="K231" s="13"/>
      <c r="L231" s="14">
        <f>+'KY_Res by Plant Acct P16(REG)'!L229</f>
        <v>0</v>
      </c>
      <c r="M231" s="13"/>
      <c r="N231" s="14">
        <f>+'KY_Res by Plant Acct P16(REG)'!N229</f>
        <v>0</v>
      </c>
      <c r="O231" s="13"/>
      <c r="P231" s="14">
        <f>+'KY_Res by Plant Acct P16(REG)'!P229</f>
        <v>0</v>
      </c>
      <c r="Q231" s="13"/>
      <c r="R231" s="14">
        <f t="shared" ref="R231:R263" si="12">SUM(B231:P231)</f>
        <v>-4847707.379999999</v>
      </c>
    </row>
    <row r="232" spans="1:20" outlineLevel="1" x14ac:dyDescent="0.2">
      <c r="A232" s="3" t="s">
        <v>3639</v>
      </c>
      <c r="B232" s="14">
        <f>+'KY_Res by Plant Acct P16(REG)'!B230</f>
        <v>-2008650.9100000001</v>
      </c>
      <c r="C232" s="13"/>
      <c r="D232" s="14">
        <f>+'KY_Res by Plant Acct P16(REG)'!D230</f>
        <v>-13575.07</v>
      </c>
      <c r="E232" s="13"/>
      <c r="F232" s="14">
        <f>+'KY_Res by Plant Acct P16(REG)'!F230</f>
        <v>0</v>
      </c>
      <c r="G232" s="13"/>
      <c r="H232" s="14">
        <f>+'KY_Res by Plant Acct P16(REG)'!H230</f>
        <v>0</v>
      </c>
      <c r="I232" s="13"/>
      <c r="J232" s="14">
        <f>+'KY_Res by Plant Acct P16(REG)'!J230</f>
        <v>0</v>
      </c>
      <c r="K232" s="13"/>
      <c r="L232" s="14">
        <f>+'KY_Res by Plant Acct P16(REG)'!L230</f>
        <v>0</v>
      </c>
      <c r="M232" s="13"/>
      <c r="N232" s="14">
        <f>+'KY_Res by Plant Acct P16(REG)'!N230</f>
        <v>0</v>
      </c>
      <c r="O232" s="13"/>
      <c r="P232" s="14">
        <f>+'KY_Res by Plant Acct P16(REG)'!P230</f>
        <v>0</v>
      </c>
      <c r="Q232" s="13"/>
      <c r="R232" s="14">
        <f t="shared" si="12"/>
        <v>-2022225.9800000002</v>
      </c>
    </row>
    <row r="233" spans="1:20" outlineLevel="1" x14ac:dyDescent="0.2">
      <c r="A233" s="3" t="s">
        <v>3640</v>
      </c>
      <c r="B233" s="14">
        <f>+'KY_Res by Plant Acct P16(REG)'!B231</f>
        <v>-14080779.73</v>
      </c>
      <c r="C233" s="13"/>
      <c r="D233" s="14">
        <f>+'KY_Res by Plant Acct P16(REG)'!D231</f>
        <v>-369822.39</v>
      </c>
      <c r="E233" s="13"/>
      <c r="F233" s="14">
        <f>+'KY_Res by Plant Acct P16(REG)'!F231</f>
        <v>34806.76</v>
      </c>
      <c r="G233" s="13"/>
      <c r="H233" s="14">
        <f>+'KY_Res by Plant Acct P16(REG)'!H231</f>
        <v>0</v>
      </c>
      <c r="I233" s="13"/>
      <c r="J233" s="14">
        <f>+'KY_Res by Plant Acct P16(REG)'!J231</f>
        <v>0</v>
      </c>
      <c r="K233" s="13"/>
      <c r="L233" s="14">
        <f>+'KY_Res by Plant Acct P16(REG)'!L231</f>
        <v>-3.75</v>
      </c>
      <c r="M233" s="13"/>
      <c r="N233" s="14">
        <f>+'KY_Res by Plant Acct P16(REG)'!N231</f>
        <v>-708.09</v>
      </c>
      <c r="O233" s="13"/>
      <c r="P233" s="14">
        <f>+'KY_Res by Plant Acct P16(REG)'!P231</f>
        <v>0</v>
      </c>
      <c r="Q233" s="13"/>
      <c r="R233" s="14">
        <f>SUM(B233:P233)</f>
        <v>-14416507.200000001</v>
      </c>
    </row>
    <row r="234" spans="1:20" outlineLevel="1" x14ac:dyDescent="0.2">
      <c r="A234" s="3" t="s">
        <v>3641</v>
      </c>
      <c r="B234" s="14">
        <f>+'KY_Res by Plant Acct P16(REG)'!B232</f>
        <v>0</v>
      </c>
      <c r="C234" s="13"/>
      <c r="D234" s="14">
        <f>+'KY_Res by Plant Acct P16(REG)'!D232</f>
        <v>0</v>
      </c>
      <c r="E234" s="13"/>
      <c r="F234" s="14">
        <f>+'KY_Res by Plant Acct P16(REG)'!F232</f>
        <v>0</v>
      </c>
      <c r="G234" s="13"/>
      <c r="H234" s="14">
        <f>+'KY_Res by Plant Acct P16(REG)'!H232</f>
        <v>0</v>
      </c>
      <c r="I234" s="13"/>
      <c r="J234" s="14">
        <f>+'KY_Res by Plant Acct P16(REG)'!J232</f>
        <v>0</v>
      </c>
      <c r="K234" s="13"/>
      <c r="L234" s="14">
        <f>+'KY_Res by Plant Acct P16(REG)'!L232</f>
        <v>0</v>
      </c>
      <c r="M234" s="13"/>
      <c r="N234" s="14">
        <f>+'KY_Res by Plant Acct P16(REG)'!N232</f>
        <v>0</v>
      </c>
      <c r="O234" s="13"/>
      <c r="P234" s="14">
        <f>+'KY_Res by Plant Acct P16(REG)'!P232</f>
        <v>0</v>
      </c>
      <c r="Q234" s="13"/>
      <c r="R234" s="14">
        <f>SUM(B234:P234)</f>
        <v>0</v>
      </c>
    </row>
    <row r="235" spans="1:20" outlineLevel="1" x14ac:dyDescent="0.2">
      <c r="A235" s="3" t="s">
        <v>3642</v>
      </c>
      <c r="B235" s="14">
        <f>+'KY_Res by Plant Acct P16(REG)'!B233</f>
        <v>-2344.5299999999997</v>
      </c>
      <c r="C235" s="13"/>
      <c r="D235" s="14">
        <f>+'KY_Res by Plant Acct P16(REG)'!D233</f>
        <v>-752.64</v>
      </c>
      <c r="E235" s="13"/>
      <c r="F235" s="14">
        <f>+'KY_Res by Plant Acct P16(REG)'!F233</f>
        <v>0</v>
      </c>
      <c r="G235" s="13"/>
      <c r="H235" s="14">
        <f>+'KY_Res by Plant Acct P16(REG)'!H233</f>
        <v>0</v>
      </c>
      <c r="I235" s="13"/>
      <c r="J235" s="14">
        <f>+'KY_Res by Plant Acct P16(REG)'!J233</f>
        <v>0</v>
      </c>
      <c r="K235" s="13"/>
      <c r="L235" s="14">
        <f>+'KY_Res by Plant Acct P16(REG)'!L233</f>
        <v>0</v>
      </c>
      <c r="M235" s="13"/>
      <c r="N235" s="14">
        <f>+'KY_Res by Plant Acct P16(REG)'!N233</f>
        <v>0</v>
      </c>
      <c r="O235" s="13"/>
      <c r="P235" s="14">
        <f>+'KY_Res by Plant Acct P16(REG)'!P233</f>
        <v>0</v>
      </c>
      <c r="Q235" s="13"/>
      <c r="R235" s="14">
        <f>SUM(B235:P235)</f>
        <v>-3097.1699999999996</v>
      </c>
    </row>
    <row r="236" spans="1:20" outlineLevel="1" x14ac:dyDescent="0.2">
      <c r="A236" s="3" t="s">
        <v>3644</v>
      </c>
      <c r="B236" s="14">
        <f>+'KY_Res by Plant Acct P16(REG)'!B235</f>
        <v>-8775717.5999999996</v>
      </c>
      <c r="C236" s="13"/>
      <c r="D236" s="14">
        <f>+'KY_Res by Plant Acct P16(REG)'!D235</f>
        <v>-1943744.12</v>
      </c>
      <c r="E236" s="13"/>
      <c r="F236" s="14">
        <f>+'KY_Res by Plant Acct P16(REG)'!F235</f>
        <v>125178.56</v>
      </c>
      <c r="G236" s="13"/>
      <c r="H236" s="14">
        <f>+'KY_Res by Plant Acct P16(REG)'!H235</f>
        <v>0</v>
      </c>
      <c r="I236" s="13"/>
      <c r="J236" s="14">
        <f>+'KY_Res by Plant Acct P16(REG)'!J235</f>
        <v>0</v>
      </c>
      <c r="K236" s="13"/>
      <c r="L236" s="14">
        <f>+'KY_Res by Plant Acct P16(REG)'!L235</f>
        <v>0</v>
      </c>
      <c r="M236" s="13"/>
      <c r="N236" s="14">
        <f>+'KY_Res by Plant Acct P16(REG)'!N235</f>
        <v>0</v>
      </c>
      <c r="O236" s="13"/>
      <c r="P236" s="14">
        <f>+'KY_Res by Plant Acct P16(REG)'!P235</f>
        <v>0</v>
      </c>
      <c r="Q236" s="13"/>
      <c r="R236" s="14">
        <f>SUM(B236:P236)</f>
        <v>-10594283.159999998</v>
      </c>
    </row>
    <row r="237" spans="1:20" outlineLevel="1" x14ac:dyDescent="0.2">
      <c r="A237" s="3" t="s">
        <v>3645</v>
      </c>
      <c r="B237" s="14">
        <f>+'KY_Res by Plant Acct P16(REG)'!B236</f>
        <v>-4.6566128730773926E-10</v>
      </c>
      <c r="C237" s="13"/>
      <c r="D237" s="14">
        <f>+'KY_Res by Plant Acct P16(REG)'!D236</f>
        <v>0</v>
      </c>
      <c r="E237" s="13"/>
      <c r="F237" s="14">
        <f>+'KY_Res by Plant Acct P16(REG)'!F236</f>
        <v>0</v>
      </c>
      <c r="G237" s="13"/>
      <c r="H237" s="14">
        <f>+'KY_Res by Plant Acct P16(REG)'!H236</f>
        <v>0</v>
      </c>
      <c r="I237" s="13"/>
      <c r="J237" s="14">
        <f>+'KY_Res by Plant Acct P16(REG)'!J236</f>
        <v>0</v>
      </c>
      <c r="K237" s="13"/>
      <c r="L237" s="14">
        <f>+'KY_Res by Plant Acct P16(REG)'!L236</f>
        <v>0</v>
      </c>
      <c r="M237" s="13"/>
      <c r="N237" s="14">
        <f>+'KY_Res by Plant Acct P16(REG)'!N236</f>
        <v>0</v>
      </c>
      <c r="O237" s="13"/>
      <c r="P237" s="14">
        <f>+'KY_Res by Plant Acct P16(REG)'!P236</f>
        <v>0</v>
      </c>
      <c r="Q237" s="13"/>
      <c r="R237" s="14">
        <f>SUM(B237:P237)</f>
        <v>-4.6566128730773926E-10</v>
      </c>
    </row>
    <row r="238" spans="1:20" outlineLevel="1" x14ac:dyDescent="0.2">
      <c r="A238" s="3" t="s">
        <v>3971</v>
      </c>
      <c r="B238" s="14">
        <f>+'KY_Res by Plant Acct P16(REG)'!B237</f>
        <v>-18420140.840000007</v>
      </c>
      <c r="C238" s="13"/>
      <c r="D238" s="14">
        <f>+'KY_Res by Plant Acct P16(REG)'!D237</f>
        <v>-56552.75</v>
      </c>
      <c r="E238" s="13"/>
      <c r="F238" s="14">
        <f>+'KY_Res by Plant Acct P16(REG)'!F237</f>
        <v>469359.75</v>
      </c>
      <c r="G238" s="13"/>
      <c r="H238" s="14">
        <f>+'KY_Res by Plant Acct P16(REG)'!H237</f>
        <v>296619.25</v>
      </c>
      <c r="I238" s="13"/>
      <c r="J238" s="14">
        <f>+'KY_Res by Plant Acct P16(REG)'!J237</f>
        <v>0</v>
      </c>
      <c r="K238" s="13"/>
      <c r="L238" s="14">
        <f>+'KY_Res by Plant Acct P16(REG)'!L237</f>
        <v>223445.08</v>
      </c>
      <c r="M238" s="13"/>
      <c r="N238" s="14">
        <f>+'KY_Res by Plant Acct P16(REG)'!N237</f>
        <v>0</v>
      </c>
      <c r="O238" s="13"/>
      <c r="P238" s="14">
        <f>+'KY_Res by Plant Acct P16(REG)'!P237</f>
        <v>0</v>
      </c>
      <c r="Q238" s="13"/>
      <c r="R238" s="14">
        <f t="shared" si="12"/>
        <v>-17487269.510000009</v>
      </c>
    </row>
    <row r="239" spans="1:20" outlineLevel="1" x14ac:dyDescent="0.2">
      <c r="A239" s="3" t="s">
        <v>3647</v>
      </c>
      <c r="B239" s="14">
        <f>+'KY_Res by Plant Acct P16(REG)'!B238</f>
        <v>1.8189894035458565E-12</v>
      </c>
      <c r="C239" s="13"/>
      <c r="D239" s="14">
        <f>+'KY_Res by Plant Acct P16(REG)'!D238</f>
        <v>0</v>
      </c>
      <c r="E239" s="13"/>
      <c r="F239" s="14">
        <f>+'KY_Res by Plant Acct P16(REG)'!F238</f>
        <v>0</v>
      </c>
      <c r="G239" s="13"/>
      <c r="H239" s="14">
        <f>+'KY_Res by Plant Acct P16(REG)'!H238</f>
        <v>0</v>
      </c>
      <c r="I239" s="13"/>
      <c r="J239" s="14">
        <f>+'KY_Res by Plant Acct P16(REG)'!J238</f>
        <v>0</v>
      </c>
      <c r="K239" s="13"/>
      <c r="L239" s="14">
        <f>+'KY_Res by Plant Acct P16(REG)'!L238</f>
        <v>0</v>
      </c>
      <c r="M239" s="13"/>
      <c r="N239" s="14">
        <f>+'KY_Res by Plant Acct P16(REG)'!N238</f>
        <v>0</v>
      </c>
      <c r="O239" s="13"/>
      <c r="P239" s="14">
        <f>+'KY_Res by Plant Acct P16(REG)'!P238</f>
        <v>0</v>
      </c>
      <c r="Q239" s="13"/>
      <c r="R239" s="14">
        <f t="shared" si="12"/>
        <v>1.8189894035458565E-12</v>
      </c>
    </row>
    <row r="240" spans="1:20" outlineLevel="1" x14ac:dyDescent="0.2">
      <c r="A240" s="3" t="s">
        <v>3648</v>
      </c>
      <c r="B240" s="14">
        <f>+'KY_Res by Plant Acct P16(REG)'!B239</f>
        <v>-7365523.2700000005</v>
      </c>
      <c r="C240" s="13"/>
      <c r="D240" s="14">
        <f>+'KY_Res by Plant Acct P16(REG)'!D239</f>
        <v>-86643.59</v>
      </c>
      <c r="E240" s="13"/>
      <c r="F240" s="14">
        <f>+'KY_Res by Plant Acct P16(REG)'!F239</f>
        <v>0</v>
      </c>
      <c r="G240" s="13"/>
      <c r="H240" s="14">
        <f>+'KY_Res by Plant Acct P16(REG)'!H239</f>
        <v>34603.51</v>
      </c>
      <c r="I240" s="13"/>
      <c r="J240" s="14">
        <f>+'KY_Res by Plant Acct P16(REG)'!J239</f>
        <v>0</v>
      </c>
      <c r="K240" s="13"/>
      <c r="L240" s="14">
        <f>+'KY_Res by Plant Acct P16(REG)'!L239</f>
        <v>0</v>
      </c>
      <c r="M240" s="13"/>
      <c r="N240" s="14">
        <f>+'KY_Res by Plant Acct P16(REG)'!N239</f>
        <v>0</v>
      </c>
      <c r="O240" s="13"/>
      <c r="P240" s="14">
        <f>+'KY_Res by Plant Acct P16(REG)'!P239</f>
        <v>0</v>
      </c>
      <c r="Q240" s="13"/>
      <c r="R240" s="14">
        <f t="shared" si="12"/>
        <v>-7417563.3500000006</v>
      </c>
    </row>
    <row r="241" spans="1:18" outlineLevel="1" x14ac:dyDescent="0.2">
      <c r="A241" s="3" t="s">
        <v>3649</v>
      </c>
      <c r="B241" s="14">
        <f>+'KY_Res by Plant Acct P16(REG)'!B240</f>
        <v>-14507970.379999997</v>
      </c>
      <c r="C241" s="13"/>
      <c r="D241" s="14">
        <f>+'KY_Res by Plant Acct P16(REG)'!D240</f>
        <v>-127928.21</v>
      </c>
      <c r="E241" s="13"/>
      <c r="F241" s="14">
        <f>+'KY_Res by Plant Acct P16(REG)'!F240</f>
        <v>198173.43</v>
      </c>
      <c r="G241" s="13"/>
      <c r="H241" s="14">
        <f>+'KY_Res by Plant Acct P16(REG)'!H240</f>
        <v>0</v>
      </c>
      <c r="I241" s="13"/>
      <c r="J241" s="14">
        <f>+'KY_Res by Plant Acct P16(REG)'!J240</f>
        <v>0</v>
      </c>
      <c r="K241" s="13"/>
      <c r="L241" s="14">
        <f>+'KY_Res by Plant Acct P16(REG)'!L240</f>
        <v>122280.8</v>
      </c>
      <c r="M241" s="13"/>
      <c r="N241" s="14">
        <f>+'KY_Res by Plant Acct P16(REG)'!N240</f>
        <v>0</v>
      </c>
      <c r="O241" s="13"/>
      <c r="P241" s="14">
        <f>+'KY_Res by Plant Acct P16(REG)'!P240</f>
        <v>0</v>
      </c>
      <c r="Q241" s="13"/>
      <c r="R241" s="14">
        <f t="shared" si="12"/>
        <v>-14315444.359999998</v>
      </c>
    </row>
    <row r="242" spans="1:18" outlineLevel="1" x14ac:dyDescent="0.2">
      <c r="A242" s="3" t="s">
        <v>3972</v>
      </c>
      <c r="B242" s="14">
        <f>+'KY_Res by Plant Acct P16(REG)'!B241</f>
        <v>-32886158.099999998</v>
      </c>
      <c r="C242" s="13"/>
      <c r="D242" s="14">
        <f>+'KY_Res by Plant Acct P16(REG)'!D241</f>
        <v>-547033.32999999996</v>
      </c>
      <c r="E242" s="13"/>
      <c r="F242" s="14">
        <f>+'KY_Res by Plant Acct P16(REG)'!F241</f>
        <v>0</v>
      </c>
      <c r="G242" s="13"/>
      <c r="H242" s="14">
        <f>+'KY_Res by Plant Acct P16(REG)'!H241</f>
        <v>0</v>
      </c>
      <c r="I242" s="13"/>
      <c r="J242" s="14">
        <f>+'KY_Res by Plant Acct P16(REG)'!J241</f>
        <v>0</v>
      </c>
      <c r="K242" s="13"/>
      <c r="L242" s="14">
        <f>+'KY_Res by Plant Acct P16(REG)'!L241</f>
        <v>0</v>
      </c>
      <c r="M242" s="13"/>
      <c r="N242" s="14">
        <f>+'KY_Res by Plant Acct P16(REG)'!N241</f>
        <v>0</v>
      </c>
      <c r="O242" s="13"/>
      <c r="P242" s="14">
        <f>+'KY_Res by Plant Acct P16(REG)'!P241</f>
        <v>0</v>
      </c>
      <c r="Q242" s="13"/>
      <c r="R242" s="14">
        <f t="shared" si="12"/>
        <v>-33433191.429999996</v>
      </c>
    </row>
    <row r="243" spans="1:18" outlineLevel="1" x14ac:dyDescent="0.2">
      <c r="A243" s="3" t="s">
        <v>3651</v>
      </c>
      <c r="B243" s="14">
        <f>+'KY_Res by Plant Acct P16(REG)'!B242</f>
        <v>0</v>
      </c>
      <c r="C243" s="13"/>
      <c r="D243" s="14">
        <f>+'KY_Res by Plant Acct P16(REG)'!D242</f>
        <v>0</v>
      </c>
      <c r="E243" s="13"/>
      <c r="F243" s="14">
        <f>+'KY_Res by Plant Acct P16(REG)'!F242</f>
        <v>0</v>
      </c>
      <c r="G243" s="13"/>
      <c r="H243" s="14">
        <f>+'KY_Res by Plant Acct P16(REG)'!H242</f>
        <v>0</v>
      </c>
      <c r="I243" s="13"/>
      <c r="J243" s="14">
        <f>+'KY_Res by Plant Acct P16(REG)'!J242</f>
        <v>0</v>
      </c>
      <c r="K243" s="13"/>
      <c r="L243" s="14">
        <f>+'KY_Res by Plant Acct P16(REG)'!L242</f>
        <v>0</v>
      </c>
      <c r="M243" s="13"/>
      <c r="N243" s="14">
        <f>+'KY_Res by Plant Acct P16(REG)'!N242</f>
        <v>0</v>
      </c>
      <c r="O243" s="13"/>
      <c r="P243" s="14">
        <f>+'KY_Res by Plant Acct P16(REG)'!P242</f>
        <v>0</v>
      </c>
      <c r="Q243" s="13"/>
      <c r="R243" s="14">
        <f t="shared" si="12"/>
        <v>0</v>
      </c>
    </row>
    <row r="244" spans="1:18" outlineLevel="1" x14ac:dyDescent="0.2">
      <c r="A244" s="73" t="s">
        <v>3652</v>
      </c>
      <c r="B244" s="14">
        <f>+'KY_Res by Plant Acct P16(REG)'!B243</f>
        <v>-95109.54</v>
      </c>
      <c r="C244" s="13"/>
      <c r="D244" s="14">
        <f>+'KY_Res by Plant Acct P16(REG)'!D243</f>
        <v>-116997.48</v>
      </c>
      <c r="E244" s="13"/>
      <c r="F244" s="14">
        <f>+'KY_Res by Plant Acct P16(REG)'!F243</f>
        <v>0</v>
      </c>
      <c r="G244" s="13"/>
      <c r="H244" s="14">
        <f>+'KY_Res by Plant Acct P16(REG)'!H243</f>
        <v>0</v>
      </c>
      <c r="I244" s="13"/>
      <c r="J244" s="14">
        <f>+'KY_Res by Plant Acct P16(REG)'!J243</f>
        <v>0</v>
      </c>
      <c r="K244" s="13"/>
      <c r="L244" s="14">
        <f>+'KY_Res by Plant Acct P16(REG)'!L243</f>
        <v>0</v>
      </c>
      <c r="M244" s="13"/>
      <c r="N244" s="14">
        <f>+'KY_Res by Plant Acct P16(REG)'!N243</f>
        <v>0</v>
      </c>
      <c r="O244" s="13"/>
      <c r="P244" s="14">
        <f>+'KY_Res by Plant Acct P16(REG)'!P243</f>
        <v>0</v>
      </c>
      <c r="Q244" s="13"/>
      <c r="R244" s="14">
        <f t="shared" si="12"/>
        <v>-212107.02</v>
      </c>
    </row>
    <row r="245" spans="1:18" outlineLevel="1" x14ac:dyDescent="0.2">
      <c r="A245" s="3" t="s">
        <v>3653</v>
      </c>
      <c r="B245" s="14">
        <f>+'KY_Res by Plant Acct P16(REG)'!B244</f>
        <v>-15556805.119999997</v>
      </c>
      <c r="C245" s="13"/>
      <c r="D245" s="14">
        <f>+'KY_Res by Plant Acct P16(REG)'!D244</f>
        <v>-687619.02</v>
      </c>
      <c r="E245" s="13"/>
      <c r="F245" s="14">
        <f>+'KY_Res by Plant Acct P16(REG)'!F244</f>
        <v>7964.74</v>
      </c>
      <c r="G245" s="13"/>
      <c r="H245" s="14">
        <f>+'KY_Res by Plant Acct P16(REG)'!H244</f>
        <v>0</v>
      </c>
      <c r="I245" s="13"/>
      <c r="J245" s="14">
        <f>+'KY_Res by Plant Acct P16(REG)'!J244</f>
        <v>0</v>
      </c>
      <c r="K245" s="13"/>
      <c r="L245" s="14">
        <f>+'KY_Res by Plant Acct P16(REG)'!L244</f>
        <v>267.54000000000002</v>
      </c>
      <c r="M245" s="13"/>
      <c r="N245" s="14">
        <f>+'KY_Res by Plant Acct P16(REG)'!N244</f>
        <v>0</v>
      </c>
      <c r="O245" s="13"/>
      <c r="P245" s="14">
        <f>+'KY_Res by Plant Acct P16(REG)'!P244</f>
        <v>0</v>
      </c>
      <c r="Q245" s="13"/>
      <c r="R245" s="14">
        <f t="shared" si="12"/>
        <v>-16236191.859999998</v>
      </c>
    </row>
    <row r="246" spans="1:18" outlineLevel="1" x14ac:dyDescent="0.2">
      <c r="A246" s="3" t="s">
        <v>3654</v>
      </c>
      <c r="B246" s="14">
        <f>+'KY_Res by Plant Acct P16(REG)'!B245</f>
        <v>0</v>
      </c>
      <c r="C246" s="13"/>
      <c r="D246" s="14">
        <f>+'KY_Res by Plant Acct P16(REG)'!D245</f>
        <v>0</v>
      </c>
      <c r="E246" s="13"/>
      <c r="F246" s="14">
        <f>+'KY_Res by Plant Acct P16(REG)'!F245</f>
        <v>0</v>
      </c>
      <c r="G246" s="13"/>
      <c r="H246" s="14">
        <f>+'KY_Res by Plant Acct P16(REG)'!H245</f>
        <v>0</v>
      </c>
      <c r="I246" s="13"/>
      <c r="J246" s="14">
        <f>+'KY_Res by Plant Acct P16(REG)'!J245</f>
        <v>0</v>
      </c>
      <c r="K246" s="13"/>
      <c r="L246" s="14">
        <f>+'KY_Res by Plant Acct P16(REG)'!L245</f>
        <v>0</v>
      </c>
      <c r="M246" s="13"/>
      <c r="N246" s="14">
        <f>+'KY_Res by Plant Acct P16(REG)'!N245</f>
        <v>0</v>
      </c>
      <c r="O246" s="13"/>
      <c r="P246" s="14">
        <f>+'KY_Res by Plant Acct P16(REG)'!P245</f>
        <v>0</v>
      </c>
      <c r="Q246" s="13"/>
      <c r="R246" s="14">
        <f t="shared" si="12"/>
        <v>0</v>
      </c>
    </row>
    <row r="247" spans="1:18" outlineLevel="1" x14ac:dyDescent="0.2">
      <c r="A247" s="3" t="s">
        <v>3655</v>
      </c>
      <c r="B247" s="14">
        <f>+'KY_Res by Plant Acct P16(REG)'!B246</f>
        <v>3.637978807091713E-12</v>
      </c>
      <c r="C247" s="13"/>
      <c r="D247" s="14">
        <f>+'KY_Res by Plant Acct P16(REG)'!D246</f>
        <v>0</v>
      </c>
      <c r="E247" s="13"/>
      <c r="F247" s="14">
        <f>+'KY_Res by Plant Acct P16(REG)'!F246</f>
        <v>0</v>
      </c>
      <c r="G247" s="13"/>
      <c r="H247" s="14">
        <f>+'KY_Res by Plant Acct P16(REG)'!H246</f>
        <v>0</v>
      </c>
      <c r="I247" s="13"/>
      <c r="J247" s="14">
        <f>+'KY_Res by Plant Acct P16(REG)'!J246</f>
        <v>0</v>
      </c>
      <c r="K247" s="13"/>
      <c r="L247" s="14">
        <f>+'KY_Res by Plant Acct P16(REG)'!L246</f>
        <v>0</v>
      </c>
      <c r="M247" s="13"/>
      <c r="N247" s="14">
        <f>+'KY_Res by Plant Acct P16(REG)'!N246</f>
        <v>0</v>
      </c>
      <c r="O247" s="13"/>
      <c r="P247" s="14">
        <f>+'KY_Res by Plant Acct P16(REG)'!P246</f>
        <v>0</v>
      </c>
      <c r="Q247" s="13"/>
      <c r="R247" s="14">
        <f t="shared" si="12"/>
        <v>3.637978807091713E-12</v>
      </c>
    </row>
    <row r="248" spans="1:18" outlineLevel="1" x14ac:dyDescent="0.2">
      <c r="A248" s="3" t="s">
        <v>3656</v>
      </c>
      <c r="B248" s="14">
        <f>+'KY_Res by Plant Acct P16(REG)'!B247</f>
        <v>-82352.100000000006</v>
      </c>
      <c r="C248" s="13"/>
      <c r="D248" s="14">
        <f>+'KY_Res by Plant Acct P16(REG)'!D247</f>
        <v>-55402.8</v>
      </c>
      <c r="E248" s="13"/>
      <c r="F248" s="14">
        <f>+'KY_Res by Plant Acct P16(REG)'!F247</f>
        <v>0</v>
      </c>
      <c r="G248" s="13"/>
      <c r="H248" s="14">
        <f>+'KY_Res by Plant Acct P16(REG)'!H247</f>
        <v>0</v>
      </c>
      <c r="I248" s="13"/>
      <c r="J248" s="14">
        <f>+'KY_Res by Plant Acct P16(REG)'!J247</f>
        <v>0</v>
      </c>
      <c r="K248" s="13"/>
      <c r="L248" s="14">
        <f>+'KY_Res by Plant Acct P16(REG)'!L247</f>
        <v>0</v>
      </c>
      <c r="M248" s="13"/>
      <c r="N248" s="14">
        <f>+'KY_Res by Plant Acct P16(REG)'!N247</f>
        <v>0</v>
      </c>
      <c r="O248" s="13"/>
      <c r="P248" s="14">
        <f>+'KY_Res by Plant Acct P16(REG)'!P247</f>
        <v>0</v>
      </c>
      <c r="Q248" s="13"/>
      <c r="R248" s="14">
        <f>SUM(B248:P248)</f>
        <v>-137754.90000000002</v>
      </c>
    </row>
    <row r="249" spans="1:18" outlineLevel="1" x14ac:dyDescent="0.2">
      <c r="A249" s="3" t="s">
        <v>3973</v>
      </c>
      <c r="B249" s="14">
        <f>+'KY_Res by Plant Acct P16(REG)'!B248</f>
        <v>-13742095.550000004</v>
      </c>
      <c r="C249" s="13"/>
      <c r="D249" s="14">
        <f>+'KY_Res by Plant Acct P16(REG)'!D248</f>
        <v>-167657.20000000001</v>
      </c>
      <c r="E249" s="13"/>
      <c r="F249" s="14">
        <f>+'KY_Res by Plant Acct P16(REG)'!F248</f>
        <v>998.02</v>
      </c>
      <c r="G249" s="13"/>
      <c r="H249" s="14">
        <f>+'KY_Res by Plant Acct P16(REG)'!H248</f>
        <v>0</v>
      </c>
      <c r="I249" s="13"/>
      <c r="J249" s="14">
        <f>+'KY_Res by Plant Acct P16(REG)'!J248</f>
        <v>0</v>
      </c>
      <c r="K249" s="13"/>
      <c r="L249" s="14">
        <f>+'KY_Res by Plant Acct P16(REG)'!L248</f>
        <v>2531.7399999999998</v>
      </c>
      <c r="M249" s="13"/>
      <c r="N249" s="14">
        <f>+'KY_Res by Plant Acct P16(REG)'!N248</f>
        <v>0</v>
      </c>
      <c r="O249" s="13"/>
      <c r="P249" s="14">
        <f>+'KY_Res by Plant Acct P16(REG)'!P248</f>
        <v>0</v>
      </c>
      <c r="Q249" s="13"/>
      <c r="R249" s="14">
        <f t="shared" si="12"/>
        <v>-13906222.990000004</v>
      </c>
    </row>
    <row r="250" spans="1:18" outlineLevel="1" x14ac:dyDescent="0.2">
      <c r="A250" s="3" t="s">
        <v>3658</v>
      </c>
      <c r="B250" s="14">
        <f>+'KY_Res by Plant Acct P16(REG)'!B249</f>
        <v>0</v>
      </c>
      <c r="C250" s="13"/>
      <c r="D250" s="14">
        <f>+'KY_Res by Plant Acct P16(REG)'!D249</f>
        <v>0</v>
      </c>
      <c r="E250" s="13"/>
      <c r="F250" s="14">
        <f>+'KY_Res by Plant Acct P16(REG)'!F249</f>
        <v>0</v>
      </c>
      <c r="G250" s="13"/>
      <c r="H250" s="14">
        <f>+'KY_Res by Plant Acct P16(REG)'!H249</f>
        <v>0</v>
      </c>
      <c r="I250" s="13"/>
      <c r="J250" s="14">
        <f>+'KY_Res by Plant Acct P16(REG)'!J249</f>
        <v>0</v>
      </c>
      <c r="K250" s="13"/>
      <c r="L250" s="14">
        <f>+'KY_Res by Plant Acct P16(REG)'!L249</f>
        <v>0</v>
      </c>
      <c r="M250" s="13"/>
      <c r="N250" s="14">
        <f>+'KY_Res by Plant Acct P16(REG)'!N249</f>
        <v>0</v>
      </c>
      <c r="O250" s="13"/>
      <c r="P250" s="14">
        <f>+'KY_Res by Plant Acct P16(REG)'!P249</f>
        <v>0</v>
      </c>
      <c r="Q250" s="13"/>
      <c r="R250" s="14">
        <f t="shared" si="12"/>
        <v>0</v>
      </c>
    </row>
    <row r="251" spans="1:18" outlineLevel="1" x14ac:dyDescent="0.2">
      <c r="A251" s="3" t="s">
        <v>3659</v>
      </c>
      <c r="B251" s="14">
        <f>+'KY_Res by Plant Acct P16(REG)'!B250</f>
        <v>0</v>
      </c>
      <c r="C251" s="13"/>
      <c r="D251" s="14">
        <f>+'KY_Res by Plant Acct P16(REG)'!D250</f>
        <v>0</v>
      </c>
      <c r="E251" s="13"/>
      <c r="F251" s="14">
        <f>+'KY_Res by Plant Acct P16(REG)'!F250</f>
        <v>0</v>
      </c>
      <c r="G251" s="13"/>
      <c r="H251" s="14">
        <f>+'KY_Res by Plant Acct P16(REG)'!H250</f>
        <v>0</v>
      </c>
      <c r="I251" s="13"/>
      <c r="J251" s="14">
        <f>+'KY_Res by Plant Acct P16(REG)'!J250</f>
        <v>0</v>
      </c>
      <c r="K251" s="13"/>
      <c r="L251" s="14">
        <f>+'KY_Res by Plant Acct P16(REG)'!L250</f>
        <v>0</v>
      </c>
      <c r="M251" s="13"/>
      <c r="N251" s="14">
        <f>+'KY_Res by Plant Acct P16(REG)'!N250</f>
        <v>0</v>
      </c>
      <c r="O251" s="13"/>
      <c r="P251" s="14">
        <f>+'KY_Res by Plant Acct P16(REG)'!P250</f>
        <v>0</v>
      </c>
      <c r="Q251" s="13"/>
      <c r="R251" s="14">
        <f t="shared" si="12"/>
        <v>0</v>
      </c>
    </row>
    <row r="252" spans="1:18" outlineLevel="1" x14ac:dyDescent="0.2">
      <c r="A252" s="3" t="s">
        <v>3660</v>
      </c>
      <c r="B252" s="14">
        <f>+'KY_Res by Plant Acct P16(REG)'!B251</f>
        <v>-1746255.1999999995</v>
      </c>
      <c r="C252" s="13"/>
      <c r="D252" s="14">
        <f>+'KY_Res by Plant Acct P16(REG)'!D251</f>
        <v>0</v>
      </c>
      <c r="E252" s="13"/>
      <c r="F252" s="14">
        <f>+'KY_Res by Plant Acct P16(REG)'!F251</f>
        <v>0</v>
      </c>
      <c r="G252" s="13"/>
      <c r="H252" s="14">
        <f>+'KY_Res by Plant Acct P16(REG)'!H251</f>
        <v>0</v>
      </c>
      <c r="I252" s="13"/>
      <c r="J252" s="14">
        <f>+'KY_Res by Plant Acct P16(REG)'!J251</f>
        <v>0</v>
      </c>
      <c r="K252" s="13"/>
      <c r="L252" s="14">
        <f>+'KY_Res by Plant Acct P16(REG)'!L251</f>
        <v>0</v>
      </c>
      <c r="M252" s="13"/>
      <c r="N252" s="14">
        <f>+'KY_Res by Plant Acct P16(REG)'!N251</f>
        <v>0</v>
      </c>
      <c r="O252" s="13"/>
      <c r="P252" s="14">
        <f>+'KY_Res by Plant Acct P16(REG)'!P251</f>
        <v>0</v>
      </c>
      <c r="Q252" s="13"/>
      <c r="R252" s="14">
        <f t="shared" si="12"/>
        <v>-1746255.1999999995</v>
      </c>
    </row>
    <row r="253" spans="1:18" outlineLevel="1" x14ac:dyDescent="0.2">
      <c r="A253" s="3" t="s">
        <v>3661</v>
      </c>
      <c r="B253" s="14">
        <f>+'KY_Res by Plant Acct P16(REG)'!B252</f>
        <v>-2808512.16</v>
      </c>
      <c r="C253" s="13"/>
      <c r="D253" s="14">
        <f>+'KY_Res by Plant Acct P16(REG)'!D252</f>
        <v>0</v>
      </c>
      <c r="E253" s="13"/>
      <c r="F253" s="14">
        <f>+'KY_Res by Plant Acct P16(REG)'!F252</f>
        <v>0</v>
      </c>
      <c r="G253" s="13"/>
      <c r="H253" s="14">
        <f>+'KY_Res by Plant Acct P16(REG)'!H252</f>
        <v>0</v>
      </c>
      <c r="I253" s="13"/>
      <c r="J253" s="14">
        <f>+'KY_Res by Plant Acct P16(REG)'!J252</f>
        <v>0</v>
      </c>
      <c r="K253" s="13"/>
      <c r="L253" s="14">
        <f>+'KY_Res by Plant Acct P16(REG)'!L252</f>
        <v>0</v>
      </c>
      <c r="M253" s="13"/>
      <c r="N253" s="14">
        <f>+'KY_Res by Plant Acct P16(REG)'!N252</f>
        <v>0</v>
      </c>
      <c r="O253" s="13"/>
      <c r="P253" s="14">
        <f>+'KY_Res by Plant Acct P16(REG)'!P252</f>
        <v>0</v>
      </c>
      <c r="Q253" s="13"/>
      <c r="R253" s="14">
        <f t="shared" si="12"/>
        <v>-2808512.16</v>
      </c>
    </row>
    <row r="254" spans="1:18" outlineLevel="1" x14ac:dyDescent="0.2">
      <c r="A254" s="3" t="s">
        <v>3662</v>
      </c>
      <c r="B254" s="14">
        <f>+'KY_Res by Plant Acct P16(REG)'!B253</f>
        <v>-3975248.0199999996</v>
      </c>
      <c r="C254" s="13"/>
      <c r="D254" s="14">
        <f>+'KY_Res by Plant Acct P16(REG)'!D253</f>
        <v>-263569.2</v>
      </c>
      <c r="E254" s="13"/>
      <c r="F254" s="14">
        <f>+'KY_Res by Plant Acct P16(REG)'!F253</f>
        <v>0</v>
      </c>
      <c r="G254" s="13"/>
      <c r="H254" s="14">
        <f>+'KY_Res by Plant Acct P16(REG)'!H253</f>
        <v>0</v>
      </c>
      <c r="I254" s="13"/>
      <c r="J254" s="14">
        <f>+'KY_Res by Plant Acct P16(REG)'!J253</f>
        <v>0</v>
      </c>
      <c r="K254" s="13"/>
      <c r="L254" s="14">
        <f>+'KY_Res by Plant Acct P16(REG)'!L253</f>
        <v>0</v>
      </c>
      <c r="M254" s="13"/>
      <c r="N254" s="14">
        <f>+'KY_Res by Plant Acct P16(REG)'!N253</f>
        <v>0</v>
      </c>
      <c r="O254" s="13"/>
      <c r="P254" s="14">
        <f>+'KY_Res by Plant Acct P16(REG)'!P253</f>
        <v>0</v>
      </c>
      <c r="Q254" s="13"/>
      <c r="R254" s="14">
        <f t="shared" si="12"/>
        <v>-4238817.22</v>
      </c>
    </row>
    <row r="255" spans="1:18" outlineLevel="1" x14ac:dyDescent="0.2">
      <c r="A255" s="3" t="s">
        <v>3663</v>
      </c>
      <c r="B255" s="14">
        <f>+'KY_Res by Plant Acct P16(REG)'!B254</f>
        <v>0</v>
      </c>
      <c r="C255" s="13"/>
      <c r="D255" s="14">
        <f>+'KY_Res by Plant Acct P16(REG)'!D254</f>
        <v>0</v>
      </c>
      <c r="E255" s="13"/>
      <c r="F255" s="14">
        <f>+'KY_Res by Plant Acct P16(REG)'!F254</f>
        <v>0</v>
      </c>
      <c r="G255" s="13"/>
      <c r="H255" s="14">
        <f>+'KY_Res by Plant Acct P16(REG)'!H254</f>
        <v>0</v>
      </c>
      <c r="I255" s="13"/>
      <c r="J255" s="14">
        <f>+'KY_Res by Plant Acct P16(REG)'!J254</f>
        <v>0</v>
      </c>
      <c r="K255" s="13"/>
      <c r="L255" s="14">
        <f>+'KY_Res by Plant Acct P16(REG)'!L254</f>
        <v>0</v>
      </c>
      <c r="M255" s="13"/>
      <c r="N255" s="14">
        <f>+'KY_Res by Plant Acct P16(REG)'!N254</f>
        <v>0</v>
      </c>
      <c r="O255" s="13"/>
      <c r="P255" s="14">
        <f>+'KY_Res by Plant Acct P16(REG)'!P254</f>
        <v>0</v>
      </c>
      <c r="Q255" s="13"/>
      <c r="R255" s="14">
        <f t="shared" si="12"/>
        <v>0</v>
      </c>
    </row>
    <row r="256" spans="1:18" outlineLevel="1" x14ac:dyDescent="0.2">
      <c r="A256" s="3" t="s">
        <v>3664</v>
      </c>
      <c r="B256" s="14">
        <f>+'KY_Res by Plant Acct P16(REG)'!B255</f>
        <v>-39691.319999999949</v>
      </c>
      <c r="C256" s="13"/>
      <c r="D256" s="14">
        <f>+'KY_Res by Plant Acct P16(REG)'!D255</f>
        <v>0</v>
      </c>
      <c r="E256" s="13"/>
      <c r="F256" s="14">
        <f>+'KY_Res by Plant Acct P16(REG)'!F255</f>
        <v>0</v>
      </c>
      <c r="G256" s="13"/>
      <c r="H256" s="14">
        <f>+'KY_Res by Plant Acct P16(REG)'!H255</f>
        <v>0</v>
      </c>
      <c r="I256" s="13"/>
      <c r="J256" s="14">
        <f>+'KY_Res by Plant Acct P16(REG)'!J255</f>
        <v>0</v>
      </c>
      <c r="K256" s="13"/>
      <c r="L256" s="14">
        <f>+'KY_Res by Plant Acct P16(REG)'!L255</f>
        <v>0</v>
      </c>
      <c r="M256" s="13"/>
      <c r="N256" s="14">
        <f>+'KY_Res by Plant Acct P16(REG)'!N255</f>
        <v>0</v>
      </c>
      <c r="O256" s="13"/>
      <c r="P256" s="14">
        <f>+'KY_Res by Plant Acct P16(REG)'!P255</f>
        <v>0</v>
      </c>
      <c r="Q256" s="13"/>
      <c r="R256" s="14">
        <f t="shared" si="12"/>
        <v>-39691.319999999949</v>
      </c>
    </row>
    <row r="257" spans="1:20" outlineLevel="1" x14ac:dyDescent="0.2">
      <c r="A257" s="3" t="s">
        <v>3665</v>
      </c>
      <c r="B257" s="14">
        <f>+'KY_Res by Plant Acct P16(REG)'!B256</f>
        <v>-713560.87000000011</v>
      </c>
      <c r="C257" s="13"/>
      <c r="D257" s="14">
        <f>+'KY_Res by Plant Acct P16(REG)'!D256</f>
        <v>-10919.28</v>
      </c>
      <c r="E257" s="13"/>
      <c r="F257" s="14">
        <f>+'KY_Res by Plant Acct P16(REG)'!F256</f>
        <v>0</v>
      </c>
      <c r="G257" s="13"/>
      <c r="H257" s="14">
        <f>+'KY_Res by Plant Acct P16(REG)'!H256</f>
        <v>0</v>
      </c>
      <c r="I257" s="13"/>
      <c r="J257" s="14">
        <f>+'KY_Res by Plant Acct P16(REG)'!J256</f>
        <v>0</v>
      </c>
      <c r="K257" s="13"/>
      <c r="L257" s="14">
        <f>+'KY_Res by Plant Acct P16(REG)'!L256</f>
        <v>0</v>
      </c>
      <c r="M257" s="13"/>
      <c r="N257" s="14">
        <f>+'KY_Res by Plant Acct P16(REG)'!N256</f>
        <v>0</v>
      </c>
      <c r="O257" s="13"/>
      <c r="P257" s="14">
        <f>+'KY_Res by Plant Acct P16(REG)'!P256</f>
        <v>0</v>
      </c>
      <c r="Q257" s="13"/>
      <c r="R257" s="14">
        <f t="shared" si="12"/>
        <v>-724480.15000000014</v>
      </c>
    </row>
    <row r="258" spans="1:20" outlineLevel="1" x14ac:dyDescent="0.2">
      <c r="A258" s="43" t="s">
        <v>3666</v>
      </c>
      <c r="B258" s="14">
        <f>+'KY_Res by Plant Acct P16(REG)'!B257</f>
        <v>-3082793.34</v>
      </c>
      <c r="C258" s="13"/>
      <c r="D258" s="14">
        <f>+'KY_Res by Plant Acct P16(REG)'!D257</f>
        <v>-71122.559999999998</v>
      </c>
      <c r="E258" s="13"/>
      <c r="F258" s="14">
        <f>+'KY_Res by Plant Acct P16(REG)'!F257</f>
        <v>0</v>
      </c>
      <c r="G258" s="13"/>
      <c r="H258" s="14">
        <f>+'KY_Res by Plant Acct P16(REG)'!H257</f>
        <v>0</v>
      </c>
      <c r="I258" s="13"/>
      <c r="J258" s="14">
        <f>+'KY_Res by Plant Acct P16(REG)'!J257</f>
        <v>0</v>
      </c>
      <c r="K258" s="13"/>
      <c r="L258" s="14">
        <f>+'KY_Res by Plant Acct P16(REG)'!L257</f>
        <v>0</v>
      </c>
      <c r="M258" s="13"/>
      <c r="N258" s="14">
        <f>+'KY_Res by Plant Acct P16(REG)'!N257</f>
        <v>0</v>
      </c>
      <c r="O258" s="13"/>
      <c r="P258" s="14">
        <f>+'KY_Res by Plant Acct P16(REG)'!P257</f>
        <v>0</v>
      </c>
      <c r="Q258" s="13"/>
      <c r="R258" s="14">
        <f t="shared" si="12"/>
        <v>-3153915.9</v>
      </c>
    </row>
    <row r="259" spans="1:20" outlineLevel="1" x14ac:dyDescent="0.2">
      <c r="A259" s="3" t="s">
        <v>3974</v>
      </c>
      <c r="B259" s="14">
        <f>+'KY_Res by Plant Acct P16(REG)'!B258</f>
        <v>-25570064.380000003</v>
      </c>
      <c r="C259" s="13"/>
      <c r="D259" s="14">
        <f>+'KY_Res by Plant Acct P16(REG)'!D258</f>
        <v>-1753903.4</v>
      </c>
      <c r="E259" s="13"/>
      <c r="F259" s="14">
        <f>+'KY_Res by Plant Acct P16(REG)'!F258</f>
        <v>6812.87</v>
      </c>
      <c r="G259" s="13"/>
      <c r="H259" s="14">
        <f>+'KY_Res by Plant Acct P16(REG)'!H258</f>
        <v>1205378.3600000001</v>
      </c>
      <c r="I259" s="13"/>
      <c r="J259" s="14">
        <f>+'KY_Res by Plant Acct P16(REG)'!J258</f>
        <v>0</v>
      </c>
      <c r="K259" s="13"/>
      <c r="L259" s="14">
        <f>+'KY_Res by Plant Acct P16(REG)'!L258</f>
        <v>2439.44</v>
      </c>
      <c r="M259" s="13"/>
      <c r="N259" s="14">
        <f>+'KY_Res by Plant Acct P16(REG)'!N258</f>
        <v>0</v>
      </c>
      <c r="O259" s="13"/>
      <c r="P259" s="14">
        <f>+'KY_Res by Plant Acct P16(REG)'!P258</f>
        <v>-599.4</v>
      </c>
      <c r="Q259" s="13"/>
      <c r="R259" s="14">
        <f t="shared" si="12"/>
        <v>-26109936.509999998</v>
      </c>
      <c r="T259" s="13"/>
    </row>
    <row r="260" spans="1:20" outlineLevel="1" x14ac:dyDescent="0.2">
      <c r="A260" s="3" t="s">
        <v>3975</v>
      </c>
      <c r="B260" s="14">
        <f>+'KY_Res by Plant Acct P16(REG)'!B259</f>
        <v>0</v>
      </c>
      <c r="C260" s="13"/>
      <c r="D260" s="14">
        <f>+'KY_Res by Plant Acct P16(REG)'!D259</f>
        <v>0</v>
      </c>
      <c r="E260" s="13"/>
      <c r="F260" s="14">
        <f>+'KY_Res by Plant Acct P16(REG)'!F259</f>
        <v>0</v>
      </c>
      <c r="G260" s="13"/>
      <c r="H260" s="14">
        <f>+'KY_Res by Plant Acct P16(REG)'!H259</f>
        <v>0</v>
      </c>
      <c r="I260" s="13"/>
      <c r="J260" s="14">
        <f>+'KY_Res by Plant Acct P16(REG)'!J259</f>
        <v>0</v>
      </c>
      <c r="K260" s="13"/>
      <c r="L260" s="14">
        <f>+'KY_Res by Plant Acct P16(REG)'!L259</f>
        <v>0</v>
      </c>
      <c r="M260" s="13"/>
      <c r="N260" s="14">
        <f>+'KY_Res by Plant Acct P16(REG)'!N259</f>
        <v>0</v>
      </c>
      <c r="O260" s="13"/>
      <c r="P260" s="14">
        <f>+'KY_Res by Plant Acct P16(REG)'!P259</f>
        <v>0</v>
      </c>
      <c r="Q260" s="13"/>
      <c r="R260" s="14">
        <f t="shared" si="12"/>
        <v>0</v>
      </c>
      <c r="T260" s="13"/>
    </row>
    <row r="261" spans="1:20" outlineLevel="1" x14ac:dyDescent="0.2">
      <c r="A261" s="73" t="s">
        <v>3976</v>
      </c>
      <c r="B261" s="14">
        <f>+'KY_Res by Plant Acct P16(REG)'!B260</f>
        <v>-23154.03</v>
      </c>
      <c r="C261" s="13"/>
      <c r="D261" s="14">
        <f>+'KY_Res by Plant Acct P16(REG)'!D260</f>
        <v>-8530.7999999999993</v>
      </c>
      <c r="E261" s="13"/>
      <c r="F261" s="14">
        <f>+'KY_Res by Plant Acct P16(REG)'!F260</f>
        <v>0</v>
      </c>
      <c r="G261" s="13"/>
      <c r="H261" s="14">
        <f>+'KY_Res by Plant Acct P16(REG)'!H260</f>
        <v>0</v>
      </c>
      <c r="I261" s="13"/>
      <c r="J261" s="14">
        <f>+'KY_Res by Plant Acct P16(REG)'!J260</f>
        <v>0</v>
      </c>
      <c r="K261" s="13"/>
      <c r="L261" s="14">
        <f>+'KY_Res by Plant Acct P16(REG)'!L260</f>
        <v>0</v>
      </c>
      <c r="M261" s="13"/>
      <c r="N261" s="14">
        <f>+'KY_Res by Plant Acct P16(REG)'!N260</f>
        <v>0</v>
      </c>
      <c r="O261" s="13"/>
      <c r="P261" s="14">
        <f>+'KY_Res by Plant Acct P16(REG)'!P260</f>
        <v>0</v>
      </c>
      <c r="Q261" s="13"/>
      <c r="R261" s="14">
        <f t="shared" si="12"/>
        <v>-31684.829999999998</v>
      </c>
      <c r="T261" s="13"/>
    </row>
    <row r="262" spans="1:20" outlineLevel="1" x14ac:dyDescent="0.2">
      <c r="A262" s="3" t="s">
        <v>3670</v>
      </c>
      <c r="B262" s="14">
        <f>+'KY_Res by Plant Acct P16(REG)'!B261</f>
        <v>-554284.6</v>
      </c>
      <c r="C262" s="13"/>
      <c r="D262" s="14">
        <f>+'KY_Res by Plant Acct P16(REG)'!D261</f>
        <v>0</v>
      </c>
      <c r="E262" s="13"/>
      <c r="F262" s="14">
        <f>+'KY_Res by Plant Acct P16(REG)'!F261</f>
        <v>0</v>
      </c>
      <c r="G262" s="13"/>
      <c r="H262" s="14">
        <f>+'KY_Res by Plant Acct P16(REG)'!H261</f>
        <v>0</v>
      </c>
      <c r="I262" s="13"/>
      <c r="J262" s="14">
        <f>+'KY_Res by Plant Acct P16(REG)'!J261</f>
        <v>0</v>
      </c>
      <c r="K262" s="13"/>
      <c r="L262" s="14">
        <f>+'KY_Res by Plant Acct P16(REG)'!L261</f>
        <v>0</v>
      </c>
      <c r="M262" s="13"/>
      <c r="N262" s="14">
        <f>+'KY_Res by Plant Acct P16(REG)'!N261</f>
        <v>0</v>
      </c>
      <c r="O262" s="13"/>
      <c r="P262" s="14">
        <f>+'KY_Res by Plant Acct P16(REG)'!P261</f>
        <v>0</v>
      </c>
      <c r="Q262" s="13"/>
      <c r="R262" s="14">
        <f t="shared" si="12"/>
        <v>-554284.6</v>
      </c>
    </row>
    <row r="263" spans="1:20" outlineLevel="1" x14ac:dyDescent="0.2">
      <c r="A263" s="3" t="s">
        <v>3671</v>
      </c>
      <c r="B263" s="14">
        <f>+'KY_Res by Plant Acct P16(REG)'!B262</f>
        <v>-1365937.5799999989</v>
      </c>
      <c r="C263" s="13"/>
      <c r="D263" s="14">
        <f>+'KY_Res by Plant Acct P16(REG)'!D262</f>
        <v>0</v>
      </c>
      <c r="E263" s="13"/>
      <c r="F263" s="14">
        <f>+'KY_Res by Plant Acct P16(REG)'!F262</f>
        <v>61718.59</v>
      </c>
      <c r="G263" s="13"/>
      <c r="H263" s="14">
        <f>+'KY_Res by Plant Acct P16(REG)'!H262</f>
        <v>0</v>
      </c>
      <c r="I263" s="13"/>
      <c r="J263" s="14">
        <f>+'KY_Res by Plant Acct P16(REG)'!J262</f>
        <v>0</v>
      </c>
      <c r="K263" s="13"/>
      <c r="L263" s="14">
        <f>+'KY_Res by Plant Acct P16(REG)'!L262</f>
        <v>0</v>
      </c>
      <c r="M263" s="13"/>
      <c r="N263" s="14">
        <f>+'KY_Res by Plant Acct P16(REG)'!N262</f>
        <v>0</v>
      </c>
      <c r="O263" s="13"/>
      <c r="P263" s="14">
        <f>+'KY_Res by Plant Acct P16(REG)'!P262</f>
        <v>0</v>
      </c>
      <c r="Q263" s="13"/>
      <c r="R263" s="14">
        <f t="shared" si="12"/>
        <v>-1304218.9899999988</v>
      </c>
    </row>
    <row r="264" spans="1:20" x14ac:dyDescent="0.2">
      <c r="A264" s="3" t="s">
        <v>3672</v>
      </c>
      <c r="B264" s="14">
        <f>SUM(B231:B263)</f>
        <v>-172261907.80000004</v>
      </c>
      <c r="C264" s="13"/>
      <c r="D264" s="14">
        <f>SUM(D231:D263)</f>
        <v>-6283649.2599999988</v>
      </c>
      <c r="E264" s="13"/>
      <c r="F264" s="14">
        <f>SUM(F231:F263)</f>
        <v>917939.3899999999</v>
      </c>
      <c r="G264" s="13"/>
      <c r="H264" s="14">
        <f>SUM(H231:H263)</f>
        <v>1536601.12</v>
      </c>
      <c r="I264" s="13"/>
      <c r="J264" s="14">
        <f>SUM(J231:J263)</f>
        <v>0</v>
      </c>
      <c r="K264" s="13"/>
      <c r="L264" s="14">
        <f>SUM(L231:L263)</f>
        <v>350960.85</v>
      </c>
      <c r="M264" s="13"/>
      <c r="N264" s="14">
        <f>SUM(N231:N263)</f>
        <v>-708.09</v>
      </c>
      <c r="O264" s="13"/>
      <c r="P264" s="14">
        <f>SUM(P231:P263)</f>
        <v>-599.4</v>
      </c>
      <c r="Q264" s="13"/>
      <c r="R264" s="14">
        <f>SUM(R231:R263)</f>
        <v>-175741363.19</v>
      </c>
    </row>
    <row r="265" spans="1:20" outlineLevel="1" x14ac:dyDescent="0.2">
      <c r="A265" s="3" t="s">
        <v>3673</v>
      </c>
      <c r="B265" s="14">
        <f>+'KY_Res by Plant Acct P16(REG)'!B264</f>
        <v>0</v>
      </c>
      <c r="C265" s="13"/>
      <c r="D265" s="14">
        <f>+'KY_Res by Plant Acct P16(REG)'!D264</f>
        <v>0</v>
      </c>
      <c r="E265" s="13"/>
      <c r="F265" s="14">
        <f>+'KY_Res by Plant Acct P16(REG)'!F264</f>
        <v>0</v>
      </c>
      <c r="G265" s="13"/>
      <c r="H265" s="14">
        <f>+'KY_Res by Plant Acct P16(REG)'!H264</f>
        <v>0</v>
      </c>
      <c r="I265" s="13"/>
      <c r="J265" s="14">
        <f>+'KY_Res by Plant Acct P16(REG)'!J264</f>
        <v>0</v>
      </c>
      <c r="K265" s="13"/>
      <c r="L265" s="14">
        <f>+'KY_Res by Plant Acct P16(REG)'!L264</f>
        <v>0</v>
      </c>
      <c r="M265" s="13"/>
      <c r="N265" s="14">
        <f>+'KY_Res by Plant Acct P16(REG)'!N264</f>
        <v>0</v>
      </c>
      <c r="O265" s="13"/>
      <c r="P265" s="14">
        <f>+'KY_Res by Plant Acct P16(REG)'!P264</f>
        <v>0</v>
      </c>
      <c r="Q265" s="13"/>
      <c r="R265" s="14">
        <f t="shared" ref="R265:R272" si="13">SUM(B265:P265)</f>
        <v>0</v>
      </c>
    </row>
    <row r="266" spans="1:20" outlineLevel="1" x14ac:dyDescent="0.2">
      <c r="A266" s="3" t="s">
        <v>3674</v>
      </c>
      <c r="B266" s="14">
        <f>+'KY_Res by Plant Acct P16(REG)'!B265</f>
        <v>0</v>
      </c>
      <c r="C266" s="13"/>
      <c r="D266" s="14">
        <f>+'KY_Res by Plant Acct P16(REG)'!D265</f>
        <v>0</v>
      </c>
      <c r="E266" s="13"/>
      <c r="F266" s="14">
        <f>+'KY_Res by Plant Acct P16(REG)'!F265</f>
        <v>0</v>
      </c>
      <c r="G266" s="13"/>
      <c r="H266" s="14">
        <f>+'KY_Res by Plant Acct P16(REG)'!H265</f>
        <v>0</v>
      </c>
      <c r="I266" s="13"/>
      <c r="J266" s="14">
        <f>+'KY_Res by Plant Acct P16(REG)'!J265</f>
        <v>0</v>
      </c>
      <c r="K266" s="13"/>
      <c r="L266" s="14">
        <f>+'KY_Res by Plant Acct P16(REG)'!L265</f>
        <v>0</v>
      </c>
      <c r="M266" s="13"/>
      <c r="N266" s="14">
        <f>+'KY_Res by Plant Acct P16(REG)'!N265</f>
        <v>0</v>
      </c>
      <c r="O266" s="13"/>
      <c r="P266" s="14">
        <f>+'KY_Res by Plant Acct P16(REG)'!P265</f>
        <v>0</v>
      </c>
      <c r="Q266" s="13"/>
      <c r="R266" s="14">
        <f>SUM(B266:P266)</f>
        <v>0</v>
      </c>
    </row>
    <row r="267" spans="1:20" outlineLevel="1" x14ac:dyDescent="0.2">
      <c r="A267" s="3" t="s">
        <v>3675</v>
      </c>
      <c r="B267" s="14">
        <f>+'KY_Res by Plant Acct P16(REG)'!B266</f>
        <v>0</v>
      </c>
      <c r="C267" s="13"/>
      <c r="D267" s="14">
        <f>+'KY_Res by Plant Acct P16(REG)'!D266</f>
        <v>0</v>
      </c>
      <c r="E267" s="13"/>
      <c r="F267" s="14">
        <f>+'KY_Res by Plant Acct P16(REG)'!F266</f>
        <v>0</v>
      </c>
      <c r="G267" s="13"/>
      <c r="H267" s="14">
        <f>+'KY_Res by Plant Acct P16(REG)'!H266</f>
        <v>0</v>
      </c>
      <c r="I267" s="13"/>
      <c r="J267" s="14">
        <f>+'KY_Res by Plant Acct P16(REG)'!J266</f>
        <v>0</v>
      </c>
      <c r="K267" s="13"/>
      <c r="L267" s="14">
        <f>+'KY_Res by Plant Acct P16(REG)'!L266</f>
        <v>0</v>
      </c>
      <c r="M267" s="13"/>
      <c r="N267" s="14">
        <f>+'KY_Res by Plant Acct P16(REG)'!N266</f>
        <v>0</v>
      </c>
      <c r="O267" s="13"/>
      <c r="P267" s="14">
        <f>+'KY_Res by Plant Acct P16(REG)'!P266</f>
        <v>0</v>
      </c>
      <c r="Q267" s="13"/>
      <c r="R267" s="14">
        <f t="shared" si="13"/>
        <v>0</v>
      </c>
    </row>
    <row r="268" spans="1:20" outlineLevel="1" x14ac:dyDescent="0.2">
      <c r="A268" s="3" t="s">
        <v>3676</v>
      </c>
      <c r="B268" s="14">
        <f>+'KY_Res by Plant Acct P16(REG)'!B267</f>
        <v>0</v>
      </c>
      <c r="C268" s="13"/>
      <c r="D268" s="14">
        <f>+'KY_Res by Plant Acct P16(REG)'!D267</f>
        <v>0</v>
      </c>
      <c r="E268" s="13"/>
      <c r="F268" s="14">
        <f>+'KY_Res by Plant Acct P16(REG)'!F267</f>
        <v>0</v>
      </c>
      <c r="G268" s="13"/>
      <c r="H268" s="14">
        <f>+'KY_Res by Plant Acct P16(REG)'!H267</f>
        <v>0</v>
      </c>
      <c r="I268" s="13"/>
      <c r="J268" s="14">
        <f>+'KY_Res by Plant Acct P16(REG)'!J267</f>
        <v>0</v>
      </c>
      <c r="K268" s="13"/>
      <c r="L268" s="14">
        <f>+'KY_Res by Plant Acct P16(REG)'!L267</f>
        <v>0</v>
      </c>
      <c r="M268" s="13"/>
      <c r="N268" s="14">
        <f>+'KY_Res by Plant Acct P16(REG)'!N267</f>
        <v>0</v>
      </c>
      <c r="O268" s="13"/>
      <c r="P268" s="14">
        <f>+'KY_Res by Plant Acct P16(REG)'!P267</f>
        <v>0</v>
      </c>
      <c r="Q268" s="13"/>
      <c r="R268" s="14">
        <f t="shared" si="13"/>
        <v>0</v>
      </c>
    </row>
    <row r="269" spans="1:20" outlineLevel="1" x14ac:dyDescent="0.2">
      <c r="A269" s="3" t="s">
        <v>3677</v>
      </c>
      <c r="B269" s="14">
        <f>+'KY_Res by Plant Acct P16(REG)'!B268</f>
        <v>0</v>
      </c>
      <c r="C269" s="13"/>
      <c r="D269" s="14">
        <f>+'KY_Res by Plant Acct P16(REG)'!D268</f>
        <v>0</v>
      </c>
      <c r="E269" s="13"/>
      <c r="F269" s="14">
        <f>+'KY_Res by Plant Acct P16(REG)'!F268</f>
        <v>0</v>
      </c>
      <c r="G269" s="13"/>
      <c r="H269" s="14">
        <f>+'KY_Res by Plant Acct P16(REG)'!H268</f>
        <v>0</v>
      </c>
      <c r="I269" s="13"/>
      <c r="J269" s="14">
        <f>+'KY_Res by Plant Acct P16(REG)'!J268</f>
        <v>0</v>
      </c>
      <c r="K269" s="13"/>
      <c r="L269" s="14">
        <f>+'KY_Res by Plant Acct P16(REG)'!L268</f>
        <v>0</v>
      </c>
      <c r="M269" s="13"/>
      <c r="N269" s="14">
        <f>+'KY_Res by Plant Acct P16(REG)'!N268</f>
        <v>0</v>
      </c>
      <c r="O269" s="13"/>
      <c r="P269" s="14">
        <f>+'KY_Res by Plant Acct P16(REG)'!P268</f>
        <v>0</v>
      </c>
      <c r="Q269" s="13"/>
      <c r="R269" s="14">
        <f t="shared" si="13"/>
        <v>0</v>
      </c>
    </row>
    <row r="270" spans="1:20" outlineLevel="1" x14ac:dyDescent="0.2">
      <c r="A270" s="3" t="s">
        <v>3678</v>
      </c>
      <c r="B270" s="14">
        <f>+'KY_Res by Plant Acct P16(REG)'!B269</f>
        <v>0</v>
      </c>
      <c r="C270" s="13"/>
      <c r="D270" s="14">
        <f>+'KY_Res by Plant Acct P16(REG)'!D269</f>
        <v>0</v>
      </c>
      <c r="E270" s="13"/>
      <c r="F270" s="14">
        <f>+'KY_Res by Plant Acct P16(REG)'!F269</f>
        <v>0</v>
      </c>
      <c r="G270" s="13"/>
      <c r="H270" s="14">
        <f>+'KY_Res by Plant Acct P16(REG)'!H269</f>
        <v>0</v>
      </c>
      <c r="I270" s="13"/>
      <c r="J270" s="14">
        <f>+'KY_Res by Plant Acct P16(REG)'!J269</f>
        <v>0</v>
      </c>
      <c r="K270" s="13"/>
      <c r="L270" s="14">
        <f>+'KY_Res by Plant Acct P16(REG)'!L269</f>
        <v>0</v>
      </c>
      <c r="M270" s="13"/>
      <c r="N270" s="14">
        <f>+'KY_Res by Plant Acct P16(REG)'!N269</f>
        <v>0</v>
      </c>
      <c r="O270" s="13"/>
      <c r="P270" s="14">
        <f>+'KY_Res by Plant Acct P16(REG)'!P269</f>
        <v>0</v>
      </c>
      <c r="Q270" s="13"/>
      <c r="R270" s="14">
        <f t="shared" si="13"/>
        <v>0</v>
      </c>
    </row>
    <row r="271" spans="1:20" outlineLevel="1" x14ac:dyDescent="0.2">
      <c r="A271" s="73" t="s">
        <v>3679</v>
      </c>
      <c r="B271" s="14">
        <f>+'KY_Res by Plant Acct P16(REG)'!B270</f>
        <v>0</v>
      </c>
      <c r="C271" s="13"/>
      <c r="D271" s="14">
        <f>+'KY_Res by Plant Acct P16(REG)'!D270</f>
        <v>0</v>
      </c>
      <c r="E271" s="13"/>
      <c r="F271" s="14">
        <f>+'KY_Res by Plant Acct P16(REG)'!F270</f>
        <v>0</v>
      </c>
      <c r="G271" s="13"/>
      <c r="H271" s="14">
        <f>+'KY_Res by Plant Acct P16(REG)'!H270</f>
        <v>0</v>
      </c>
      <c r="I271" s="13"/>
      <c r="J271" s="14">
        <f>+'KY_Res by Plant Acct P16(REG)'!J270</f>
        <v>0</v>
      </c>
      <c r="K271" s="13"/>
      <c r="L271" s="14">
        <f>+'KY_Res by Plant Acct P16(REG)'!L270</f>
        <v>0</v>
      </c>
      <c r="M271" s="13"/>
      <c r="N271" s="14">
        <f>+'KY_Res by Plant Acct P16(REG)'!N270</f>
        <v>0</v>
      </c>
      <c r="O271" s="13"/>
      <c r="P271" s="14">
        <f>+'KY_Res by Plant Acct P16(REG)'!P270</f>
        <v>0</v>
      </c>
      <c r="Q271" s="13"/>
      <c r="R271" s="14">
        <f t="shared" si="13"/>
        <v>0</v>
      </c>
    </row>
    <row r="272" spans="1:20" outlineLevel="1" x14ac:dyDescent="0.2">
      <c r="A272" s="3" t="s">
        <v>3680</v>
      </c>
      <c r="B272" s="14">
        <f>+'KY_Res by Plant Acct P16(REG)'!B271</f>
        <v>0</v>
      </c>
      <c r="C272" s="13"/>
      <c r="D272" s="14">
        <f>+'KY_Res by Plant Acct P16(REG)'!D271</f>
        <v>0</v>
      </c>
      <c r="E272" s="13"/>
      <c r="F272" s="14">
        <f>+'KY_Res by Plant Acct P16(REG)'!F271</f>
        <v>0</v>
      </c>
      <c r="G272" s="13"/>
      <c r="H272" s="14">
        <f>+'KY_Res by Plant Acct P16(REG)'!H271</f>
        <v>0</v>
      </c>
      <c r="I272" s="13"/>
      <c r="J272" s="14">
        <f>+'KY_Res by Plant Acct P16(REG)'!J271</f>
        <v>0</v>
      </c>
      <c r="K272" s="13"/>
      <c r="L272" s="14">
        <f>+'KY_Res by Plant Acct P16(REG)'!L271</f>
        <v>0</v>
      </c>
      <c r="M272" s="13"/>
      <c r="N272" s="14">
        <f>+'KY_Res by Plant Acct P16(REG)'!N271</f>
        <v>0</v>
      </c>
      <c r="O272" s="13"/>
      <c r="P272" s="14">
        <f>+'KY_Res by Plant Acct P16(REG)'!P271</f>
        <v>0</v>
      </c>
      <c r="Q272" s="13"/>
      <c r="R272" s="14">
        <f t="shared" si="13"/>
        <v>0</v>
      </c>
    </row>
    <row r="273" spans="1:18" x14ac:dyDescent="0.2">
      <c r="A273" s="3" t="s">
        <v>3681</v>
      </c>
      <c r="B273" s="14">
        <f>SUM(B265:B272)</f>
        <v>0</v>
      </c>
      <c r="C273" s="13"/>
      <c r="D273" s="14">
        <f>SUM(D265:D272)</f>
        <v>0</v>
      </c>
      <c r="E273" s="13"/>
      <c r="F273" s="14">
        <f>SUM(F265:F272)</f>
        <v>0</v>
      </c>
      <c r="G273" s="13"/>
      <c r="H273" s="14">
        <f>SUM(H265:H272)</f>
        <v>0</v>
      </c>
      <c r="I273" s="13"/>
      <c r="J273" s="14">
        <f>SUM(J265:J272)</f>
        <v>0</v>
      </c>
      <c r="K273" s="13"/>
      <c r="L273" s="14">
        <f>SUM(L265:L272)</f>
        <v>0</v>
      </c>
      <c r="M273" s="13"/>
      <c r="N273" s="14">
        <f>SUM(N265:N272)</f>
        <v>0</v>
      </c>
      <c r="O273" s="13"/>
      <c r="P273" s="14">
        <f>SUM(P265:P272)</f>
        <v>0</v>
      </c>
      <c r="Q273" s="13"/>
      <c r="R273" s="14">
        <f>SUM(R265:R272)</f>
        <v>0</v>
      </c>
    </row>
    <row r="274" spans="1:18" outlineLevel="1" x14ac:dyDescent="0.2">
      <c r="A274" s="3" t="s">
        <v>3682</v>
      </c>
      <c r="B274" s="14">
        <f>+'KY_Res by Plant Acct P16(REG)'!B273</f>
        <v>-30583487.380000003</v>
      </c>
      <c r="C274" s="13"/>
      <c r="D274" s="14">
        <f>+'KY_Res by Plant Acct P16(REG)'!D273</f>
        <v>-1348008.24</v>
      </c>
      <c r="E274" s="13"/>
      <c r="F274" s="14">
        <f>+'KY_Res by Plant Acct P16(REG)'!F273</f>
        <v>-357575.39</v>
      </c>
      <c r="G274" s="13"/>
      <c r="H274" s="14">
        <f>+'KY_Res by Plant Acct P16(REG)'!H273</f>
        <v>0</v>
      </c>
      <c r="I274" s="13"/>
      <c r="J274" s="14">
        <f>+'KY_Res by Plant Acct P16(REG)'!J273</f>
        <v>0</v>
      </c>
      <c r="K274" s="13"/>
      <c r="L274" s="14">
        <f>+'KY_Res by Plant Acct P16(REG)'!L273</f>
        <v>19685.150000000001</v>
      </c>
      <c r="M274" s="13"/>
      <c r="N274" s="14">
        <f>+'KY_Res by Plant Acct P16(REG)'!N273</f>
        <v>0</v>
      </c>
      <c r="O274" s="13"/>
      <c r="P274" s="14">
        <f>+'KY_Res by Plant Acct P16(REG)'!P273</f>
        <v>0</v>
      </c>
      <c r="Q274" s="13"/>
      <c r="R274" s="14">
        <f t="shared" ref="R274:R324" si="14">SUM(B274:P274)</f>
        <v>-32269385.860000003</v>
      </c>
    </row>
    <row r="275" spans="1:18" outlineLevel="1" x14ac:dyDescent="0.2">
      <c r="A275" s="3" t="s">
        <v>3683</v>
      </c>
      <c r="B275" s="14">
        <f>+'KY_Res by Plant Acct P16(REG)'!B274</f>
        <v>0</v>
      </c>
      <c r="C275" s="13"/>
      <c r="D275" s="14">
        <f>+'KY_Res by Plant Acct P16(REG)'!D274</f>
        <v>0</v>
      </c>
      <c r="E275" s="13"/>
      <c r="F275" s="14">
        <f>+'KY_Res by Plant Acct P16(REG)'!F274</f>
        <v>0</v>
      </c>
      <c r="G275" s="13"/>
      <c r="H275" s="14">
        <f>+'KY_Res by Plant Acct P16(REG)'!H274</f>
        <v>0</v>
      </c>
      <c r="I275" s="13"/>
      <c r="J275" s="14">
        <f>+'KY_Res by Plant Acct P16(REG)'!J274</f>
        <v>0</v>
      </c>
      <c r="K275" s="13"/>
      <c r="L275" s="14">
        <f>+'KY_Res by Plant Acct P16(REG)'!L274</f>
        <v>0</v>
      </c>
      <c r="M275" s="13"/>
      <c r="N275" s="14">
        <f>+'KY_Res by Plant Acct P16(REG)'!N274</f>
        <v>0</v>
      </c>
      <c r="O275" s="13"/>
      <c r="P275" s="14">
        <f>+'KY_Res by Plant Acct P16(REG)'!P274</f>
        <v>0</v>
      </c>
      <c r="Q275" s="13"/>
      <c r="R275" s="14">
        <f t="shared" si="14"/>
        <v>0</v>
      </c>
    </row>
    <row r="276" spans="1:18" outlineLevel="1" x14ac:dyDescent="0.2">
      <c r="A276" s="3" t="s">
        <v>3684</v>
      </c>
      <c r="B276" s="14">
        <f>+'KY_Res by Plant Acct P16(REG)'!B275</f>
        <v>-19194056.259999998</v>
      </c>
      <c r="C276" s="13"/>
      <c r="D276" s="14">
        <f>+'KY_Res by Plant Acct P16(REG)'!D275</f>
        <v>-1206495.67</v>
      </c>
      <c r="E276" s="13"/>
      <c r="F276" s="14">
        <f>+'KY_Res by Plant Acct P16(REG)'!F275</f>
        <v>336729.35</v>
      </c>
      <c r="G276" s="13"/>
      <c r="H276" s="14">
        <f>+'KY_Res by Plant Acct P16(REG)'!H275</f>
        <v>0</v>
      </c>
      <c r="I276" s="13"/>
      <c r="J276" s="14">
        <f>+'KY_Res by Plant Acct P16(REG)'!J275</f>
        <v>0</v>
      </c>
      <c r="K276" s="13"/>
      <c r="L276" s="14">
        <f>+'KY_Res by Plant Acct P16(REG)'!L275</f>
        <v>47776.97</v>
      </c>
      <c r="M276" s="13"/>
      <c r="N276" s="14">
        <f>+'KY_Res by Plant Acct P16(REG)'!N275</f>
        <v>0</v>
      </c>
      <c r="O276" s="13"/>
      <c r="P276" s="14">
        <f>+'KY_Res by Plant Acct P16(REG)'!P275</f>
        <v>0</v>
      </c>
      <c r="Q276" s="13"/>
      <c r="R276" s="14">
        <f t="shared" si="14"/>
        <v>-20016045.609999999</v>
      </c>
    </row>
    <row r="277" spans="1:18" outlineLevel="1" x14ac:dyDescent="0.2">
      <c r="A277" s="3" t="s">
        <v>3685</v>
      </c>
      <c r="B277" s="14">
        <f>+'KY_Res by Plant Acct P16(REG)'!B276</f>
        <v>0</v>
      </c>
      <c r="C277" s="13"/>
      <c r="D277" s="14">
        <f>+'KY_Res by Plant Acct P16(REG)'!D276</f>
        <v>0</v>
      </c>
      <c r="E277" s="13"/>
      <c r="F277" s="14">
        <f>+'KY_Res by Plant Acct P16(REG)'!F276</f>
        <v>0</v>
      </c>
      <c r="G277" s="13"/>
      <c r="H277" s="14">
        <f>+'KY_Res by Plant Acct P16(REG)'!H276</f>
        <v>0</v>
      </c>
      <c r="I277" s="13"/>
      <c r="J277" s="14">
        <f>+'KY_Res by Plant Acct P16(REG)'!J276</f>
        <v>0</v>
      </c>
      <c r="K277" s="13"/>
      <c r="L277" s="14">
        <f>+'KY_Res by Plant Acct P16(REG)'!L276</f>
        <v>0</v>
      </c>
      <c r="M277" s="13"/>
      <c r="N277" s="14">
        <f>+'KY_Res by Plant Acct P16(REG)'!N276</f>
        <v>0</v>
      </c>
      <c r="O277" s="13"/>
      <c r="P277" s="14">
        <f>+'KY_Res by Plant Acct P16(REG)'!P276</f>
        <v>0</v>
      </c>
      <c r="Q277" s="13"/>
      <c r="R277" s="14">
        <f t="shared" si="14"/>
        <v>0</v>
      </c>
    </row>
    <row r="278" spans="1:18" outlineLevel="1" x14ac:dyDescent="0.2">
      <c r="A278" s="3" t="s">
        <v>3686</v>
      </c>
      <c r="B278" s="14">
        <f>+'KY_Res by Plant Acct P16(REG)'!B277</f>
        <v>0</v>
      </c>
      <c r="C278" s="13"/>
      <c r="D278" s="14">
        <f>+'KY_Res by Plant Acct P16(REG)'!D277</f>
        <v>0</v>
      </c>
      <c r="E278" s="13"/>
      <c r="F278" s="14">
        <f>+'KY_Res by Plant Acct P16(REG)'!F277</f>
        <v>0</v>
      </c>
      <c r="G278" s="13"/>
      <c r="H278" s="14">
        <f>+'KY_Res by Plant Acct P16(REG)'!H277</f>
        <v>0</v>
      </c>
      <c r="I278" s="13"/>
      <c r="J278" s="14">
        <f>+'KY_Res by Plant Acct P16(REG)'!J277</f>
        <v>0</v>
      </c>
      <c r="K278" s="13"/>
      <c r="L278" s="14">
        <f>+'KY_Res by Plant Acct P16(REG)'!L277</f>
        <v>0</v>
      </c>
      <c r="M278" s="13"/>
      <c r="N278" s="14">
        <f>+'KY_Res by Plant Acct P16(REG)'!N277</f>
        <v>0</v>
      </c>
      <c r="O278" s="13"/>
      <c r="P278" s="14">
        <f>+'KY_Res by Plant Acct P16(REG)'!P277</f>
        <v>0</v>
      </c>
      <c r="Q278" s="13"/>
      <c r="R278" s="14">
        <f t="shared" si="14"/>
        <v>0</v>
      </c>
    </row>
    <row r="279" spans="1:18" outlineLevel="1" x14ac:dyDescent="0.2">
      <c r="A279" s="3" t="s">
        <v>3687</v>
      </c>
      <c r="B279" s="14">
        <f>+'KY_Res by Plant Acct P16(REG)'!B278</f>
        <v>-72723446.830000013</v>
      </c>
      <c r="C279" s="13"/>
      <c r="D279" s="14">
        <f>+'KY_Res by Plant Acct P16(REG)'!D278</f>
        <v>-3498545.2</v>
      </c>
      <c r="E279" s="13"/>
      <c r="F279" s="14">
        <f>+'KY_Res by Plant Acct P16(REG)'!F278</f>
        <v>1434525.89</v>
      </c>
      <c r="G279" s="13"/>
      <c r="H279" s="14">
        <f>+'KY_Res by Plant Acct P16(REG)'!H278</f>
        <v>-892101.64</v>
      </c>
      <c r="I279" s="13"/>
      <c r="J279" s="14">
        <f>+'KY_Res by Plant Acct P16(REG)'!J278</f>
        <v>0</v>
      </c>
      <c r="K279" s="13"/>
      <c r="L279" s="14">
        <f>+'KY_Res by Plant Acct P16(REG)'!L278</f>
        <v>711859.55</v>
      </c>
      <c r="M279" s="13"/>
      <c r="N279" s="14">
        <f>+'KY_Res by Plant Acct P16(REG)'!N278</f>
        <v>0</v>
      </c>
      <c r="O279" s="13"/>
      <c r="P279" s="14">
        <f>+'KY_Res by Plant Acct P16(REG)'!P278</f>
        <v>0</v>
      </c>
      <c r="Q279" s="13"/>
      <c r="R279" s="14">
        <f t="shared" si="14"/>
        <v>-74967708.230000019</v>
      </c>
    </row>
    <row r="280" spans="1:18" outlineLevel="1" x14ac:dyDescent="0.2">
      <c r="A280" s="3" t="s">
        <v>3688</v>
      </c>
      <c r="B280" s="14">
        <f>+'KY_Res by Plant Acct P16(REG)'!B279</f>
        <v>0</v>
      </c>
      <c r="C280" s="13"/>
      <c r="D280" s="14">
        <f>+'KY_Res by Plant Acct P16(REG)'!D279</f>
        <v>0</v>
      </c>
      <c r="E280" s="13"/>
      <c r="F280" s="14">
        <f>+'KY_Res by Plant Acct P16(REG)'!F279</f>
        <v>0</v>
      </c>
      <c r="G280" s="13"/>
      <c r="H280" s="14">
        <f>+'KY_Res by Plant Acct P16(REG)'!H279</f>
        <v>0</v>
      </c>
      <c r="I280" s="13"/>
      <c r="J280" s="14">
        <f>+'KY_Res by Plant Acct P16(REG)'!J279</f>
        <v>0</v>
      </c>
      <c r="K280" s="13"/>
      <c r="L280" s="14">
        <f>+'KY_Res by Plant Acct P16(REG)'!L279</f>
        <v>0</v>
      </c>
      <c r="M280" s="13"/>
      <c r="N280" s="14">
        <f>+'KY_Res by Plant Acct P16(REG)'!N279</f>
        <v>0</v>
      </c>
      <c r="O280" s="13"/>
      <c r="P280" s="14">
        <f>+'KY_Res by Plant Acct P16(REG)'!P279</f>
        <v>0</v>
      </c>
      <c r="Q280" s="13"/>
      <c r="R280" s="14">
        <f t="shared" si="14"/>
        <v>0</v>
      </c>
    </row>
    <row r="281" spans="1:18" outlineLevel="1" x14ac:dyDescent="0.2">
      <c r="A281" s="3" t="s">
        <v>3689</v>
      </c>
      <c r="B281" s="14">
        <f>+'KY_Res by Plant Acct P16(REG)'!B280</f>
        <v>0</v>
      </c>
      <c r="C281" s="13"/>
      <c r="D281" s="14">
        <f>+'KY_Res by Plant Acct P16(REG)'!D280</f>
        <v>0</v>
      </c>
      <c r="E281" s="13"/>
      <c r="F281" s="14">
        <f>+'KY_Res by Plant Acct P16(REG)'!F280</f>
        <v>0</v>
      </c>
      <c r="G281" s="13"/>
      <c r="H281" s="14">
        <f>+'KY_Res by Plant Acct P16(REG)'!H280</f>
        <v>0</v>
      </c>
      <c r="I281" s="13"/>
      <c r="J281" s="14">
        <f>+'KY_Res by Plant Acct P16(REG)'!J280</f>
        <v>0</v>
      </c>
      <c r="K281" s="13"/>
      <c r="L281" s="14">
        <f>+'KY_Res by Plant Acct P16(REG)'!L280</f>
        <v>0</v>
      </c>
      <c r="M281" s="13"/>
      <c r="N281" s="14">
        <f>+'KY_Res by Plant Acct P16(REG)'!N280</f>
        <v>0</v>
      </c>
      <c r="O281" s="13"/>
      <c r="P281" s="14">
        <f>+'KY_Res by Plant Acct P16(REG)'!P280</f>
        <v>0</v>
      </c>
      <c r="Q281" s="13"/>
      <c r="R281" s="14">
        <f t="shared" si="14"/>
        <v>0</v>
      </c>
    </row>
    <row r="282" spans="1:18" outlineLevel="1" x14ac:dyDescent="0.2">
      <c r="A282" s="3" t="s">
        <v>3690</v>
      </c>
      <c r="B282" s="14">
        <f>+'KY_Res by Plant Acct P16(REG)'!B281</f>
        <v>-7258198.9800000004</v>
      </c>
      <c r="C282" s="13"/>
      <c r="D282" s="14">
        <f>+'KY_Res by Plant Acct P16(REG)'!D281</f>
        <v>-2784551.06</v>
      </c>
      <c r="E282" s="13"/>
      <c r="F282" s="14">
        <f>+'KY_Res by Plant Acct P16(REG)'!F281</f>
        <v>25630.07</v>
      </c>
      <c r="G282" s="13"/>
      <c r="H282" s="14">
        <f>+'KY_Res by Plant Acct P16(REG)'!H281</f>
        <v>0</v>
      </c>
      <c r="I282" s="13"/>
      <c r="J282" s="14">
        <f>+'KY_Res by Plant Acct P16(REG)'!J281</f>
        <v>0</v>
      </c>
      <c r="K282" s="13"/>
      <c r="L282" s="14">
        <f>+'KY_Res by Plant Acct P16(REG)'!L281</f>
        <v>0</v>
      </c>
      <c r="M282" s="13"/>
      <c r="N282" s="14">
        <f>+'KY_Res by Plant Acct P16(REG)'!N281</f>
        <v>0</v>
      </c>
      <c r="O282" s="13"/>
      <c r="P282" s="14">
        <f>+'KY_Res by Plant Acct P16(REG)'!P281</f>
        <v>0</v>
      </c>
      <c r="Q282" s="13"/>
      <c r="R282" s="14">
        <f>SUM(B282:P282)</f>
        <v>-10017119.970000001</v>
      </c>
    </row>
    <row r="283" spans="1:18" outlineLevel="1" x14ac:dyDescent="0.2">
      <c r="A283" s="3" t="s">
        <v>3691</v>
      </c>
      <c r="B283" s="14">
        <f>+'KY_Res by Plant Acct P16(REG)'!B282</f>
        <v>-85802.880000000005</v>
      </c>
      <c r="C283" s="13"/>
      <c r="D283" s="14">
        <f>+'KY_Res by Plant Acct P16(REG)'!D282</f>
        <v>-2786114.53</v>
      </c>
      <c r="E283" s="13"/>
      <c r="F283" s="14">
        <f>+'KY_Res by Plant Acct P16(REG)'!F282</f>
        <v>0</v>
      </c>
      <c r="G283" s="13"/>
      <c r="H283" s="14">
        <f>+'KY_Res by Plant Acct P16(REG)'!H282</f>
        <v>0</v>
      </c>
      <c r="I283" s="13"/>
      <c r="J283" s="14">
        <f>+'KY_Res by Plant Acct P16(REG)'!J282</f>
        <v>0</v>
      </c>
      <c r="K283" s="13"/>
      <c r="L283" s="14">
        <f>+'KY_Res by Plant Acct P16(REG)'!L282</f>
        <v>0</v>
      </c>
      <c r="M283" s="13"/>
      <c r="N283" s="14">
        <f>+'KY_Res by Plant Acct P16(REG)'!N282</f>
        <v>0</v>
      </c>
      <c r="O283" s="13"/>
      <c r="P283" s="14">
        <f>+'KY_Res by Plant Acct P16(REG)'!P282</f>
        <v>0</v>
      </c>
      <c r="Q283" s="13"/>
      <c r="R283" s="14">
        <f>SUM(B283:P283)</f>
        <v>-2871917.4099999997</v>
      </c>
    </row>
    <row r="284" spans="1:18" outlineLevel="1" x14ac:dyDescent="0.2">
      <c r="A284" s="3" t="s">
        <v>3692</v>
      </c>
      <c r="B284" s="14">
        <f>+'KY_Res by Plant Acct P16(REG)'!B283</f>
        <v>-77676979.879999995</v>
      </c>
      <c r="C284" s="13"/>
      <c r="D284" s="14">
        <f>+'KY_Res by Plant Acct P16(REG)'!D283</f>
        <v>-14291294.390000001</v>
      </c>
      <c r="E284" s="13"/>
      <c r="F284" s="14">
        <f>+'KY_Res by Plant Acct P16(REG)'!F283</f>
        <v>825533.85</v>
      </c>
      <c r="G284" s="13"/>
      <c r="H284" s="14">
        <f>+'KY_Res by Plant Acct P16(REG)'!H283</f>
        <v>0</v>
      </c>
      <c r="I284" s="13"/>
      <c r="J284" s="14">
        <f>+'KY_Res by Plant Acct P16(REG)'!J283</f>
        <v>0</v>
      </c>
      <c r="K284" s="13"/>
      <c r="L284" s="14">
        <f>+'KY_Res by Plant Acct P16(REG)'!L283</f>
        <v>150152.17000000001</v>
      </c>
      <c r="M284" s="13"/>
      <c r="N284" s="14">
        <f>+'KY_Res by Plant Acct P16(REG)'!N283</f>
        <v>0</v>
      </c>
      <c r="O284" s="13"/>
      <c r="P284" s="14">
        <f>+'KY_Res by Plant Acct P16(REG)'!P283</f>
        <v>0</v>
      </c>
      <c r="Q284" s="13"/>
      <c r="R284" s="14">
        <f t="shared" si="14"/>
        <v>-90992588.25</v>
      </c>
    </row>
    <row r="285" spans="1:18" outlineLevel="1" x14ac:dyDescent="0.2">
      <c r="A285" s="3" t="s">
        <v>3693</v>
      </c>
      <c r="B285" s="14">
        <f>+'KY_Res by Plant Acct P16(REG)'!B284</f>
        <v>0</v>
      </c>
      <c r="C285" s="13"/>
      <c r="D285" s="14">
        <f>+'KY_Res by Plant Acct P16(REG)'!D284</f>
        <v>0</v>
      </c>
      <c r="E285" s="13"/>
      <c r="F285" s="14">
        <f>+'KY_Res by Plant Acct P16(REG)'!F284</f>
        <v>0</v>
      </c>
      <c r="G285" s="13"/>
      <c r="H285" s="14">
        <f>+'KY_Res by Plant Acct P16(REG)'!H284</f>
        <v>0</v>
      </c>
      <c r="I285" s="13"/>
      <c r="J285" s="14">
        <f>+'KY_Res by Plant Acct P16(REG)'!J284</f>
        <v>0</v>
      </c>
      <c r="K285" s="13"/>
      <c r="L285" s="14">
        <f>+'KY_Res by Plant Acct P16(REG)'!L284</f>
        <v>0</v>
      </c>
      <c r="M285" s="13"/>
      <c r="N285" s="14">
        <f>+'KY_Res by Plant Acct P16(REG)'!N284</f>
        <v>0</v>
      </c>
      <c r="O285" s="13"/>
      <c r="P285" s="14">
        <f>+'KY_Res by Plant Acct P16(REG)'!P284</f>
        <v>0</v>
      </c>
      <c r="Q285" s="13"/>
      <c r="R285" s="14">
        <f t="shared" si="14"/>
        <v>0</v>
      </c>
    </row>
    <row r="286" spans="1:18" outlineLevel="1" x14ac:dyDescent="0.2">
      <c r="A286" s="3" t="s">
        <v>3694</v>
      </c>
      <c r="B286" s="14">
        <f>+'KY_Res by Plant Acct P16(REG)'!B285</f>
        <v>-94932327.159999996</v>
      </c>
      <c r="C286" s="13"/>
      <c r="D286" s="14">
        <f>+'KY_Res by Plant Acct P16(REG)'!D285</f>
        <v>-4983648.55</v>
      </c>
      <c r="E286" s="13"/>
      <c r="F286" s="14">
        <f>+'KY_Res by Plant Acct P16(REG)'!F285</f>
        <v>2117026.06</v>
      </c>
      <c r="G286" s="13"/>
      <c r="H286" s="14">
        <f>+'KY_Res by Plant Acct P16(REG)'!H285</f>
        <v>-296619.25</v>
      </c>
      <c r="I286" s="13"/>
      <c r="J286" s="14">
        <f>+'KY_Res by Plant Acct P16(REG)'!J285</f>
        <v>0</v>
      </c>
      <c r="K286" s="13"/>
      <c r="L286" s="14">
        <f>+'KY_Res by Plant Acct P16(REG)'!L285</f>
        <v>1054370.1599999999</v>
      </c>
      <c r="M286" s="13"/>
      <c r="N286" s="14">
        <f>+'KY_Res by Plant Acct P16(REG)'!N285</f>
        <v>-55678.7</v>
      </c>
      <c r="O286" s="13"/>
      <c r="P286" s="14">
        <f>+'KY_Res by Plant Acct P16(REG)'!P285</f>
        <v>0</v>
      </c>
      <c r="Q286" s="13"/>
      <c r="R286" s="14">
        <f t="shared" si="14"/>
        <v>-97096877.439999998</v>
      </c>
    </row>
    <row r="287" spans="1:18" outlineLevel="1" x14ac:dyDescent="0.2">
      <c r="A287" s="3" t="s">
        <v>3695</v>
      </c>
      <c r="B287" s="14">
        <f>+'KY_Res by Plant Acct P16(REG)'!B286</f>
        <v>0</v>
      </c>
      <c r="C287" s="13"/>
      <c r="D287" s="14">
        <f>+'KY_Res by Plant Acct P16(REG)'!D286</f>
        <v>0</v>
      </c>
      <c r="E287" s="13"/>
      <c r="F287" s="14">
        <f>+'KY_Res by Plant Acct P16(REG)'!F286</f>
        <v>0</v>
      </c>
      <c r="G287" s="13"/>
      <c r="H287" s="14">
        <f>+'KY_Res by Plant Acct P16(REG)'!H286</f>
        <v>0</v>
      </c>
      <c r="I287" s="13"/>
      <c r="J287" s="14">
        <f>+'KY_Res by Plant Acct P16(REG)'!J286</f>
        <v>0</v>
      </c>
      <c r="K287" s="13"/>
      <c r="L287" s="14">
        <f>+'KY_Res by Plant Acct P16(REG)'!L286</f>
        <v>0</v>
      </c>
      <c r="M287" s="13"/>
      <c r="N287" s="14">
        <f>+'KY_Res by Plant Acct P16(REG)'!N286</f>
        <v>0</v>
      </c>
      <c r="O287" s="13"/>
      <c r="P287" s="14">
        <f>+'KY_Res by Plant Acct P16(REG)'!P286</f>
        <v>0</v>
      </c>
      <c r="Q287" s="13"/>
      <c r="R287" s="14">
        <f t="shared" si="14"/>
        <v>0</v>
      </c>
    </row>
    <row r="288" spans="1:18" outlineLevel="1" x14ac:dyDescent="0.2">
      <c r="A288" s="3" t="s">
        <v>3696</v>
      </c>
      <c r="B288" s="14">
        <f>+'KY_Res by Plant Acct P16(REG)'!B287</f>
        <v>0</v>
      </c>
      <c r="C288" s="13"/>
      <c r="D288" s="14">
        <f>+'KY_Res by Plant Acct P16(REG)'!D287</f>
        <v>0</v>
      </c>
      <c r="E288" s="13"/>
      <c r="F288" s="14">
        <f>+'KY_Res by Plant Acct P16(REG)'!F287</f>
        <v>0</v>
      </c>
      <c r="G288" s="13"/>
      <c r="H288" s="14">
        <f>+'KY_Res by Plant Acct P16(REG)'!H287</f>
        <v>0</v>
      </c>
      <c r="I288" s="13"/>
      <c r="J288" s="14">
        <f>+'KY_Res by Plant Acct P16(REG)'!J287</f>
        <v>0</v>
      </c>
      <c r="K288" s="13"/>
      <c r="L288" s="14">
        <f>+'KY_Res by Plant Acct P16(REG)'!L287</f>
        <v>0</v>
      </c>
      <c r="M288" s="13"/>
      <c r="N288" s="14">
        <f>+'KY_Res by Plant Acct P16(REG)'!N287</f>
        <v>0</v>
      </c>
      <c r="O288" s="13"/>
      <c r="P288" s="14">
        <f>+'KY_Res by Plant Acct P16(REG)'!P287</f>
        <v>0</v>
      </c>
      <c r="Q288" s="13"/>
      <c r="R288" s="14">
        <f t="shared" si="14"/>
        <v>0</v>
      </c>
    </row>
    <row r="289" spans="1:18" outlineLevel="1" x14ac:dyDescent="0.2">
      <c r="A289" s="43" t="s">
        <v>3697</v>
      </c>
      <c r="B289" s="14">
        <f>+'KY_Res by Plant Acct P16(REG)'!B288</f>
        <v>-2676760.5699999998</v>
      </c>
      <c r="C289" s="13"/>
      <c r="D289" s="14">
        <f>+'KY_Res by Plant Acct P16(REG)'!D288</f>
        <v>-4167258</v>
      </c>
      <c r="E289" s="13"/>
      <c r="F289" s="14">
        <f>+'KY_Res by Plant Acct P16(REG)'!F288</f>
        <v>0</v>
      </c>
      <c r="G289" s="13"/>
      <c r="H289" s="14">
        <f>+'KY_Res by Plant Acct P16(REG)'!H288</f>
        <v>0</v>
      </c>
      <c r="I289" s="13"/>
      <c r="J289" s="14">
        <f>+'KY_Res by Plant Acct P16(REG)'!J288</f>
        <v>0</v>
      </c>
      <c r="K289" s="13"/>
      <c r="L289" s="14">
        <f>+'KY_Res by Plant Acct P16(REG)'!L288</f>
        <v>0</v>
      </c>
      <c r="M289" s="13"/>
      <c r="N289" s="14">
        <f>+'KY_Res by Plant Acct P16(REG)'!N288</f>
        <v>0</v>
      </c>
      <c r="O289" s="13"/>
      <c r="P289" s="14">
        <f>+'KY_Res by Plant Acct P16(REG)'!P288</f>
        <v>0</v>
      </c>
      <c r="Q289" s="13"/>
      <c r="R289" s="14">
        <f>SUM(B289:P289)</f>
        <v>-6844018.5700000003</v>
      </c>
    </row>
    <row r="290" spans="1:18" outlineLevel="1" x14ac:dyDescent="0.2">
      <c r="A290" s="3" t="s">
        <v>3698</v>
      </c>
      <c r="B290" s="14">
        <f>+'KY_Res by Plant Acct P16(REG)'!B289</f>
        <v>-47058422.269999996</v>
      </c>
      <c r="C290" s="13"/>
      <c r="D290" s="14">
        <f>+'KY_Res by Plant Acct P16(REG)'!D289</f>
        <v>-5138770.4800000004</v>
      </c>
      <c r="E290" s="13"/>
      <c r="F290" s="14">
        <f>+'KY_Res by Plant Acct P16(REG)'!F289</f>
        <v>33094.230000000003</v>
      </c>
      <c r="G290" s="13"/>
      <c r="H290" s="14">
        <f>+'KY_Res by Plant Acct P16(REG)'!H289</f>
        <v>-35578.28</v>
      </c>
      <c r="I290" s="13"/>
      <c r="J290" s="14">
        <f>+'KY_Res by Plant Acct P16(REG)'!J289</f>
        <v>0</v>
      </c>
      <c r="K290" s="13"/>
      <c r="L290" s="14">
        <f>+'KY_Res by Plant Acct P16(REG)'!L289</f>
        <v>692.93</v>
      </c>
      <c r="M290" s="13"/>
      <c r="N290" s="14">
        <f>+'KY_Res by Plant Acct P16(REG)'!N289</f>
        <v>0</v>
      </c>
      <c r="O290" s="13"/>
      <c r="P290" s="14">
        <f>+'KY_Res by Plant Acct P16(REG)'!P289</f>
        <v>0</v>
      </c>
      <c r="Q290" s="13"/>
      <c r="R290" s="14">
        <f t="shared" si="14"/>
        <v>-52198983.870000005</v>
      </c>
    </row>
    <row r="291" spans="1:18" outlineLevel="1" x14ac:dyDescent="0.2">
      <c r="A291" s="3" t="s">
        <v>3699</v>
      </c>
      <c r="B291" s="14">
        <f>+'KY_Res by Plant Acct P16(REG)'!B290</f>
        <v>0</v>
      </c>
      <c r="C291" s="13"/>
      <c r="D291" s="14">
        <f>+'KY_Res by Plant Acct P16(REG)'!D290</f>
        <v>0</v>
      </c>
      <c r="E291" s="13"/>
      <c r="F291" s="14">
        <f>+'KY_Res by Plant Acct P16(REG)'!F290</f>
        <v>0</v>
      </c>
      <c r="G291" s="13"/>
      <c r="H291" s="14">
        <f>+'KY_Res by Plant Acct P16(REG)'!H290</f>
        <v>0</v>
      </c>
      <c r="I291" s="13"/>
      <c r="J291" s="14">
        <f>+'KY_Res by Plant Acct P16(REG)'!J290</f>
        <v>0</v>
      </c>
      <c r="K291" s="13"/>
      <c r="L291" s="14">
        <f>+'KY_Res by Plant Acct P16(REG)'!L290</f>
        <v>0</v>
      </c>
      <c r="M291" s="13"/>
      <c r="N291" s="14">
        <f>+'KY_Res by Plant Acct P16(REG)'!N290</f>
        <v>0</v>
      </c>
      <c r="O291" s="13"/>
      <c r="P291" s="14">
        <f>+'KY_Res by Plant Acct P16(REG)'!P290</f>
        <v>0</v>
      </c>
      <c r="Q291" s="13"/>
      <c r="R291" s="14">
        <f t="shared" si="14"/>
        <v>0</v>
      </c>
    </row>
    <row r="292" spans="1:18" outlineLevel="1" x14ac:dyDescent="0.2">
      <c r="A292" s="3" t="s">
        <v>3700</v>
      </c>
      <c r="B292" s="14">
        <f>+'KY_Res by Plant Acct P16(REG)'!B291</f>
        <v>-67291425.519999996</v>
      </c>
      <c r="C292" s="13"/>
      <c r="D292" s="14">
        <f>+'KY_Res by Plant Acct P16(REG)'!D291</f>
        <v>-1927158.02</v>
      </c>
      <c r="E292" s="13"/>
      <c r="F292" s="14">
        <f>+'KY_Res by Plant Acct P16(REG)'!F291</f>
        <v>875963.04</v>
      </c>
      <c r="G292" s="13"/>
      <c r="H292" s="14">
        <f>+'KY_Res by Plant Acct P16(REG)'!H291</f>
        <v>0</v>
      </c>
      <c r="I292" s="13"/>
      <c r="J292" s="14">
        <f>+'KY_Res by Plant Acct P16(REG)'!J291</f>
        <v>0</v>
      </c>
      <c r="K292" s="13"/>
      <c r="L292" s="14">
        <f>+'KY_Res by Plant Acct P16(REG)'!L291</f>
        <v>217923.03</v>
      </c>
      <c r="M292" s="13"/>
      <c r="N292" s="14">
        <f>+'KY_Res by Plant Acct P16(REG)'!N291</f>
        <v>0</v>
      </c>
      <c r="O292" s="13"/>
      <c r="P292" s="14">
        <f>+'KY_Res by Plant Acct P16(REG)'!P291</f>
        <v>0</v>
      </c>
      <c r="Q292" s="13"/>
      <c r="R292" s="14">
        <f t="shared" si="14"/>
        <v>-68124697.469999984</v>
      </c>
    </row>
    <row r="293" spans="1:18" outlineLevel="1" x14ac:dyDescent="0.2">
      <c r="A293" s="3" t="s">
        <v>3701</v>
      </c>
      <c r="B293" s="14">
        <f>+'KY_Res by Plant Acct P16(REG)'!B292</f>
        <v>0</v>
      </c>
      <c r="C293" s="13"/>
      <c r="D293" s="14">
        <f>+'KY_Res by Plant Acct P16(REG)'!D292</f>
        <v>0</v>
      </c>
      <c r="E293" s="13"/>
      <c r="F293" s="14">
        <f>+'KY_Res by Plant Acct P16(REG)'!F292</f>
        <v>0</v>
      </c>
      <c r="G293" s="13"/>
      <c r="H293" s="14">
        <f>+'KY_Res by Plant Acct P16(REG)'!H292</f>
        <v>0</v>
      </c>
      <c r="I293" s="13"/>
      <c r="J293" s="14">
        <f>+'KY_Res by Plant Acct P16(REG)'!J292</f>
        <v>0</v>
      </c>
      <c r="K293" s="13"/>
      <c r="L293" s="14">
        <f>+'KY_Res by Plant Acct P16(REG)'!L292</f>
        <v>0</v>
      </c>
      <c r="M293" s="13"/>
      <c r="N293" s="14">
        <f>+'KY_Res by Plant Acct P16(REG)'!N292</f>
        <v>0</v>
      </c>
      <c r="O293" s="13"/>
      <c r="P293" s="14">
        <f>+'KY_Res by Plant Acct P16(REG)'!P292</f>
        <v>0</v>
      </c>
      <c r="Q293" s="13"/>
      <c r="R293" s="14">
        <f t="shared" si="14"/>
        <v>0</v>
      </c>
    </row>
    <row r="294" spans="1:18" outlineLevel="1" x14ac:dyDescent="0.2">
      <c r="A294" s="43" t="s">
        <v>3702</v>
      </c>
      <c r="B294" s="14">
        <f>+'KY_Res by Plant Acct P16(REG)'!B293</f>
        <v>-412933.67000000004</v>
      </c>
      <c r="C294" s="13"/>
      <c r="D294" s="14">
        <f>+'KY_Res by Plant Acct P16(REG)'!D293</f>
        <v>-2055779.86</v>
      </c>
      <c r="E294" s="13"/>
      <c r="F294" s="14">
        <f>+'KY_Res by Plant Acct P16(REG)'!F293</f>
        <v>0</v>
      </c>
      <c r="G294" s="13"/>
      <c r="H294" s="14">
        <f>+'KY_Res by Plant Acct P16(REG)'!H293</f>
        <v>0</v>
      </c>
      <c r="I294" s="13"/>
      <c r="J294" s="14">
        <f>+'KY_Res by Plant Acct P16(REG)'!J293</f>
        <v>0</v>
      </c>
      <c r="K294" s="13"/>
      <c r="L294" s="14">
        <f>+'KY_Res by Plant Acct P16(REG)'!L293</f>
        <v>0</v>
      </c>
      <c r="M294" s="13"/>
      <c r="N294" s="14">
        <f>+'KY_Res by Plant Acct P16(REG)'!N293</f>
        <v>0</v>
      </c>
      <c r="O294" s="13"/>
      <c r="P294" s="14">
        <f>+'KY_Res by Plant Acct P16(REG)'!P293</f>
        <v>0</v>
      </c>
      <c r="Q294" s="13"/>
      <c r="R294" s="14">
        <f>SUM(B294:P294)</f>
        <v>-2468713.5300000003</v>
      </c>
    </row>
    <row r="295" spans="1:18" outlineLevel="1" x14ac:dyDescent="0.2">
      <c r="A295" s="3" t="s">
        <v>3703</v>
      </c>
      <c r="B295" s="14">
        <f>+'KY_Res by Plant Acct P16(REG)'!B294</f>
        <v>-61803149.990000002</v>
      </c>
      <c r="C295" s="13"/>
      <c r="D295" s="14">
        <f>+'KY_Res by Plant Acct P16(REG)'!D294</f>
        <v>-1439844.05</v>
      </c>
      <c r="E295" s="13"/>
      <c r="F295" s="14">
        <f>+'KY_Res by Plant Acct P16(REG)'!F294</f>
        <v>418977.3</v>
      </c>
      <c r="G295" s="13"/>
      <c r="H295" s="14">
        <f>+'KY_Res by Plant Acct P16(REG)'!H294</f>
        <v>0</v>
      </c>
      <c r="I295" s="13"/>
      <c r="J295" s="14">
        <f>+'KY_Res by Plant Acct P16(REG)'!J294</f>
        <v>0</v>
      </c>
      <c r="K295" s="13"/>
      <c r="L295" s="14">
        <f>+'KY_Res by Plant Acct P16(REG)'!L294</f>
        <v>82676.08</v>
      </c>
      <c r="M295" s="13"/>
      <c r="N295" s="14">
        <f>+'KY_Res by Plant Acct P16(REG)'!N294</f>
        <v>0</v>
      </c>
      <c r="O295" s="13"/>
      <c r="P295" s="14">
        <f>+'KY_Res by Plant Acct P16(REG)'!P294</f>
        <v>0</v>
      </c>
      <c r="Q295" s="13"/>
      <c r="R295" s="14">
        <f t="shared" si="14"/>
        <v>-62741340.660000004</v>
      </c>
    </row>
    <row r="296" spans="1:18" outlineLevel="1" x14ac:dyDescent="0.2">
      <c r="A296" s="3" t="s">
        <v>3704</v>
      </c>
      <c r="B296" s="14">
        <f>+'KY_Res by Plant Acct P16(REG)'!B295</f>
        <v>0</v>
      </c>
      <c r="C296" s="13"/>
      <c r="D296" s="14">
        <f>+'KY_Res by Plant Acct P16(REG)'!D295</f>
        <v>0</v>
      </c>
      <c r="E296" s="13"/>
      <c r="F296" s="14">
        <f>+'KY_Res by Plant Acct P16(REG)'!F295</f>
        <v>0</v>
      </c>
      <c r="G296" s="13"/>
      <c r="H296" s="14">
        <f>+'KY_Res by Plant Acct P16(REG)'!H295</f>
        <v>0</v>
      </c>
      <c r="I296" s="13"/>
      <c r="J296" s="14">
        <f>+'KY_Res by Plant Acct P16(REG)'!J295</f>
        <v>0</v>
      </c>
      <c r="K296" s="13"/>
      <c r="L296" s="14">
        <f>+'KY_Res by Plant Acct P16(REG)'!L295</f>
        <v>0</v>
      </c>
      <c r="M296" s="13"/>
      <c r="N296" s="14">
        <f>+'KY_Res by Plant Acct P16(REG)'!N295</f>
        <v>0</v>
      </c>
      <c r="O296" s="13"/>
      <c r="P296" s="14">
        <f>+'KY_Res by Plant Acct P16(REG)'!P295</f>
        <v>0</v>
      </c>
      <c r="Q296" s="13"/>
      <c r="R296" s="14">
        <f t="shared" si="14"/>
        <v>0</v>
      </c>
    </row>
    <row r="297" spans="1:18" outlineLevel="1" x14ac:dyDescent="0.2">
      <c r="A297" s="3" t="s">
        <v>3705</v>
      </c>
      <c r="B297" s="14">
        <f>+'KY_Res by Plant Acct P16(REG)'!B296</f>
        <v>-163596931.43000007</v>
      </c>
      <c r="C297" s="13"/>
      <c r="D297" s="14">
        <f>+'KY_Res by Plant Acct P16(REG)'!D296</f>
        <v>-5172504.47</v>
      </c>
      <c r="E297" s="13"/>
      <c r="F297" s="14">
        <f>+'KY_Res by Plant Acct P16(REG)'!F296</f>
        <v>1826408.95</v>
      </c>
      <c r="G297" s="13"/>
      <c r="H297" s="14">
        <f>+'KY_Res by Plant Acct P16(REG)'!H296</f>
        <v>0</v>
      </c>
      <c r="I297" s="13"/>
      <c r="J297" s="14">
        <f>+'KY_Res by Plant Acct P16(REG)'!J296</f>
        <v>0</v>
      </c>
      <c r="K297" s="13"/>
      <c r="L297" s="14">
        <f>+'KY_Res by Plant Acct P16(REG)'!L296</f>
        <v>650611.89</v>
      </c>
      <c r="M297" s="13"/>
      <c r="N297" s="14">
        <f>+'KY_Res by Plant Acct P16(REG)'!N296</f>
        <v>-32173.15</v>
      </c>
      <c r="O297" s="13"/>
      <c r="P297" s="14">
        <f>+'KY_Res by Plant Acct P16(REG)'!P296</f>
        <v>-2250</v>
      </c>
      <c r="Q297" s="13"/>
      <c r="R297" s="14">
        <f t="shared" si="14"/>
        <v>-166326838.2100001</v>
      </c>
    </row>
    <row r="298" spans="1:18" outlineLevel="1" x14ac:dyDescent="0.2">
      <c r="A298" s="3" t="s">
        <v>3706</v>
      </c>
      <c r="B298" s="14">
        <f>+'KY_Res by Plant Acct P16(REG)'!B297</f>
        <v>0</v>
      </c>
      <c r="C298" s="13"/>
      <c r="D298" s="14">
        <f>+'KY_Res by Plant Acct P16(REG)'!D297</f>
        <v>0</v>
      </c>
      <c r="E298" s="13"/>
      <c r="F298" s="14">
        <f>+'KY_Res by Plant Acct P16(REG)'!F297</f>
        <v>0</v>
      </c>
      <c r="G298" s="13"/>
      <c r="H298" s="14">
        <f>+'KY_Res by Plant Acct P16(REG)'!H297</f>
        <v>0</v>
      </c>
      <c r="I298" s="13"/>
      <c r="J298" s="14">
        <f>+'KY_Res by Plant Acct P16(REG)'!J297</f>
        <v>0</v>
      </c>
      <c r="K298" s="13"/>
      <c r="L298" s="14">
        <f>+'KY_Res by Plant Acct P16(REG)'!L297</f>
        <v>0</v>
      </c>
      <c r="M298" s="13"/>
      <c r="N298" s="14">
        <f>+'KY_Res by Plant Acct P16(REG)'!N297</f>
        <v>0</v>
      </c>
      <c r="O298" s="13"/>
      <c r="P298" s="14">
        <f>+'KY_Res by Plant Acct P16(REG)'!P297</f>
        <v>0</v>
      </c>
      <c r="Q298" s="13"/>
      <c r="R298" s="14">
        <f t="shared" si="14"/>
        <v>0</v>
      </c>
    </row>
    <row r="299" spans="1:18" outlineLevel="1" x14ac:dyDescent="0.2">
      <c r="A299" s="43" t="s">
        <v>3707</v>
      </c>
      <c r="B299" s="14">
        <f>+'KY_Res by Plant Acct P16(REG)'!B298</f>
        <v>-4934793.91</v>
      </c>
      <c r="C299" s="13"/>
      <c r="D299" s="14">
        <f>+'KY_Res by Plant Acct P16(REG)'!D298</f>
        <v>-3357604.66</v>
      </c>
      <c r="E299" s="13"/>
      <c r="F299" s="14">
        <f>+'KY_Res by Plant Acct P16(REG)'!F298</f>
        <v>0</v>
      </c>
      <c r="G299" s="13"/>
      <c r="H299" s="14">
        <f>+'KY_Res by Plant Acct P16(REG)'!H298</f>
        <v>0</v>
      </c>
      <c r="I299" s="13"/>
      <c r="J299" s="14">
        <f>+'KY_Res by Plant Acct P16(REG)'!J298</f>
        <v>0</v>
      </c>
      <c r="K299" s="13"/>
      <c r="L299" s="14">
        <f>+'KY_Res by Plant Acct P16(REG)'!L298</f>
        <v>0</v>
      </c>
      <c r="M299" s="13"/>
      <c r="N299" s="14">
        <f>+'KY_Res by Plant Acct P16(REG)'!N298</f>
        <v>0</v>
      </c>
      <c r="O299" s="13"/>
      <c r="P299" s="14">
        <f>+'KY_Res by Plant Acct P16(REG)'!P298</f>
        <v>0</v>
      </c>
      <c r="Q299" s="13"/>
      <c r="R299" s="14">
        <f>SUM(B299:P299)</f>
        <v>-8292398.5700000003</v>
      </c>
    </row>
    <row r="300" spans="1:18" outlineLevel="1" x14ac:dyDescent="0.2">
      <c r="A300" s="3" t="s">
        <v>3708</v>
      </c>
      <c r="B300" s="14">
        <f>+'KY_Res by Plant Acct P16(REG)'!B299</f>
        <v>-135619896.68000004</v>
      </c>
      <c r="C300" s="13"/>
      <c r="D300" s="14">
        <f>+'KY_Res by Plant Acct P16(REG)'!D299</f>
        <v>-7312934.4900000002</v>
      </c>
      <c r="E300" s="13"/>
      <c r="F300" s="14">
        <f>+'KY_Res by Plant Acct P16(REG)'!F299</f>
        <v>675096.33</v>
      </c>
      <c r="G300" s="13"/>
      <c r="H300" s="14">
        <f>+'KY_Res by Plant Acct P16(REG)'!H299</f>
        <v>5224.9399999999996</v>
      </c>
      <c r="I300" s="13"/>
      <c r="J300" s="14">
        <f>+'KY_Res by Plant Acct P16(REG)'!J299</f>
        <v>0</v>
      </c>
      <c r="K300" s="13"/>
      <c r="L300" s="14">
        <f>+'KY_Res by Plant Acct P16(REG)'!L299</f>
        <v>852359.57</v>
      </c>
      <c r="M300" s="13"/>
      <c r="N300" s="14">
        <f>+'KY_Res by Plant Acct P16(REG)'!N299</f>
        <v>-96054.93</v>
      </c>
      <c r="O300" s="13"/>
      <c r="P300" s="14">
        <f>+'KY_Res by Plant Acct P16(REG)'!P299</f>
        <v>0</v>
      </c>
      <c r="Q300" s="13"/>
      <c r="R300" s="14">
        <f t="shared" si="14"/>
        <v>-141496205.26000005</v>
      </c>
    </row>
    <row r="301" spans="1:18" outlineLevel="1" x14ac:dyDescent="0.2">
      <c r="A301" s="3" t="s">
        <v>3709</v>
      </c>
      <c r="B301" s="14">
        <f>+'KY_Res by Plant Acct P16(REG)'!B300</f>
        <v>0</v>
      </c>
      <c r="C301" s="13"/>
      <c r="D301" s="14">
        <f>+'KY_Res by Plant Acct P16(REG)'!D300</f>
        <v>0</v>
      </c>
      <c r="E301" s="13"/>
      <c r="F301" s="14">
        <f>+'KY_Res by Plant Acct P16(REG)'!F300</f>
        <v>0</v>
      </c>
      <c r="G301" s="13"/>
      <c r="H301" s="14">
        <f>+'KY_Res by Plant Acct P16(REG)'!H300</f>
        <v>0</v>
      </c>
      <c r="I301" s="13"/>
      <c r="J301" s="14">
        <f>+'KY_Res by Plant Acct P16(REG)'!J300</f>
        <v>0</v>
      </c>
      <c r="K301" s="13"/>
      <c r="L301" s="14">
        <f>+'KY_Res by Plant Acct P16(REG)'!L300</f>
        <v>0</v>
      </c>
      <c r="M301" s="13"/>
      <c r="N301" s="14">
        <f>+'KY_Res by Plant Acct P16(REG)'!N300</f>
        <v>0</v>
      </c>
      <c r="O301" s="13"/>
      <c r="P301" s="14">
        <f>+'KY_Res by Plant Acct P16(REG)'!P300</f>
        <v>0</v>
      </c>
      <c r="Q301" s="13"/>
      <c r="R301" s="14">
        <f t="shared" si="14"/>
        <v>0</v>
      </c>
    </row>
    <row r="302" spans="1:18" outlineLevel="1" x14ac:dyDescent="0.2">
      <c r="A302" s="3" t="s">
        <v>3710</v>
      </c>
      <c r="B302" s="14">
        <f>+'KY_Res by Plant Acct P16(REG)'!B301</f>
        <v>0</v>
      </c>
      <c r="C302" s="13"/>
      <c r="D302" s="14">
        <f>+'KY_Res by Plant Acct P16(REG)'!D301</f>
        <v>0</v>
      </c>
      <c r="E302" s="13"/>
      <c r="F302" s="14">
        <f>+'KY_Res by Plant Acct P16(REG)'!F301</f>
        <v>0</v>
      </c>
      <c r="G302" s="13"/>
      <c r="H302" s="14">
        <f>+'KY_Res by Plant Acct P16(REG)'!H301</f>
        <v>0</v>
      </c>
      <c r="I302" s="13"/>
      <c r="J302" s="14">
        <f>+'KY_Res by Plant Acct P16(REG)'!J301</f>
        <v>0</v>
      </c>
      <c r="K302" s="13"/>
      <c r="L302" s="14">
        <f>+'KY_Res by Plant Acct P16(REG)'!L301</f>
        <v>0</v>
      </c>
      <c r="M302" s="13"/>
      <c r="N302" s="14">
        <f>+'KY_Res by Plant Acct P16(REG)'!N301</f>
        <v>0</v>
      </c>
      <c r="O302" s="13"/>
      <c r="P302" s="14">
        <f>+'KY_Res by Plant Acct P16(REG)'!P301</f>
        <v>0</v>
      </c>
      <c r="Q302" s="13"/>
      <c r="R302" s="14">
        <f t="shared" si="14"/>
        <v>0</v>
      </c>
    </row>
    <row r="303" spans="1:18" outlineLevel="1" x14ac:dyDescent="0.2">
      <c r="A303" s="3" t="s">
        <v>3711</v>
      </c>
      <c r="B303" s="14">
        <f>+'KY_Res by Plant Acct P16(REG)'!B302</f>
        <v>-9342058.5199999996</v>
      </c>
      <c r="C303" s="13"/>
      <c r="D303" s="14">
        <f>+'KY_Res by Plant Acct P16(REG)'!D302</f>
        <v>-7197240.7800000003</v>
      </c>
      <c r="E303" s="13"/>
      <c r="F303" s="14">
        <f>+'KY_Res by Plant Acct P16(REG)'!F302</f>
        <v>0</v>
      </c>
      <c r="G303" s="13"/>
      <c r="H303" s="14">
        <f>+'KY_Res by Plant Acct P16(REG)'!H302</f>
        <v>0</v>
      </c>
      <c r="I303" s="13"/>
      <c r="J303" s="14">
        <f>+'KY_Res by Plant Acct P16(REG)'!J302</f>
        <v>0</v>
      </c>
      <c r="K303" s="13"/>
      <c r="L303" s="14">
        <f>+'KY_Res by Plant Acct P16(REG)'!L302</f>
        <v>0</v>
      </c>
      <c r="M303" s="13"/>
      <c r="N303" s="14">
        <f>+'KY_Res by Plant Acct P16(REG)'!N302</f>
        <v>0</v>
      </c>
      <c r="O303" s="13"/>
      <c r="P303" s="14">
        <f>+'KY_Res by Plant Acct P16(REG)'!P302</f>
        <v>0</v>
      </c>
      <c r="Q303" s="13"/>
      <c r="R303" s="14">
        <f>SUM(B303:P303)</f>
        <v>-16539299.300000001</v>
      </c>
    </row>
    <row r="304" spans="1:18" outlineLevel="1" x14ac:dyDescent="0.2">
      <c r="A304" s="43" t="s">
        <v>3712</v>
      </c>
      <c r="B304" s="14">
        <f>+'KY_Res by Plant Acct P16(REG)'!B303</f>
        <v>-3495390.2</v>
      </c>
      <c r="C304" s="13"/>
      <c r="D304" s="14">
        <f>+'KY_Res by Plant Acct P16(REG)'!D303</f>
        <v>-3401170.9</v>
      </c>
      <c r="E304" s="13"/>
      <c r="F304" s="14">
        <f>+'KY_Res by Plant Acct P16(REG)'!F303</f>
        <v>0</v>
      </c>
      <c r="G304" s="13"/>
      <c r="H304" s="14">
        <f>+'KY_Res by Plant Acct P16(REG)'!H303</f>
        <v>0</v>
      </c>
      <c r="I304" s="13"/>
      <c r="J304" s="14">
        <f>+'KY_Res by Plant Acct P16(REG)'!J303</f>
        <v>0</v>
      </c>
      <c r="K304" s="13"/>
      <c r="L304" s="14">
        <f>+'KY_Res by Plant Acct P16(REG)'!L303</f>
        <v>0</v>
      </c>
      <c r="M304" s="13"/>
      <c r="N304" s="14">
        <f>+'KY_Res by Plant Acct P16(REG)'!N303</f>
        <v>0</v>
      </c>
      <c r="O304" s="13"/>
      <c r="P304" s="14">
        <f>+'KY_Res by Plant Acct P16(REG)'!P303</f>
        <v>0</v>
      </c>
      <c r="Q304" s="13"/>
      <c r="R304" s="14">
        <f>SUM(B304:P304)</f>
        <v>-6896561.0999999996</v>
      </c>
    </row>
    <row r="305" spans="1:18" outlineLevel="1" x14ac:dyDescent="0.2">
      <c r="A305" s="3" t="s">
        <v>3713</v>
      </c>
      <c r="B305" s="14">
        <f>+'KY_Res by Plant Acct P16(REG)'!B304</f>
        <v>-4.0000000371946953E-2</v>
      </c>
      <c r="C305" s="13"/>
      <c r="D305" s="14">
        <f>+'KY_Res by Plant Acct P16(REG)'!D304</f>
        <v>0</v>
      </c>
      <c r="E305" s="13"/>
      <c r="F305" s="14">
        <f>+'KY_Res by Plant Acct P16(REG)'!F304</f>
        <v>0</v>
      </c>
      <c r="G305" s="13"/>
      <c r="H305" s="14">
        <f>+'KY_Res by Plant Acct P16(REG)'!H304</f>
        <v>0</v>
      </c>
      <c r="I305" s="13"/>
      <c r="J305" s="14">
        <f>+'KY_Res by Plant Acct P16(REG)'!J304</f>
        <v>0</v>
      </c>
      <c r="K305" s="13"/>
      <c r="L305" s="14">
        <f>+'KY_Res by Plant Acct P16(REG)'!L304</f>
        <v>0</v>
      </c>
      <c r="M305" s="13"/>
      <c r="N305" s="14">
        <f>+'KY_Res by Plant Acct P16(REG)'!N304</f>
        <v>0</v>
      </c>
      <c r="O305" s="13"/>
      <c r="P305" s="14">
        <f>+'KY_Res by Plant Acct P16(REG)'!P304</f>
        <v>0</v>
      </c>
      <c r="Q305" s="13"/>
      <c r="R305" s="14">
        <f t="shared" si="14"/>
        <v>-4.0000000371946953E-2</v>
      </c>
    </row>
    <row r="306" spans="1:18" outlineLevel="1" x14ac:dyDescent="0.2">
      <c r="A306" s="3" t="s">
        <v>3714</v>
      </c>
      <c r="B306" s="14">
        <f>+'KY_Res by Plant Acct P16(REG)'!B305</f>
        <v>-31824023.719999999</v>
      </c>
      <c r="C306" s="13"/>
      <c r="D306" s="14">
        <f>+'KY_Res by Plant Acct P16(REG)'!D305</f>
        <v>-4088824.42</v>
      </c>
      <c r="E306" s="13"/>
      <c r="F306" s="14">
        <f>+'KY_Res by Plant Acct P16(REG)'!F305</f>
        <v>488345.69</v>
      </c>
      <c r="G306" s="13"/>
      <c r="H306" s="14">
        <f>+'KY_Res by Plant Acct P16(REG)'!H305</f>
        <v>974.77</v>
      </c>
      <c r="I306" s="13"/>
      <c r="J306" s="14">
        <f>+'KY_Res by Plant Acct P16(REG)'!J305</f>
        <v>0</v>
      </c>
      <c r="K306" s="13"/>
      <c r="L306" s="14">
        <f>+'KY_Res by Plant Acct P16(REG)'!L305</f>
        <v>62865.36</v>
      </c>
      <c r="M306" s="13"/>
      <c r="N306" s="14">
        <f>+'KY_Res by Plant Acct P16(REG)'!N305</f>
        <v>0</v>
      </c>
      <c r="O306" s="13"/>
      <c r="P306" s="14">
        <f>+'KY_Res by Plant Acct P16(REG)'!P305</f>
        <v>0</v>
      </c>
      <c r="Q306" s="13"/>
      <c r="R306" s="14">
        <f t="shared" si="14"/>
        <v>-35360662.32</v>
      </c>
    </row>
    <row r="307" spans="1:18" outlineLevel="1" x14ac:dyDescent="0.2">
      <c r="A307" s="3" t="s">
        <v>3715</v>
      </c>
      <c r="B307" s="14">
        <f>+'KY_Res by Plant Acct P16(REG)'!B306</f>
        <v>0</v>
      </c>
      <c r="C307" s="13"/>
      <c r="D307" s="14">
        <f>+'KY_Res by Plant Acct P16(REG)'!D306</f>
        <v>0</v>
      </c>
      <c r="E307" s="13"/>
      <c r="F307" s="14">
        <f>+'KY_Res by Plant Acct P16(REG)'!F306</f>
        <v>0</v>
      </c>
      <c r="G307" s="13"/>
      <c r="H307" s="14">
        <f>+'KY_Res by Plant Acct P16(REG)'!H306</f>
        <v>0</v>
      </c>
      <c r="I307" s="13"/>
      <c r="J307" s="14">
        <f>+'KY_Res by Plant Acct P16(REG)'!J306</f>
        <v>0</v>
      </c>
      <c r="K307" s="13"/>
      <c r="L307" s="14">
        <f>+'KY_Res by Plant Acct P16(REG)'!L306</f>
        <v>0</v>
      </c>
      <c r="M307" s="13"/>
      <c r="N307" s="14">
        <f>+'KY_Res by Plant Acct P16(REG)'!N306</f>
        <v>0</v>
      </c>
      <c r="O307" s="13"/>
      <c r="P307" s="14">
        <f>+'KY_Res by Plant Acct P16(REG)'!P306</f>
        <v>0</v>
      </c>
      <c r="Q307" s="13"/>
      <c r="R307" s="14">
        <f t="shared" si="14"/>
        <v>0</v>
      </c>
    </row>
    <row r="308" spans="1:18" outlineLevel="1" x14ac:dyDescent="0.2">
      <c r="A308" s="3" t="s">
        <v>3716</v>
      </c>
      <c r="B308" s="14">
        <f>+'KY_Res by Plant Acct P16(REG)'!B307</f>
        <v>-77381453.090000004</v>
      </c>
      <c r="C308" s="13"/>
      <c r="D308" s="14">
        <f>+'KY_Res by Plant Acct P16(REG)'!D307</f>
        <v>-9037408.9199999999</v>
      </c>
      <c r="E308" s="13"/>
      <c r="F308" s="14">
        <f>+'KY_Res by Plant Acct P16(REG)'!F307</f>
        <v>137702.70000000001</v>
      </c>
      <c r="G308" s="13"/>
      <c r="H308" s="14">
        <f>+'KY_Res by Plant Acct P16(REG)'!H307</f>
        <v>-5224.9399999999996</v>
      </c>
      <c r="I308" s="13"/>
      <c r="J308" s="14">
        <f>+'KY_Res by Plant Acct P16(REG)'!J307</f>
        <v>0</v>
      </c>
      <c r="K308" s="13"/>
      <c r="L308" s="14">
        <f>+'KY_Res by Plant Acct P16(REG)'!L307</f>
        <v>6236.9</v>
      </c>
      <c r="M308" s="13"/>
      <c r="N308" s="14">
        <f>+'KY_Res by Plant Acct P16(REG)'!N307</f>
        <v>0</v>
      </c>
      <c r="O308" s="13"/>
      <c r="P308" s="14">
        <f>+'KY_Res by Plant Acct P16(REG)'!P307</f>
        <v>0</v>
      </c>
      <c r="Q308" s="13"/>
      <c r="R308" s="14">
        <f t="shared" si="14"/>
        <v>-86280147.349999994</v>
      </c>
    </row>
    <row r="309" spans="1:18" outlineLevel="1" x14ac:dyDescent="0.2">
      <c r="A309" s="3" t="s">
        <v>3717</v>
      </c>
      <c r="B309" s="14">
        <f>+'KY_Res by Plant Acct P16(REG)'!B308</f>
        <v>0</v>
      </c>
      <c r="C309" s="13"/>
      <c r="D309" s="14">
        <f>+'KY_Res by Plant Acct P16(REG)'!D308</f>
        <v>0</v>
      </c>
      <c r="E309" s="13"/>
      <c r="F309" s="14">
        <f>+'KY_Res by Plant Acct P16(REG)'!F308</f>
        <v>0</v>
      </c>
      <c r="G309" s="13"/>
      <c r="H309" s="14">
        <f>+'KY_Res by Plant Acct P16(REG)'!H308</f>
        <v>0</v>
      </c>
      <c r="I309" s="13"/>
      <c r="J309" s="14">
        <f>+'KY_Res by Plant Acct P16(REG)'!J308</f>
        <v>0</v>
      </c>
      <c r="K309" s="13"/>
      <c r="L309" s="14">
        <f>+'KY_Res by Plant Acct P16(REG)'!L308</f>
        <v>0</v>
      </c>
      <c r="M309" s="13"/>
      <c r="N309" s="14">
        <f>+'KY_Res by Plant Acct P16(REG)'!N308</f>
        <v>0</v>
      </c>
      <c r="O309" s="13"/>
      <c r="P309" s="14">
        <f>+'KY_Res by Plant Acct P16(REG)'!P308</f>
        <v>0</v>
      </c>
      <c r="Q309" s="13"/>
      <c r="R309" s="14">
        <f t="shared" si="14"/>
        <v>0</v>
      </c>
    </row>
    <row r="310" spans="1:18" outlineLevel="1" x14ac:dyDescent="0.2">
      <c r="A310" s="3" t="s">
        <v>3718</v>
      </c>
      <c r="B310" s="14">
        <f>+'KY_Res by Plant Acct P16(REG)'!B309</f>
        <v>-448119.95</v>
      </c>
      <c r="C310" s="13"/>
      <c r="D310" s="14">
        <f>+'KY_Res by Plant Acct P16(REG)'!D309</f>
        <v>0</v>
      </c>
      <c r="E310" s="13"/>
      <c r="F310" s="14">
        <f>+'KY_Res by Plant Acct P16(REG)'!F309</f>
        <v>0</v>
      </c>
      <c r="G310" s="13"/>
      <c r="H310" s="14">
        <f>+'KY_Res by Plant Acct P16(REG)'!H309</f>
        <v>0</v>
      </c>
      <c r="I310" s="13"/>
      <c r="J310" s="14">
        <f>+'KY_Res by Plant Acct P16(REG)'!J309</f>
        <v>0</v>
      </c>
      <c r="K310" s="13"/>
      <c r="L310" s="14">
        <f>+'KY_Res by Plant Acct P16(REG)'!L309</f>
        <v>0</v>
      </c>
      <c r="M310" s="13"/>
      <c r="N310" s="14">
        <f>+'KY_Res by Plant Acct P16(REG)'!N309</f>
        <v>0</v>
      </c>
      <c r="O310" s="13"/>
      <c r="P310" s="14">
        <f>+'KY_Res by Plant Acct P16(REG)'!P309</f>
        <v>0</v>
      </c>
      <c r="Q310" s="13"/>
      <c r="R310" s="14">
        <f t="shared" si="14"/>
        <v>-448119.95</v>
      </c>
    </row>
    <row r="311" spans="1:18" outlineLevel="1" x14ac:dyDescent="0.2">
      <c r="A311" s="3" t="s">
        <v>3977</v>
      </c>
      <c r="B311" s="14">
        <f>+'KY_Res by Plant Acct P16(REG)'!B310</f>
        <v>-685083.24999999651</v>
      </c>
      <c r="C311" s="13"/>
      <c r="D311" s="14">
        <f>+'KY_Res by Plant Acct P16(REG)'!D310</f>
        <v>-103772.16</v>
      </c>
      <c r="E311" s="13"/>
      <c r="F311" s="14">
        <f>+'KY_Res by Plant Acct P16(REG)'!F310</f>
        <v>0</v>
      </c>
      <c r="G311" s="13"/>
      <c r="H311" s="14">
        <f>+'KY_Res by Plant Acct P16(REG)'!H310</f>
        <v>0</v>
      </c>
      <c r="I311" s="13"/>
      <c r="J311" s="14">
        <f>+'KY_Res by Plant Acct P16(REG)'!J310</f>
        <v>0</v>
      </c>
      <c r="K311" s="13"/>
      <c r="L311" s="14">
        <f>+'KY_Res by Plant Acct P16(REG)'!L310</f>
        <v>0</v>
      </c>
      <c r="M311" s="13"/>
      <c r="N311" s="14">
        <f>+'KY_Res by Plant Acct P16(REG)'!N310</f>
        <v>0</v>
      </c>
      <c r="O311" s="13"/>
      <c r="P311" s="14">
        <f>+'KY_Res by Plant Acct P16(REG)'!P310</f>
        <v>0</v>
      </c>
      <c r="Q311" s="13"/>
      <c r="R311" s="14">
        <f t="shared" si="14"/>
        <v>-788855.40999999654</v>
      </c>
    </row>
    <row r="312" spans="1:18" outlineLevel="1" x14ac:dyDescent="0.2">
      <c r="A312" s="3" t="s">
        <v>3720</v>
      </c>
      <c r="B312" s="14">
        <f>+'KY_Res by Plant Acct P16(REG)'!B311</f>
        <v>0</v>
      </c>
      <c r="C312" s="13"/>
      <c r="D312" s="14">
        <f>+'KY_Res by Plant Acct P16(REG)'!D311</f>
        <v>0</v>
      </c>
      <c r="E312" s="13"/>
      <c r="F312" s="14">
        <f>+'KY_Res by Plant Acct P16(REG)'!F311</f>
        <v>0</v>
      </c>
      <c r="G312" s="13"/>
      <c r="H312" s="14">
        <f>+'KY_Res by Plant Acct P16(REG)'!H311</f>
        <v>0</v>
      </c>
      <c r="I312" s="13"/>
      <c r="J312" s="14">
        <f>+'KY_Res by Plant Acct P16(REG)'!J311</f>
        <v>0</v>
      </c>
      <c r="K312" s="13"/>
      <c r="L312" s="14">
        <f>+'KY_Res by Plant Acct P16(REG)'!L311</f>
        <v>0</v>
      </c>
      <c r="M312" s="13"/>
      <c r="N312" s="14">
        <f>+'KY_Res by Plant Acct P16(REG)'!N311</f>
        <v>0</v>
      </c>
      <c r="O312" s="13"/>
      <c r="P312" s="14">
        <f>+'KY_Res by Plant Acct P16(REG)'!P311</f>
        <v>0</v>
      </c>
      <c r="Q312" s="13"/>
      <c r="R312" s="14">
        <f t="shared" si="14"/>
        <v>0</v>
      </c>
    </row>
    <row r="313" spans="1:18" outlineLevel="1" x14ac:dyDescent="0.2">
      <c r="A313" s="3" t="s">
        <v>3978</v>
      </c>
      <c r="B313" s="14">
        <f>+'KY_Res by Plant Acct P16(REG)'!B312</f>
        <v>-1928697.4099999983</v>
      </c>
      <c r="C313" s="13"/>
      <c r="D313" s="14">
        <f>+'KY_Res by Plant Acct P16(REG)'!D312</f>
        <v>-20560.939999999999</v>
      </c>
      <c r="E313" s="13"/>
      <c r="F313" s="14">
        <f>+'KY_Res by Plant Acct P16(REG)'!F312</f>
        <v>0</v>
      </c>
      <c r="G313" s="13"/>
      <c r="H313" s="14">
        <f>+'KY_Res by Plant Acct P16(REG)'!H312</f>
        <v>892101.64</v>
      </c>
      <c r="I313" s="13"/>
      <c r="J313" s="14">
        <f>+'KY_Res by Plant Acct P16(REG)'!J312</f>
        <v>0</v>
      </c>
      <c r="K313" s="13"/>
      <c r="L313" s="14">
        <f>+'KY_Res by Plant Acct P16(REG)'!L312</f>
        <v>0</v>
      </c>
      <c r="M313" s="13"/>
      <c r="N313" s="14">
        <f>+'KY_Res by Plant Acct P16(REG)'!N312</f>
        <v>0</v>
      </c>
      <c r="O313" s="13"/>
      <c r="P313" s="14">
        <f>+'KY_Res by Plant Acct P16(REG)'!P312</f>
        <v>0</v>
      </c>
      <c r="Q313" s="13"/>
      <c r="R313" s="14">
        <f t="shared" si="14"/>
        <v>-1057156.7099999981</v>
      </c>
    </row>
    <row r="314" spans="1:18" outlineLevel="1" x14ac:dyDescent="0.2">
      <c r="A314" s="3" t="s">
        <v>3722</v>
      </c>
      <c r="B314" s="14">
        <f>+'KY_Res by Plant Acct P16(REG)'!B313</f>
        <v>0</v>
      </c>
      <c r="C314" s="13"/>
      <c r="D314" s="14">
        <f>+'KY_Res by Plant Acct P16(REG)'!D313</f>
        <v>0</v>
      </c>
      <c r="E314" s="13"/>
      <c r="F314" s="14">
        <f>+'KY_Res by Plant Acct P16(REG)'!F313</f>
        <v>0</v>
      </c>
      <c r="G314" s="13"/>
      <c r="H314" s="14">
        <f>+'KY_Res by Plant Acct P16(REG)'!H313</f>
        <v>0</v>
      </c>
      <c r="I314" s="13"/>
      <c r="J314" s="14">
        <f>+'KY_Res by Plant Acct P16(REG)'!J313</f>
        <v>0</v>
      </c>
      <c r="K314" s="13"/>
      <c r="L314" s="14">
        <f>+'KY_Res by Plant Acct P16(REG)'!L313</f>
        <v>0</v>
      </c>
      <c r="M314" s="13"/>
      <c r="N314" s="14">
        <f>+'KY_Res by Plant Acct P16(REG)'!N313</f>
        <v>0</v>
      </c>
      <c r="O314" s="13"/>
      <c r="P314" s="14">
        <f>+'KY_Res by Plant Acct P16(REG)'!P313</f>
        <v>0</v>
      </c>
      <c r="Q314" s="13"/>
      <c r="R314" s="14">
        <f t="shared" si="14"/>
        <v>0</v>
      </c>
    </row>
    <row r="315" spans="1:18" outlineLevel="1" x14ac:dyDescent="0.2">
      <c r="A315" s="3" t="s">
        <v>3723</v>
      </c>
      <c r="B315" s="14">
        <f>+'KY_Res by Plant Acct P16(REG)'!B314</f>
        <v>0</v>
      </c>
      <c r="C315" s="13"/>
      <c r="D315" s="14">
        <f>+'KY_Res by Plant Acct P16(REG)'!D314</f>
        <v>0</v>
      </c>
      <c r="E315" s="13"/>
      <c r="F315" s="14">
        <f>+'KY_Res by Plant Acct P16(REG)'!F314</f>
        <v>0</v>
      </c>
      <c r="G315" s="13"/>
      <c r="H315" s="14">
        <f>+'KY_Res by Plant Acct P16(REG)'!H314</f>
        <v>0</v>
      </c>
      <c r="I315" s="13"/>
      <c r="J315" s="14">
        <f>+'KY_Res by Plant Acct P16(REG)'!J314</f>
        <v>0</v>
      </c>
      <c r="K315" s="13"/>
      <c r="L315" s="14">
        <f>+'KY_Res by Plant Acct P16(REG)'!L314</f>
        <v>0</v>
      </c>
      <c r="M315" s="13"/>
      <c r="N315" s="14">
        <f>+'KY_Res by Plant Acct P16(REG)'!N314</f>
        <v>0</v>
      </c>
      <c r="O315" s="13"/>
      <c r="P315" s="14">
        <f>+'KY_Res by Plant Acct P16(REG)'!P314</f>
        <v>0</v>
      </c>
      <c r="Q315" s="13"/>
      <c r="R315" s="14">
        <f t="shared" si="14"/>
        <v>0</v>
      </c>
    </row>
    <row r="316" spans="1:18" outlineLevel="1" x14ac:dyDescent="0.2">
      <c r="A316" s="3" t="s">
        <v>3724</v>
      </c>
      <c r="B316" s="14">
        <f>+'KY_Res by Plant Acct P16(REG)'!B315</f>
        <v>-236083.38000000006</v>
      </c>
      <c r="C316" s="13"/>
      <c r="D316" s="14">
        <f>+'KY_Res by Plant Acct P16(REG)'!D315</f>
        <v>0</v>
      </c>
      <c r="E316" s="13"/>
      <c r="F316" s="14">
        <f>+'KY_Res by Plant Acct P16(REG)'!F315</f>
        <v>0</v>
      </c>
      <c r="G316" s="13"/>
      <c r="H316" s="14">
        <f>+'KY_Res by Plant Acct P16(REG)'!H315</f>
        <v>0</v>
      </c>
      <c r="I316" s="13"/>
      <c r="J316" s="14">
        <f>+'KY_Res by Plant Acct P16(REG)'!J315</f>
        <v>0</v>
      </c>
      <c r="K316" s="13"/>
      <c r="L316" s="14">
        <f>+'KY_Res by Plant Acct P16(REG)'!L315</f>
        <v>0</v>
      </c>
      <c r="M316" s="13"/>
      <c r="N316" s="14">
        <f>+'KY_Res by Plant Acct P16(REG)'!N315</f>
        <v>0</v>
      </c>
      <c r="O316" s="13"/>
      <c r="P316" s="14">
        <f>+'KY_Res by Plant Acct P16(REG)'!P315</f>
        <v>0</v>
      </c>
      <c r="Q316" s="13"/>
      <c r="R316" s="14">
        <f t="shared" si="14"/>
        <v>-236083.38000000006</v>
      </c>
    </row>
    <row r="317" spans="1:18" outlineLevel="1" x14ac:dyDescent="0.2">
      <c r="A317" s="3" t="s">
        <v>3979</v>
      </c>
      <c r="B317" s="14">
        <f>+'KY_Res by Plant Acct P16(REG)'!B316</f>
        <v>-93820520.689999968</v>
      </c>
      <c r="C317" s="13"/>
      <c r="D317" s="14">
        <f>+'KY_Res by Plant Acct P16(REG)'!D316</f>
        <v>-11017190.08</v>
      </c>
      <c r="E317" s="13"/>
      <c r="F317" s="14">
        <f>+'KY_Res by Plant Acct P16(REG)'!F316</f>
        <v>1713500</v>
      </c>
      <c r="G317" s="13"/>
      <c r="H317" s="14">
        <f>+'KY_Res by Plant Acct P16(REG)'!H316</f>
        <v>-1206969.79</v>
      </c>
      <c r="I317" s="13"/>
      <c r="J317" s="14">
        <f>+'KY_Res by Plant Acct P16(REG)'!J316</f>
        <v>0</v>
      </c>
      <c r="K317" s="13"/>
      <c r="L317" s="14">
        <f>+'KY_Res by Plant Acct P16(REG)'!L316</f>
        <v>53516.659999999996</v>
      </c>
      <c r="M317" s="13"/>
      <c r="N317" s="14">
        <f>+'KY_Res by Plant Acct P16(REG)'!N316</f>
        <v>0</v>
      </c>
      <c r="O317" s="13"/>
      <c r="P317" s="14">
        <f>+'KY_Res by Plant Acct P16(REG)'!P316</f>
        <v>-13170.069999999998</v>
      </c>
      <c r="Q317" s="13"/>
      <c r="R317" s="14">
        <f>SUM(B317:P317)</f>
        <v>-104290833.96999997</v>
      </c>
    </row>
    <row r="318" spans="1:18" outlineLevel="1" x14ac:dyDescent="0.2">
      <c r="A318" s="3" t="s">
        <v>3726</v>
      </c>
      <c r="B318" s="14">
        <f>+'KY_Res by Plant Acct P16(REG)'!B317</f>
        <v>3</v>
      </c>
      <c r="C318" s="13"/>
      <c r="D318" s="14">
        <f>+'KY_Res by Plant Acct P16(REG)'!D317</f>
        <v>0</v>
      </c>
      <c r="E318" s="13"/>
      <c r="F318" s="14">
        <f>+'KY_Res by Plant Acct P16(REG)'!F317</f>
        <v>0</v>
      </c>
      <c r="G318" s="13"/>
      <c r="H318" s="14">
        <f>+'KY_Res by Plant Acct P16(REG)'!H317</f>
        <v>0</v>
      </c>
      <c r="I318" s="13"/>
      <c r="J318" s="14">
        <f>+'KY_Res by Plant Acct P16(REG)'!J317</f>
        <v>0</v>
      </c>
      <c r="K318" s="13"/>
      <c r="L318" s="14">
        <f>+'KY_Res by Plant Acct P16(REG)'!L317</f>
        <v>0</v>
      </c>
      <c r="M318" s="13"/>
      <c r="N318" s="14">
        <f>+'KY_Res by Plant Acct P16(REG)'!N317</f>
        <v>0</v>
      </c>
      <c r="O318" s="13"/>
      <c r="P318" s="14">
        <f>+'KY_Res by Plant Acct P16(REG)'!P317</f>
        <v>0</v>
      </c>
      <c r="Q318" s="13"/>
      <c r="R318" s="14">
        <f>SUM(B318:P318)</f>
        <v>3</v>
      </c>
    </row>
    <row r="319" spans="1:18" outlineLevel="1" x14ac:dyDescent="0.2">
      <c r="A319" s="73" t="s">
        <v>3727</v>
      </c>
      <c r="B319" s="14">
        <f>+'KY_Res by Plant Acct P16(REG)'!B318</f>
        <v>-1471137.5</v>
      </c>
      <c r="C319" s="13"/>
      <c r="D319" s="14">
        <f>+'KY_Res by Plant Acct P16(REG)'!D318</f>
        <v>-411358.44</v>
      </c>
      <c r="E319" s="13"/>
      <c r="F319" s="14">
        <f>+'KY_Res by Plant Acct P16(REG)'!F318</f>
        <v>0</v>
      </c>
      <c r="G319" s="13"/>
      <c r="H319" s="14">
        <f>+'KY_Res by Plant Acct P16(REG)'!H318</f>
        <v>0</v>
      </c>
      <c r="I319" s="13"/>
      <c r="J319" s="14">
        <f>+'KY_Res by Plant Acct P16(REG)'!J318</f>
        <v>0</v>
      </c>
      <c r="K319" s="13"/>
      <c r="L319" s="14">
        <f>+'KY_Res by Plant Acct P16(REG)'!L318</f>
        <v>0</v>
      </c>
      <c r="M319" s="13"/>
      <c r="N319" s="14">
        <f>+'KY_Res by Plant Acct P16(REG)'!N318</f>
        <v>0</v>
      </c>
      <c r="O319" s="13"/>
      <c r="P319" s="14">
        <f>+'KY_Res by Plant Acct P16(REG)'!P318</f>
        <v>0</v>
      </c>
      <c r="Q319" s="13"/>
      <c r="R319" s="14">
        <f>SUM(B319:P319)</f>
        <v>-1882495.94</v>
      </c>
    </row>
    <row r="320" spans="1:18" outlineLevel="1" x14ac:dyDescent="0.2">
      <c r="A320" s="3" t="s">
        <v>3980</v>
      </c>
      <c r="B320" s="14">
        <f>+'KY_Res by Plant Acct P16(REG)'!B319</f>
        <v>-18602419.789999999</v>
      </c>
      <c r="C320" s="13"/>
      <c r="D320" s="14">
        <f>+'KY_Res by Plant Acct P16(REG)'!D319</f>
        <v>-1437530.45</v>
      </c>
      <c r="E320" s="13"/>
      <c r="F320" s="14">
        <f>+'KY_Res by Plant Acct P16(REG)'!F319</f>
        <v>12375.71</v>
      </c>
      <c r="G320" s="13"/>
      <c r="H320" s="14">
        <f>+'KY_Res by Plant Acct P16(REG)'!H319</f>
        <v>0</v>
      </c>
      <c r="I320" s="13"/>
      <c r="J320" s="14">
        <f>+'KY_Res by Plant Acct P16(REG)'!J319</f>
        <v>0</v>
      </c>
      <c r="K320" s="13"/>
      <c r="L320" s="14">
        <f>+'KY_Res by Plant Acct P16(REG)'!L319</f>
        <v>0</v>
      </c>
      <c r="M320" s="13"/>
      <c r="N320" s="14">
        <f>+'KY_Res by Plant Acct P16(REG)'!N319</f>
        <v>0</v>
      </c>
      <c r="O320" s="13"/>
      <c r="P320" s="14">
        <f>+'KY_Res by Plant Acct P16(REG)'!P319</f>
        <v>0</v>
      </c>
      <c r="Q320" s="13"/>
      <c r="R320" s="14">
        <f>SUM(B320:P320)</f>
        <v>-20027574.529999997</v>
      </c>
    </row>
    <row r="321" spans="1:18" outlineLevel="1" x14ac:dyDescent="0.2">
      <c r="A321" s="3" t="s">
        <v>3981</v>
      </c>
      <c r="B321" s="14">
        <f>+'KY_Res by Plant Acct P16(REG)'!B320</f>
        <v>-2.9999999990686774</v>
      </c>
      <c r="C321" s="13"/>
      <c r="D321" s="14">
        <f>+'KY_Res by Plant Acct P16(REG)'!D320</f>
        <v>0</v>
      </c>
      <c r="E321" s="13"/>
      <c r="F321" s="14">
        <f>+'KY_Res by Plant Acct P16(REG)'!F320</f>
        <v>0</v>
      </c>
      <c r="G321" s="13"/>
      <c r="H321" s="14">
        <f>+'KY_Res by Plant Acct P16(REG)'!H320</f>
        <v>0</v>
      </c>
      <c r="I321" s="13"/>
      <c r="J321" s="14">
        <f>+'KY_Res by Plant Acct P16(REG)'!J320</f>
        <v>0</v>
      </c>
      <c r="K321" s="13"/>
      <c r="L321" s="14">
        <f>+'KY_Res by Plant Acct P16(REG)'!L320</f>
        <v>0</v>
      </c>
      <c r="M321" s="13"/>
      <c r="N321" s="14">
        <f>+'KY_Res by Plant Acct P16(REG)'!N320</f>
        <v>0</v>
      </c>
      <c r="O321" s="13"/>
      <c r="P321" s="14">
        <f>+'KY_Res by Plant Acct P16(REG)'!P320</f>
        <v>0</v>
      </c>
      <c r="Q321" s="13"/>
      <c r="R321" s="14">
        <f>SUM(B321:P321)</f>
        <v>-2.9999999990686774</v>
      </c>
    </row>
    <row r="322" spans="1:18" outlineLevel="1" x14ac:dyDescent="0.2">
      <c r="A322" s="3" t="s">
        <v>3730</v>
      </c>
      <c r="B322" s="14">
        <f>+'KY_Res by Plant Acct P16(REG)'!B321</f>
        <v>-98209.890000000014</v>
      </c>
      <c r="C322" s="13"/>
      <c r="D322" s="14">
        <f>+'KY_Res by Plant Acct P16(REG)'!D321</f>
        <v>0</v>
      </c>
      <c r="E322" s="13"/>
      <c r="F322" s="14">
        <f>+'KY_Res by Plant Acct P16(REG)'!F321</f>
        <v>0</v>
      </c>
      <c r="G322" s="13"/>
      <c r="H322" s="14">
        <f>+'KY_Res by Plant Acct P16(REG)'!H321</f>
        <v>0</v>
      </c>
      <c r="I322" s="13"/>
      <c r="J322" s="14">
        <f>+'KY_Res by Plant Acct P16(REG)'!J321</f>
        <v>0</v>
      </c>
      <c r="K322" s="13"/>
      <c r="L322" s="14">
        <f>+'KY_Res by Plant Acct P16(REG)'!L321</f>
        <v>0</v>
      </c>
      <c r="M322" s="13"/>
      <c r="N322" s="14">
        <f>+'KY_Res by Plant Acct P16(REG)'!N321</f>
        <v>0</v>
      </c>
      <c r="O322" s="13"/>
      <c r="P322" s="14">
        <f>+'KY_Res by Plant Acct P16(REG)'!P321</f>
        <v>0</v>
      </c>
      <c r="Q322" s="13"/>
      <c r="R322" s="14">
        <f t="shared" si="14"/>
        <v>-98209.890000000014</v>
      </c>
    </row>
    <row r="323" spans="1:18" outlineLevel="1" x14ac:dyDescent="0.2">
      <c r="A323" s="3" t="s">
        <v>3731</v>
      </c>
      <c r="B323" s="14">
        <f>+'KY_Res by Plant Acct P16(REG)'!B322</f>
        <v>-992223.6800000011</v>
      </c>
      <c r="C323" s="13"/>
      <c r="D323" s="14">
        <f>+'KY_Res by Plant Acct P16(REG)'!D322</f>
        <v>-39663.839999999997</v>
      </c>
      <c r="E323" s="13"/>
      <c r="F323" s="14">
        <f>+'KY_Res by Plant Acct P16(REG)'!F322</f>
        <v>0</v>
      </c>
      <c r="G323" s="13"/>
      <c r="H323" s="14">
        <f>+'KY_Res by Plant Acct P16(REG)'!H322</f>
        <v>0</v>
      </c>
      <c r="I323" s="13"/>
      <c r="J323" s="14">
        <f>+'KY_Res by Plant Acct P16(REG)'!J322</f>
        <v>0</v>
      </c>
      <c r="K323" s="13"/>
      <c r="L323" s="14">
        <f>+'KY_Res by Plant Acct P16(REG)'!L322</f>
        <v>0</v>
      </c>
      <c r="M323" s="13"/>
      <c r="N323" s="14">
        <f>+'KY_Res by Plant Acct P16(REG)'!N322</f>
        <v>0</v>
      </c>
      <c r="O323" s="13"/>
      <c r="P323" s="14">
        <f>+'KY_Res by Plant Acct P16(REG)'!P322</f>
        <v>0</v>
      </c>
      <c r="Q323" s="13"/>
      <c r="R323" s="14">
        <f t="shared" si="14"/>
        <v>-1031887.5200000011</v>
      </c>
    </row>
    <row r="324" spans="1:18" outlineLevel="1" x14ac:dyDescent="0.2">
      <c r="A324" s="3" t="s">
        <v>3732</v>
      </c>
      <c r="B324" s="14">
        <f>+'KY_Res by Plant Acct P16(REG)'!B323</f>
        <v>0</v>
      </c>
      <c r="C324" s="13"/>
      <c r="D324" s="14">
        <f>+'KY_Res by Plant Acct P16(REG)'!D323</f>
        <v>0</v>
      </c>
      <c r="E324" s="13"/>
      <c r="F324" s="14">
        <f>+'KY_Res by Plant Acct P16(REG)'!F323</f>
        <v>0</v>
      </c>
      <c r="G324" s="13">
        <v>0</v>
      </c>
      <c r="H324" s="14">
        <f>+'KY_Res by Plant Acct P16(REG)'!H323</f>
        <v>0</v>
      </c>
      <c r="I324" s="13"/>
      <c r="J324" s="14">
        <f>+'KY_Res by Plant Acct P16(REG)'!J323</f>
        <v>0</v>
      </c>
      <c r="K324" s="13"/>
      <c r="L324" s="14">
        <f>+'KY_Res by Plant Acct P16(REG)'!L323</f>
        <v>0</v>
      </c>
      <c r="M324" s="13"/>
      <c r="N324" s="14">
        <f>+'KY_Res by Plant Acct P16(REG)'!N323</f>
        <v>0</v>
      </c>
      <c r="O324" s="13"/>
      <c r="P324" s="14">
        <f>+'KY_Res by Plant Acct P16(REG)'!P323</f>
        <v>0</v>
      </c>
      <c r="Q324" s="13"/>
      <c r="R324" s="14">
        <f t="shared" si="14"/>
        <v>0</v>
      </c>
    </row>
    <row r="325" spans="1:18" x14ac:dyDescent="0.2">
      <c r="A325" s="3" t="s">
        <v>3733</v>
      </c>
      <c r="B325" s="14">
        <f>SUM(B274:B324)</f>
        <v>-1026174034.52</v>
      </c>
      <c r="C325" s="13"/>
      <c r="D325" s="14">
        <f>SUM(D274:D324)</f>
        <v>-98225232.600000009</v>
      </c>
      <c r="E325" s="13"/>
      <c r="F325" s="14">
        <f>SUM(F274:F324)</f>
        <v>10563333.780000001</v>
      </c>
      <c r="G325" s="13"/>
      <c r="H325" s="14">
        <f>SUM(H274:H324)</f>
        <v>-1538192.5500000003</v>
      </c>
      <c r="I325" s="13"/>
      <c r="J325" s="14">
        <f>SUM(J274:J324)</f>
        <v>0</v>
      </c>
      <c r="K325" s="13"/>
      <c r="L325" s="14">
        <f>SUM(L274:L324)</f>
        <v>3910726.42</v>
      </c>
      <c r="M325" s="13"/>
      <c r="N325" s="14">
        <f>SUM(N274:N324)</f>
        <v>-183906.78</v>
      </c>
      <c r="O325" s="13"/>
      <c r="P325" s="14">
        <f>SUM(P274:P324)</f>
        <v>-15420.069999999998</v>
      </c>
      <c r="Q325" s="13"/>
      <c r="R325" s="14">
        <f>SUM(R274:R324)</f>
        <v>-1111662726.3200002</v>
      </c>
    </row>
    <row r="326" spans="1:18" outlineLevel="1" x14ac:dyDescent="0.2">
      <c r="A326" s="3" t="s">
        <v>3734</v>
      </c>
      <c r="B326" s="14">
        <f>+'KY_Res by Plant Acct P16(REG)'!B325</f>
        <v>0</v>
      </c>
      <c r="C326" s="13"/>
      <c r="D326" s="14">
        <f>+'KY_Res by Plant Acct P16(REG)'!D325</f>
        <v>0</v>
      </c>
      <c r="E326" s="13"/>
      <c r="F326" s="14">
        <f>+'KY_Res by Plant Acct P16(REG)'!F325</f>
        <v>0</v>
      </c>
      <c r="G326" s="13"/>
      <c r="H326" s="14">
        <f>+'KY_Res by Plant Acct P16(REG)'!H325</f>
        <v>0</v>
      </c>
      <c r="I326" s="13"/>
      <c r="J326" s="14">
        <f>+'KY_Res by Plant Acct P16(REG)'!J325</f>
        <v>0</v>
      </c>
      <c r="K326" s="13"/>
      <c r="L326" s="14">
        <f>+'KY_Res by Plant Acct P16(REG)'!L325</f>
        <v>0</v>
      </c>
      <c r="M326" s="13"/>
      <c r="N326" s="14">
        <f>+'KY_Res by Plant Acct P16(REG)'!N325</f>
        <v>0</v>
      </c>
      <c r="O326" s="13"/>
      <c r="P326" s="14">
        <f>+'KY_Res by Plant Acct P16(REG)'!P325</f>
        <v>0</v>
      </c>
      <c r="Q326" s="13"/>
      <c r="R326" s="14">
        <f t="shared" ref="R326:R335" si="15">SUM(B326:P326)</f>
        <v>0</v>
      </c>
    </row>
    <row r="327" spans="1:18" outlineLevel="1" x14ac:dyDescent="0.2">
      <c r="A327" s="3" t="s">
        <v>3735</v>
      </c>
      <c r="B327" s="14">
        <f>+'KY_Res by Plant Acct P16(REG)'!B326</f>
        <v>0</v>
      </c>
      <c r="C327" s="13"/>
      <c r="D327" s="14">
        <f>+'KY_Res by Plant Acct P16(REG)'!D326</f>
        <v>0</v>
      </c>
      <c r="E327" s="13"/>
      <c r="F327" s="14">
        <f>+'KY_Res by Plant Acct P16(REG)'!F326</f>
        <v>0</v>
      </c>
      <c r="G327" s="13"/>
      <c r="H327" s="14">
        <f>+'KY_Res by Plant Acct P16(REG)'!H326</f>
        <v>0</v>
      </c>
      <c r="I327" s="13"/>
      <c r="J327" s="14">
        <f>+'KY_Res by Plant Acct P16(REG)'!J326</f>
        <v>0</v>
      </c>
      <c r="K327" s="13"/>
      <c r="L327" s="14">
        <f>+'KY_Res by Plant Acct P16(REG)'!L326</f>
        <v>0</v>
      </c>
      <c r="M327" s="13"/>
      <c r="N327" s="14">
        <f>+'KY_Res by Plant Acct P16(REG)'!N326</f>
        <v>0</v>
      </c>
      <c r="O327" s="13"/>
      <c r="P327" s="14">
        <f>+'KY_Res by Plant Acct P16(REG)'!P326</f>
        <v>0</v>
      </c>
      <c r="Q327" s="13"/>
      <c r="R327" s="14">
        <f t="shared" si="15"/>
        <v>0</v>
      </c>
    </row>
    <row r="328" spans="1:18" outlineLevel="1" x14ac:dyDescent="0.2">
      <c r="A328" s="3" t="s">
        <v>3736</v>
      </c>
      <c r="B328" s="14">
        <f>+'KY_Res by Plant Acct P16(REG)'!B327</f>
        <v>0</v>
      </c>
      <c r="C328" s="13"/>
      <c r="D328" s="14">
        <f>+'KY_Res by Plant Acct P16(REG)'!D327</f>
        <v>0</v>
      </c>
      <c r="E328" s="13"/>
      <c r="F328" s="14">
        <f>+'KY_Res by Plant Acct P16(REG)'!F327</f>
        <v>0</v>
      </c>
      <c r="G328" s="13"/>
      <c r="H328" s="14">
        <f>+'KY_Res by Plant Acct P16(REG)'!H327</f>
        <v>0</v>
      </c>
      <c r="I328" s="13"/>
      <c r="J328" s="14">
        <f>+'KY_Res by Plant Acct P16(REG)'!J327</f>
        <v>0</v>
      </c>
      <c r="K328" s="13"/>
      <c r="L328" s="14">
        <f>+'KY_Res by Plant Acct P16(REG)'!L327</f>
        <v>0</v>
      </c>
      <c r="M328" s="13"/>
      <c r="N328" s="14">
        <f>+'KY_Res by Plant Acct P16(REG)'!N327</f>
        <v>0</v>
      </c>
      <c r="O328" s="13"/>
      <c r="P328" s="14">
        <f>+'KY_Res by Plant Acct P16(REG)'!P327</f>
        <v>0</v>
      </c>
      <c r="Q328" s="13"/>
      <c r="R328" s="14">
        <f t="shared" si="15"/>
        <v>0</v>
      </c>
    </row>
    <row r="329" spans="1:18" outlineLevel="1" x14ac:dyDescent="0.2">
      <c r="A329" s="3" t="s">
        <v>3737</v>
      </c>
      <c r="B329" s="14">
        <f>+'KY_Res by Plant Acct P16(REG)'!B328</f>
        <v>0</v>
      </c>
      <c r="C329" s="13"/>
      <c r="D329" s="14">
        <f>+'KY_Res by Plant Acct P16(REG)'!D328</f>
        <v>0</v>
      </c>
      <c r="E329" s="13"/>
      <c r="F329" s="14">
        <f>+'KY_Res by Plant Acct P16(REG)'!F328</f>
        <v>0</v>
      </c>
      <c r="G329" s="13"/>
      <c r="H329" s="14">
        <f>+'KY_Res by Plant Acct P16(REG)'!H328</f>
        <v>0</v>
      </c>
      <c r="I329" s="13"/>
      <c r="J329" s="14">
        <f>+'KY_Res by Plant Acct P16(REG)'!J328</f>
        <v>0</v>
      </c>
      <c r="K329" s="13"/>
      <c r="L329" s="14">
        <f>+'KY_Res by Plant Acct P16(REG)'!L328</f>
        <v>0</v>
      </c>
      <c r="M329" s="13"/>
      <c r="N329" s="14">
        <f>+'KY_Res by Plant Acct P16(REG)'!N328</f>
        <v>0</v>
      </c>
      <c r="O329" s="13"/>
      <c r="P329" s="14">
        <f>+'KY_Res by Plant Acct P16(REG)'!P328</f>
        <v>0</v>
      </c>
      <c r="Q329" s="13"/>
      <c r="R329" s="14">
        <f t="shared" si="15"/>
        <v>0</v>
      </c>
    </row>
    <row r="330" spans="1:18" outlineLevel="1" x14ac:dyDescent="0.2">
      <c r="A330" s="3" t="s">
        <v>3738</v>
      </c>
      <c r="B330" s="14">
        <f>+'KY_Res by Plant Acct P16(REG)'!B329</f>
        <v>0</v>
      </c>
      <c r="C330" s="13"/>
      <c r="D330" s="14">
        <f>+'KY_Res by Plant Acct P16(REG)'!D329</f>
        <v>0</v>
      </c>
      <c r="E330" s="13"/>
      <c r="F330" s="14">
        <f>+'KY_Res by Plant Acct P16(REG)'!F329</f>
        <v>0</v>
      </c>
      <c r="G330" s="13"/>
      <c r="H330" s="14">
        <f>+'KY_Res by Plant Acct P16(REG)'!H329</f>
        <v>0</v>
      </c>
      <c r="I330" s="13"/>
      <c r="J330" s="14">
        <f>+'KY_Res by Plant Acct P16(REG)'!J329</f>
        <v>0</v>
      </c>
      <c r="K330" s="13"/>
      <c r="L330" s="14">
        <f>+'KY_Res by Plant Acct P16(REG)'!L329</f>
        <v>0</v>
      </c>
      <c r="M330" s="13"/>
      <c r="N330" s="14">
        <f>+'KY_Res by Plant Acct P16(REG)'!N329</f>
        <v>0</v>
      </c>
      <c r="O330" s="13"/>
      <c r="P330" s="14">
        <f>+'KY_Res by Plant Acct P16(REG)'!P329</f>
        <v>0</v>
      </c>
      <c r="Q330" s="13"/>
      <c r="R330" s="14">
        <f t="shared" si="15"/>
        <v>0</v>
      </c>
    </row>
    <row r="331" spans="1:18" outlineLevel="1" x14ac:dyDescent="0.2">
      <c r="A331" s="3" t="s">
        <v>3739</v>
      </c>
      <c r="B331" s="14">
        <f>+'KY_Res by Plant Acct P16(REG)'!B330</f>
        <v>0</v>
      </c>
      <c r="C331" s="13"/>
      <c r="D331" s="14">
        <f>+'KY_Res by Plant Acct P16(REG)'!D330</f>
        <v>0</v>
      </c>
      <c r="E331" s="13"/>
      <c r="F331" s="14">
        <f>+'KY_Res by Plant Acct P16(REG)'!F330</f>
        <v>0</v>
      </c>
      <c r="G331" s="13"/>
      <c r="H331" s="14">
        <f>+'KY_Res by Plant Acct P16(REG)'!H330</f>
        <v>0</v>
      </c>
      <c r="I331" s="13"/>
      <c r="J331" s="14">
        <f>+'KY_Res by Plant Acct P16(REG)'!J330</f>
        <v>0</v>
      </c>
      <c r="K331" s="13"/>
      <c r="L331" s="14">
        <f>+'KY_Res by Plant Acct P16(REG)'!L330</f>
        <v>0</v>
      </c>
      <c r="M331" s="13"/>
      <c r="N331" s="14">
        <f>+'KY_Res by Plant Acct P16(REG)'!N330</f>
        <v>0</v>
      </c>
      <c r="O331" s="13"/>
      <c r="P331" s="14">
        <f>+'KY_Res by Plant Acct P16(REG)'!P330</f>
        <v>0</v>
      </c>
      <c r="Q331" s="13"/>
      <c r="R331" s="14">
        <f t="shared" si="15"/>
        <v>0</v>
      </c>
    </row>
    <row r="332" spans="1:18" outlineLevel="1" x14ac:dyDescent="0.2">
      <c r="A332" s="3" t="s">
        <v>3740</v>
      </c>
      <c r="B332" s="14">
        <f>+'KY_Res by Plant Acct P16(REG)'!B331</f>
        <v>0</v>
      </c>
      <c r="C332" s="13"/>
      <c r="D332" s="14">
        <f>+'KY_Res by Plant Acct P16(REG)'!D331</f>
        <v>0</v>
      </c>
      <c r="E332" s="13"/>
      <c r="F332" s="14">
        <f>+'KY_Res by Plant Acct P16(REG)'!F331</f>
        <v>0</v>
      </c>
      <c r="G332" s="13"/>
      <c r="H332" s="14">
        <f>+'KY_Res by Plant Acct P16(REG)'!H331</f>
        <v>0</v>
      </c>
      <c r="I332" s="13"/>
      <c r="J332" s="14">
        <f>+'KY_Res by Plant Acct P16(REG)'!J331</f>
        <v>0</v>
      </c>
      <c r="K332" s="13"/>
      <c r="L332" s="14">
        <f>+'KY_Res by Plant Acct P16(REG)'!L331</f>
        <v>0</v>
      </c>
      <c r="M332" s="13"/>
      <c r="N332" s="14">
        <f>+'KY_Res by Plant Acct P16(REG)'!N331</f>
        <v>0</v>
      </c>
      <c r="O332" s="13"/>
      <c r="P332" s="14">
        <f>+'KY_Res by Plant Acct P16(REG)'!P331</f>
        <v>0</v>
      </c>
      <c r="Q332" s="13"/>
      <c r="R332" s="14">
        <f t="shared" si="15"/>
        <v>0</v>
      </c>
    </row>
    <row r="333" spans="1:18" outlineLevel="1" x14ac:dyDescent="0.2">
      <c r="A333" s="3" t="s">
        <v>3741</v>
      </c>
      <c r="B333" s="14">
        <f>+'KY_Res by Plant Acct P16(REG)'!B332</f>
        <v>0</v>
      </c>
      <c r="C333" s="13"/>
      <c r="D333" s="14">
        <f>+'KY_Res by Plant Acct P16(REG)'!D332</f>
        <v>0</v>
      </c>
      <c r="E333" s="13"/>
      <c r="F333" s="14">
        <f>+'KY_Res by Plant Acct P16(REG)'!F332</f>
        <v>0</v>
      </c>
      <c r="G333" s="13"/>
      <c r="H333" s="14">
        <f>+'KY_Res by Plant Acct P16(REG)'!H332</f>
        <v>0</v>
      </c>
      <c r="I333" s="13"/>
      <c r="J333" s="14">
        <f>+'KY_Res by Plant Acct P16(REG)'!J332</f>
        <v>0</v>
      </c>
      <c r="K333" s="13"/>
      <c r="L333" s="14">
        <f>+'KY_Res by Plant Acct P16(REG)'!L332</f>
        <v>0</v>
      </c>
      <c r="M333" s="13"/>
      <c r="N333" s="14">
        <f>+'KY_Res by Plant Acct P16(REG)'!N332</f>
        <v>0</v>
      </c>
      <c r="O333" s="13"/>
      <c r="P333" s="14">
        <f>+'KY_Res by Plant Acct P16(REG)'!P332</f>
        <v>0</v>
      </c>
      <c r="Q333" s="13"/>
      <c r="R333" s="14">
        <f t="shared" si="15"/>
        <v>0</v>
      </c>
    </row>
    <row r="334" spans="1:18" outlineLevel="1" x14ac:dyDescent="0.2">
      <c r="A334" s="3" t="s">
        <v>3742</v>
      </c>
      <c r="B334" s="14">
        <f>+'KY_Res by Plant Acct P16(REG)'!B333</f>
        <v>0</v>
      </c>
      <c r="C334" s="13"/>
      <c r="D334" s="14">
        <f>+'KY_Res by Plant Acct P16(REG)'!D333</f>
        <v>0</v>
      </c>
      <c r="E334" s="13"/>
      <c r="F334" s="14">
        <f>+'KY_Res by Plant Acct P16(REG)'!F333</f>
        <v>0</v>
      </c>
      <c r="G334" s="13"/>
      <c r="H334" s="14">
        <f>+'KY_Res by Plant Acct P16(REG)'!H333</f>
        <v>0</v>
      </c>
      <c r="I334" s="13"/>
      <c r="J334" s="14">
        <f>+'KY_Res by Plant Acct P16(REG)'!J333</f>
        <v>0</v>
      </c>
      <c r="K334" s="13"/>
      <c r="L334" s="14">
        <f>+'KY_Res by Plant Acct P16(REG)'!L333</f>
        <v>0</v>
      </c>
      <c r="M334" s="13"/>
      <c r="N334" s="14">
        <f>+'KY_Res by Plant Acct P16(REG)'!N333</f>
        <v>0</v>
      </c>
      <c r="O334" s="13"/>
      <c r="P334" s="14">
        <f>+'KY_Res by Plant Acct P16(REG)'!P333</f>
        <v>0</v>
      </c>
      <c r="Q334" s="13"/>
      <c r="R334" s="14">
        <f t="shared" si="15"/>
        <v>0</v>
      </c>
    </row>
    <row r="335" spans="1:18" outlineLevel="1" x14ac:dyDescent="0.2">
      <c r="A335" s="3" t="s">
        <v>3743</v>
      </c>
      <c r="B335" s="14">
        <f>+'KY_Res by Plant Acct P16(REG)'!B334</f>
        <v>0</v>
      </c>
      <c r="C335" s="13"/>
      <c r="D335" s="14">
        <f>+'KY_Res by Plant Acct P16(REG)'!D334</f>
        <v>0</v>
      </c>
      <c r="E335" s="13"/>
      <c r="F335" s="14">
        <f>+'KY_Res by Plant Acct P16(REG)'!F334</f>
        <v>0</v>
      </c>
      <c r="G335" s="13"/>
      <c r="H335" s="14">
        <f>+'KY_Res by Plant Acct P16(REG)'!H334</f>
        <v>0</v>
      </c>
      <c r="I335" s="13"/>
      <c r="J335" s="14">
        <f>+'KY_Res by Plant Acct P16(REG)'!J334</f>
        <v>0</v>
      </c>
      <c r="K335" s="13"/>
      <c r="L335" s="14">
        <f>+'KY_Res by Plant Acct P16(REG)'!L334</f>
        <v>0</v>
      </c>
      <c r="M335" s="13"/>
      <c r="N335" s="14">
        <f>+'KY_Res by Plant Acct P16(REG)'!N334</f>
        <v>0</v>
      </c>
      <c r="O335" s="13"/>
      <c r="P335" s="14">
        <f>+'KY_Res by Plant Acct P16(REG)'!P334</f>
        <v>0</v>
      </c>
      <c r="Q335" s="13"/>
      <c r="R335" s="14">
        <f t="shared" si="15"/>
        <v>0</v>
      </c>
    </row>
    <row r="336" spans="1:18" x14ac:dyDescent="0.2">
      <c r="A336" s="3" t="s">
        <v>3744</v>
      </c>
      <c r="B336" s="14">
        <f>SUM(B326:B335)</f>
        <v>0</v>
      </c>
      <c r="C336" s="13"/>
      <c r="D336" s="14">
        <f>SUM(D326:D335)</f>
        <v>0</v>
      </c>
      <c r="E336" s="13"/>
      <c r="F336" s="14">
        <f>SUM(F326:F335)</f>
        <v>0</v>
      </c>
      <c r="G336" s="13"/>
      <c r="H336" s="14">
        <f>SUM(H326:H335)</f>
        <v>0</v>
      </c>
      <c r="I336" s="13"/>
      <c r="J336" s="14">
        <f>SUM(J326:J335)</f>
        <v>0</v>
      </c>
      <c r="K336" s="13"/>
      <c r="L336" s="14">
        <f>SUM(L326:L335)</f>
        <v>0</v>
      </c>
      <c r="M336" s="13"/>
      <c r="N336" s="14">
        <f>SUM(N326:N335)</f>
        <v>0</v>
      </c>
      <c r="O336" s="13"/>
      <c r="P336" s="14">
        <f>SUM(P326:P335)</f>
        <v>0</v>
      </c>
      <c r="Q336" s="13"/>
      <c r="R336" s="14">
        <f>SUM(R326:R335)</f>
        <v>0</v>
      </c>
    </row>
    <row r="337" spans="1:18" outlineLevel="1" x14ac:dyDescent="0.2">
      <c r="A337" s="3" t="s">
        <v>3745</v>
      </c>
      <c r="B337" s="14">
        <f>+'KY_Res by Plant Acct P16(REG)'!B336</f>
        <v>-3801260.3699999996</v>
      </c>
      <c r="C337" s="13"/>
      <c r="D337" s="14">
        <f>+'KY_Res by Plant Acct P16(REG)'!D336</f>
        <v>-249276.5</v>
      </c>
      <c r="E337" s="13"/>
      <c r="F337" s="14">
        <f>+'KY_Res by Plant Acct P16(REG)'!F336</f>
        <v>73616.22</v>
      </c>
      <c r="G337" s="13"/>
      <c r="H337" s="14">
        <f>+'KY_Res by Plant Acct P16(REG)'!H336</f>
        <v>0</v>
      </c>
      <c r="I337" s="13"/>
      <c r="J337" s="14">
        <f>+'KY_Res by Plant Acct P16(REG)'!J336</f>
        <v>0</v>
      </c>
      <c r="K337" s="13"/>
      <c r="L337" s="14">
        <f>+'KY_Res by Plant Acct P16(REG)'!L336</f>
        <v>318888.19</v>
      </c>
      <c r="M337" s="13"/>
      <c r="N337" s="14">
        <f>+'KY_Res by Plant Acct P16(REG)'!N336</f>
        <v>0</v>
      </c>
      <c r="O337" s="13"/>
      <c r="P337" s="14">
        <f>+'KY_Res by Plant Acct P16(REG)'!P336</f>
        <v>0</v>
      </c>
      <c r="Q337" s="13"/>
      <c r="R337" s="14">
        <f t="shared" ref="R337:R351" si="16">SUM(B337:P337)</f>
        <v>-3658032.4599999995</v>
      </c>
    </row>
    <row r="338" spans="1:18" outlineLevel="1" x14ac:dyDescent="0.2">
      <c r="A338" s="3" t="s">
        <v>3746</v>
      </c>
      <c r="B338" s="14">
        <f>+'KY_Res by Plant Acct P16(REG)'!B337</f>
        <v>-9070938.5300000012</v>
      </c>
      <c r="C338" s="13"/>
      <c r="D338" s="14">
        <f>+'KY_Res by Plant Acct P16(REG)'!D337</f>
        <v>-209234.4</v>
      </c>
      <c r="E338" s="13"/>
      <c r="F338" s="14">
        <f>+'KY_Res by Plant Acct P16(REG)'!F337</f>
        <v>47762.52</v>
      </c>
      <c r="G338" s="13"/>
      <c r="H338" s="14">
        <f>+'KY_Res by Plant Acct P16(REG)'!H337</f>
        <v>0</v>
      </c>
      <c r="I338" s="13"/>
      <c r="J338" s="14">
        <f>+'KY_Res by Plant Acct P16(REG)'!J337</f>
        <v>0</v>
      </c>
      <c r="K338" s="13"/>
      <c r="L338" s="14">
        <f>+'KY_Res by Plant Acct P16(REG)'!L337</f>
        <v>0</v>
      </c>
      <c r="M338" s="13"/>
      <c r="N338" s="14">
        <f>+'KY_Res by Plant Acct P16(REG)'!N337</f>
        <v>0</v>
      </c>
      <c r="O338" s="13"/>
      <c r="P338" s="14">
        <f>+'KY_Res by Plant Acct P16(REG)'!P337</f>
        <v>0</v>
      </c>
      <c r="Q338" s="13"/>
      <c r="R338" s="14">
        <f t="shared" si="16"/>
        <v>-9232410.410000002</v>
      </c>
    </row>
    <row r="339" spans="1:18" outlineLevel="1" x14ac:dyDescent="0.2">
      <c r="A339" s="3" t="s">
        <v>3747</v>
      </c>
      <c r="B339" s="14">
        <f>+'KY_Res by Plant Acct P16(REG)'!B338</f>
        <v>-20614565.719999999</v>
      </c>
      <c r="C339" s="13"/>
      <c r="D339" s="14">
        <f>+'KY_Res by Plant Acct P16(REG)'!D338</f>
        <v>-693818.37</v>
      </c>
      <c r="E339" s="13"/>
      <c r="F339" s="14">
        <f>+'KY_Res by Plant Acct P16(REG)'!F338</f>
        <v>128668.6</v>
      </c>
      <c r="G339" s="13"/>
      <c r="H339" s="14">
        <f>+'KY_Res by Plant Acct P16(REG)'!H338</f>
        <v>0</v>
      </c>
      <c r="I339" s="13"/>
      <c r="J339" s="14">
        <f>+'KY_Res by Plant Acct P16(REG)'!J338</f>
        <v>0</v>
      </c>
      <c r="K339" s="13"/>
      <c r="L339" s="14">
        <f>+'KY_Res by Plant Acct P16(REG)'!L338</f>
        <v>80423.759999999995</v>
      </c>
      <c r="M339" s="13"/>
      <c r="N339" s="14">
        <f>+'KY_Res by Plant Acct P16(REG)'!N338</f>
        <v>0</v>
      </c>
      <c r="O339" s="13"/>
      <c r="P339" s="14">
        <f>+'KY_Res by Plant Acct P16(REG)'!P338</f>
        <v>0</v>
      </c>
      <c r="Q339" s="13"/>
      <c r="R339" s="14">
        <f t="shared" si="16"/>
        <v>-21099291.729999997</v>
      </c>
    </row>
    <row r="340" spans="1:18" outlineLevel="1" x14ac:dyDescent="0.2">
      <c r="A340" s="3" t="s">
        <v>3748</v>
      </c>
      <c r="B340" s="14">
        <f>+'KY_Res by Plant Acct P16(REG)'!B339</f>
        <v>-20826041.659999993</v>
      </c>
      <c r="C340" s="13"/>
      <c r="D340" s="14">
        <f>+'KY_Res by Plant Acct P16(REG)'!D339</f>
        <v>-897222.36</v>
      </c>
      <c r="E340" s="13"/>
      <c r="F340" s="14">
        <f>+'KY_Res by Plant Acct P16(REG)'!F339</f>
        <v>0</v>
      </c>
      <c r="G340" s="13"/>
      <c r="H340" s="14">
        <f>+'KY_Res by Plant Acct P16(REG)'!H339</f>
        <v>0</v>
      </c>
      <c r="I340" s="13"/>
      <c r="J340" s="14">
        <f>+'KY_Res by Plant Acct P16(REG)'!J339</f>
        <v>0</v>
      </c>
      <c r="K340" s="13"/>
      <c r="L340" s="14">
        <f>+'KY_Res by Plant Acct P16(REG)'!L339</f>
        <v>69267.92</v>
      </c>
      <c r="M340" s="13"/>
      <c r="N340" s="14">
        <f>+'KY_Res by Plant Acct P16(REG)'!N339</f>
        <v>0</v>
      </c>
      <c r="O340" s="13"/>
      <c r="P340" s="14">
        <f>+'KY_Res by Plant Acct P16(REG)'!P339</f>
        <v>0</v>
      </c>
      <c r="Q340" s="13"/>
      <c r="R340" s="14">
        <f t="shared" si="16"/>
        <v>-21653996.09999999</v>
      </c>
    </row>
    <row r="341" spans="1:18" outlineLevel="1" x14ac:dyDescent="0.2">
      <c r="A341" s="3" t="s">
        <v>3749</v>
      </c>
      <c r="B341" s="14">
        <f>+'KY_Res by Plant Acct P16(REG)'!B340</f>
        <v>-21384390.059999999</v>
      </c>
      <c r="C341" s="13"/>
      <c r="D341" s="14">
        <f>+'KY_Res by Plant Acct P16(REG)'!D340</f>
        <v>-596853.22</v>
      </c>
      <c r="E341" s="13"/>
      <c r="F341" s="14">
        <f>+'KY_Res by Plant Acct P16(REG)'!F340</f>
        <v>81808.160000000003</v>
      </c>
      <c r="G341" s="13"/>
      <c r="H341" s="14">
        <f>+'KY_Res by Plant Acct P16(REG)'!H340</f>
        <v>0</v>
      </c>
      <c r="I341" s="13"/>
      <c r="J341" s="14">
        <f>+'KY_Res by Plant Acct P16(REG)'!J340</f>
        <v>0</v>
      </c>
      <c r="K341" s="13"/>
      <c r="L341" s="14">
        <f>+'KY_Res by Plant Acct P16(REG)'!L340</f>
        <v>12827.92</v>
      </c>
      <c r="M341" s="13"/>
      <c r="N341" s="14">
        <f>+'KY_Res by Plant Acct P16(REG)'!N340</f>
        <v>0</v>
      </c>
      <c r="O341" s="13"/>
      <c r="P341" s="14">
        <f>+'KY_Res by Plant Acct P16(REG)'!P340</f>
        <v>0</v>
      </c>
      <c r="Q341" s="13"/>
      <c r="R341" s="14">
        <f t="shared" si="16"/>
        <v>-21886607.199999996</v>
      </c>
    </row>
    <row r="342" spans="1:18" outlineLevel="1" x14ac:dyDescent="0.2">
      <c r="A342" s="3" t="s">
        <v>3750</v>
      </c>
      <c r="B342" s="14">
        <f>+'KY_Res by Plant Acct P16(REG)'!B341</f>
        <v>-29423725.980000004</v>
      </c>
      <c r="C342" s="13"/>
      <c r="D342" s="14">
        <f>+'KY_Res by Plant Acct P16(REG)'!D341</f>
        <v>-754083.9</v>
      </c>
      <c r="E342" s="13"/>
      <c r="F342" s="14">
        <f>+'KY_Res by Plant Acct P16(REG)'!F341</f>
        <v>4154.76</v>
      </c>
      <c r="G342" s="13"/>
      <c r="H342" s="14">
        <f>+'KY_Res by Plant Acct P16(REG)'!H341</f>
        <v>0</v>
      </c>
      <c r="I342" s="13"/>
      <c r="J342" s="14">
        <f>+'KY_Res by Plant Acct P16(REG)'!J341</f>
        <v>0</v>
      </c>
      <c r="K342" s="13"/>
      <c r="L342" s="14">
        <f>+'KY_Res by Plant Acct P16(REG)'!L341</f>
        <v>0</v>
      </c>
      <c r="M342" s="13"/>
      <c r="N342" s="14">
        <f>+'KY_Res by Plant Acct P16(REG)'!N341</f>
        <v>0</v>
      </c>
      <c r="O342" s="13"/>
      <c r="P342" s="14">
        <f>+'KY_Res by Plant Acct P16(REG)'!P341</f>
        <v>0</v>
      </c>
      <c r="Q342" s="13"/>
      <c r="R342" s="14">
        <f t="shared" si="16"/>
        <v>-30173655.120000001</v>
      </c>
    </row>
    <row r="343" spans="1:18" outlineLevel="1" x14ac:dyDescent="0.2">
      <c r="A343" s="3" t="s">
        <v>3751</v>
      </c>
      <c r="B343" s="14">
        <f>+'KY_Res by Plant Acct P16(REG)'!B342</f>
        <v>-33064818.889999997</v>
      </c>
      <c r="C343" s="13"/>
      <c r="D343" s="14">
        <f>+'KY_Res by Plant Acct P16(REG)'!D342</f>
        <v>-1230712.1200000001</v>
      </c>
      <c r="E343" s="13"/>
      <c r="F343" s="14">
        <f>+'KY_Res by Plant Acct P16(REG)'!F342</f>
        <v>0</v>
      </c>
      <c r="G343" s="13"/>
      <c r="H343" s="14">
        <f>+'KY_Res by Plant Acct P16(REG)'!H342</f>
        <v>0</v>
      </c>
      <c r="I343" s="13"/>
      <c r="J343" s="14">
        <f>+'KY_Res by Plant Acct P16(REG)'!J342</f>
        <v>0</v>
      </c>
      <c r="K343" s="13"/>
      <c r="L343" s="14">
        <f>+'KY_Res by Plant Acct P16(REG)'!L342</f>
        <v>0</v>
      </c>
      <c r="M343" s="13"/>
      <c r="N343" s="14">
        <f>+'KY_Res by Plant Acct P16(REG)'!N342</f>
        <v>0</v>
      </c>
      <c r="O343" s="13"/>
      <c r="P343" s="14">
        <f>+'KY_Res by Plant Acct P16(REG)'!P342</f>
        <v>0</v>
      </c>
      <c r="Q343" s="13"/>
      <c r="R343" s="14">
        <f t="shared" si="16"/>
        <v>-34295531.009999998</v>
      </c>
    </row>
    <row r="344" spans="1:18" outlineLevel="1" x14ac:dyDescent="0.2">
      <c r="A344" s="3" t="s">
        <v>3752</v>
      </c>
      <c r="B344" s="14">
        <f>+'KY_Res by Plant Acct P16(REG)'!B343</f>
        <v>0</v>
      </c>
      <c r="C344" s="13"/>
      <c r="D344" s="14">
        <f>+'KY_Res by Plant Acct P16(REG)'!D343</f>
        <v>0</v>
      </c>
      <c r="E344" s="13"/>
      <c r="F344" s="14">
        <f>+'KY_Res by Plant Acct P16(REG)'!F343</f>
        <v>0</v>
      </c>
      <c r="G344" s="13"/>
      <c r="H344" s="14">
        <f>+'KY_Res by Plant Acct P16(REG)'!H343</f>
        <v>0</v>
      </c>
      <c r="I344" s="13"/>
      <c r="J344" s="14">
        <f>+'KY_Res by Plant Acct P16(REG)'!J343</f>
        <v>0</v>
      </c>
      <c r="K344" s="13"/>
      <c r="L344" s="14">
        <f>+'KY_Res by Plant Acct P16(REG)'!L343</f>
        <v>0</v>
      </c>
      <c r="M344" s="13"/>
      <c r="N344" s="14">
        <f>+'KY_Res by Plant Acct P16(REG)'!N343</f>
        <v>0</v>
      </c>
      <c r="O344" s="13"/>
      <c r="P344" s="14">
        <f>+'KY_Res by Plant Acct P16(REG)'!P343</f>
        <v>0</v>
      </c>
      <c r="Q344" s="13"/>
      <c r="R344" s="14">
        <f t="shared" si="16"/>
        <v>0</v>
      </c>
    </row>
    <row r="345" spans="1:18" outlineLevel="1" x14ac:dyDescent="0.2">
      <c r="A345" s="3" t="s">
        <v>3753</v>
      </c>
      <c r="B345" s="14">
        <f>+'KY_Res by Plant Acct P16(REG)'!B344</f>
        <v>-361643.78999999957</v>
      </c>
      <c r="C345" s="13"/>
      <c r="D345" s="14">
        <f>+'KY_Res by Plant Acct P16(REG)'!D344</f>
        <v>0</v>
      </c>
      <c r="E345" s="13"/>
      <c r="F345" s="14">
        <f>+'KY_Res by Plant Acct P16(REG)'!F344</f>
        <v>0</v>
      </c>
      <c r="G345" s="13"/>
      <c r="H345" s="14">
        <f>+'KY_Res by Plant Acct P16(REG)'!H344</f>
        <v>0</v>
      </c>
      <c r="I345" s="13"/>
      <c r="J345" s="14">
        <f>+'KY_Res by Plant Acct P16(REG)'!J344</f>
        <v>0</v>
      </c>
      <c r="K345" s="13"/>
      <c r="L345" s="14">
        <f>+'KY_Res by Plant Acct P16(REG)'!L344</f>
        <v>0</v>
      </c>
      <c r="M345" s="13"/>
      <c r="N345" s="14">
        <f>+'KY_Res by Plant Acct P16(REG)'!N344</f>
        <v>0</v>
      </c>
      <c r="O345" s="13"/>
      <c r="P345" s="14">
        <f>+'KY_Res by Plant Acct P16(REG)'!P344</f>
        <v>0</v>
      </c>
      <c r="Q345" s="13"/>
      <c r="R345" s="14">
        <f t="shared" si="16"/>
        <v>-361643.78999999957</v>
      </c>
    </row>
    <row r="346" spans="1:18" outlineLevel="1" x14ac:dyDescent="0.2">
      <c r="A346" s="3" t="s">
        <v>3754</v>
      </c>
      <c r="B346" s="14">
        <f>+'KY_Res by Plant Acct P16(REG)'!B345</f>
        <v>-1227914.2400000021</v>
      </c>
      <c r="C346" s="13"/>
      <c r="D346" s="14">
        <f>+'KY_Res by Plant Acct P16(REG)'!D345</f>
        <v>0</v>
      </c>
      <c r="E346" s="13"/>
      <c r="F346" s="14">
        <f>+'KY_Res by Plant Acct P16(REG)'!F345</f>
        <v>0</v>
      </c>
      <c r="G346" s="13"/>
      <c r="H346" s="14">
        <f>+'KY_Res by Plant Acct P16(REG)'!H345</f>
        <v>0</v>
      </c>
      <c r="I346" s="13"/>
      <c r="J346" s="14">
        <f>+'KY_Res by Plant Acct P16(REG)'!J345</f>
        <v>0</v>
      </c>
      <c r="K346" s="13"/>
      <c r="L346" s="14">
        <f>+'KY_Res by Plant Acct P16(REG)'!L345</f>
        <v>0</v>
      </c>
      <c r="M346" s="13"/>
      <c r="N346" s="14">
        <f>+'KY_Res by Plant Acct P16(REG)'!N345</f>
        <v>0</v>
      </c>
      <c r="O346" s="13"/>
      <c r="P346" s="14">
        <f>+'KY_Res by Plant Acct P16(REG)'!P345</f>
        <v>0</v>
      </c>
      <c r="Q346" s="13"/>
      <c r="R346" s="14">
        <f t="shared" si="16"/>
        <v>-1227914.2400000021</v>
      </c>
    </row>
    <row r="347" spans="1:18" outlineLevel="1" x14ac:dyDescent="0.2">
      <c r="A347" s="3" t="s">
        <v>3755</v>
      </c>
      <c r="B347" s="14">
        <f>+'KY_Res by Plant Acct P16(REG)'!B346</f>
        <v>0</v>
      </c>
      <c r="C347" s="13"/>
      <c r="D347" s="14">
        <f>+'KY_Res by Plant Acct P16(REG)'!D346</f>
        <v>0</v>
      </c>
      <c r="E347" s="13"/>
      <c r="F347" s="14">
        <f>+'KY_Res by Plant Acct P16(REG)'!F346</f>
        <v>0</v>
      </c>
      <c r="G347" s="13"/>
      <c r="H347" s="14">
        <f>+'KY_Res by Plant Acct P16(REG)'!H346</f>
        <v>0</v>
      </c>
      <c r="I347" s="13"/>
      <c r="J347" s="14">
        <f>+'KY_Res by Plant Acct P16(REG)'!J346</f>
        <v>0</v>
      </c>
      <c r="K347" s="13"/>
      <c r="L347" s="14">
        <f>+'KY_Res by Plant Acct P16(REG)'!L346</f>
        <v>0</v>
      </c>
      <c r="M347" s="13"/>
      <c r="N347" s="14">
        <f>+'KY_Res by Plant Acct P16(REG)'!N346</f>
        <v>0</v>
      </c>
      <c r="O347" s="13"/>
      <c r="P347" s="14">
        <f>+'KY_Res by Plant Acct P16(REG)'!P346</f>
        <v>0</v>
      </c>
      <c r="Q347" s="13"/>
      <c r="R347" s="14">
        <f t="shared" si="16"/>
        <v>0</v>
      </c>
    </row>
    <row r="348" spans="1:18" outlineLevel="1" x14ac:dyDescent="0.2">
      <c r="A348" s="3" t="s">
        <v>3756</v>
      </c>
      <c r="B348" s="14">
        <f>+'KY_Res by Plant Acct P16(REG)'!B347</f>
        <v>0</v>
      </c>
      <c r="C348" s="13"/>
      <c r="D348" s="14">
        <f>+'KY_Res by Plant Acct P16(REG)'!D347</f>
        <v>0</v>
      </c>
      <c r="E348" s="13"/>
      <c r="F348" s="14">
        <f>+'KY_Res by Plant Acct P16(REG)'!F347</f>
        <v>0</v>
      </c>
      <c r="G348" s="13"/>
      <c r="H348" s="14">
        <f>+'KY_Res by Plant Acct P16(REG)'!H347</f>
        <v>0</v>
      </c>
      <c r="I348" s="13"/>
      <c r="J348" s="14">
        <f>+'KY_Res by Plant Acct P16(REG)'!J347</f>
        <v>0</v>
      </c>
      <c r="K348" s="13"/>
      <c r="L348" s="14">
        <f>+'KY_Res by Plant Acct P16(REG)'!L347</f>
        <v>0</v>
      </c>
      <c r="M348" s="13"/>
      <c r="N348" s="14">
        <f>+'KY_Res by Plant Acct P16(REG)'!N347</f>
        <v>0</v>
      </c>
      <c r="O348" s="13"/>
      <c r="P348" s="14">
        <f>+'KY_Res by Plant Acct P16(REG)'!P347</f>
        <v>0</v>
      </c>
      <c r="Q348" s="13"/>
      <c r="R348" s="14">
        <f t="shared" si="16"/>
        <v>0</v>
      </c>
    </row>
    <row r="349" spans="1:18" outlineLevel="1" x14ac:dyDescent="0.2">
      <c r="A349" s="43" t="s">
        <v>3757</v>
      </c>
      <c r="B349" s="14">
        <f>+'KY_Res by Plant Acct P16(REG)'!B348</f>
        <v>-20271673.390000001</v>
      </c>
      <c r="C349" s="13"/>
      <c r="D349" s="14">
        <f>+'KY_Res by Plant Acct P16(REG)'!D348</f>
        <v>-1889111.66</v>
      </c>
      <c r="E349" s="13"/>
      <c r="F349" s="14">
        <f>+'KY_Res by Plant Acct P16(REG)'!F348</f>
        <v>177867.64</v>
      </c>
      <c r="G349" s="13"/>
      <c r="H349" s="14">
        <f>+'KY_Res by Plant Acct P16(REG)'!H348</f>
        <v>0</v>
      </c>
      <c r="I349" s="13"/>
      <c r="J349" s="14">
        <f>+'KY_Res by Plant Acct P16(REG)'!J348</f>
        <v>0</v>
      </c>
      <c r="K349" s="13"/>
      <c r="L349" s="14">
        <f>+'KY_Res by Plant Acct P16(REG)'!L348</f>
        <v>0</v>
      </c>
      <c r="M349" s="13"/>
      <c r="N349" s="14">
        <f>+'KY_Res by Plant Acct P16(REG)'!N348</f>
        <v>0</v>
      </c>
      <c r="O349" s="13"/>
      <c r="P349" s="14">
        <f>+'KY_Res by Plant Acct P16(REG)'!P348</f>
        <v>0</v>
      </c>
      <c r="Q349" s="13"/>
      <c r="R349" s="14">
        <f t="shared" si="16"/>
        <v>-21982917.41</v>
      </c>
    </row>
    <row r="350" spans="1:18" outlineLevel="1" x14ac:dyDescent="0.2">
      <c r="A350" s="3" t="s">
        <v>3758</v>
      </c>
      <c r="B350" s="14">
        <f>+'KY_Res by Plant Acct P16(REG)'!B349</f>
        <v>-332381.18999999994</v>
      </c>
      <c r="C350" s="13"/>
      <c r="D350" s="14">
        <f>+'KY_Res by Plant Acct P16(REG)'!D349</f>
        <v>0</v>
      </c>
      <c r="E350" s="13"/>
      <c r="F350" s="14">
        <f>+'KY_Res by Plant Acct P16(REG)'!F349</f>
        <v>0</v>
      </c>
      <c r="G350" s="13"/>
      <c r="H350" s="14">
        <f>+'KY_Res by Plant Acct P16(REG)'!H349</f>
        <v>0</v>
      </c>
      <c r="I350" s="13"/>
      <c r="J350" s="14">
        <f>+'KY_Res by Plant Acct P16(REG)'!J349</f>
        <v>0</v>
      </c>
      <c r="K350" s="13"/>
      <c r="L350" s="14">
        <f>+'KY_Res by Plant Acct P16(REG)'!L349</f>
        <v>0</v>
      </c>
      <c r="M350" s="13"/>
      <c r="N350" s="14">
        <f>+'KY_Res by Plant Acct P16(REG)'!N349</f>
        <v>0</v>
      </c>
      <c r="O350" s="13"/>
      <c r="P350" s="14">
        <f>+'KY_Res by Plant Acct P16(REG)'!P349</f>
        <v>0</v>
      </c>
      <c r="Q350" s="13"/>
      <c r="R350" s="14">
        <f t="shared" si="16"/>
        <v>-332381.18999999994</v>
      </c>
    </row>
    <row r="351" spans="1:18" outlineLevel="1" x14ac:dyDescent="0.2">
      <c r="A351" s="3" t="s">
        <v>3759</v>
      </c>
      <c r="B351" s="14">
        <f>+'KY_Res by Plant Acct P16(REG)'!B350</f>
        <v>-416110.01999999909</v>
      </c>
      <c r="C351" s="13"/>
      <c r="D351" s="14">
        <f>+'KY_Res by Plant Acct P16(REG)'!D350</f>
        <v>0</v>
      </c>
      <c r="E351" s="13"/>
      <c r="F351" s="14">
        <f>+'KY_Res by Plant Acct P16(REG)'!F350</f>
        <v>0</v>
      </c>
      <c r="G351" s="13"/>
      <c r="H351" s="14">
        <f>+'KY_Res by Plant Acct P16(REG)'!H350</f>
        <v>0</v>
      </c>
      <c r="I351" s="13"/>
      <c r="J351" s="14">
        <f>+'KY_Res by Plant Acct P16(REG)'!J350</f>
        <v>0</v>
      </c>
      <c r="K351" s="13"/>
      <c r="L351" s="14">
        <f>+'KY_Res by Plant Acct P16(REG)'!L350</f>
        <v>0</v>
      </c>
      <c r="M351" s="13"/>
      <c r="N351" s="14">
        <f>+'KY_Res by Plant Acct P16(REG)'!N350</f>
        <v>0</v>
      </c>
      <c r="O351" s="13"/>
      <c r="P351" s="14">
        <f>+'KY_Res by Plant Acct P16(REG)'!P350</f>
        <v>0</v>
      </c>
      <c r="Q351" s="13"/>
      <c r="R351" s="14">
        <f t="shared" si="16"/>
        <v>-416110.01999999909</v>
      </c>
    </row>
    <row r="352" spans="1:18" x14ac:dyDescent="0.2">
      <c r="A352" s="3" t="s">
        <v>3760</v>
      </c>
      <c r="B352" s="14">
        <f>SUM(B337:B351)</f>
        <v>-160795463.84</v>
      </c>
      <c r="C352" s="13"/>
      <c r="D352" s="14">
        <f>SUM(D337:D351)</f>
        <v>-6520312.5299999993</v>
      </c>
      <c r="E352" s="13"/>
      <c r="F352" s="14">
        <f>SUM(F337:F351)</f>
        <v>513877.9</v>
      </c>
      <c r="G352" s="13"/>
      <c r="H352" s="14">
        <f>SUM(H337:H351)</f>
        <v>0</v>
      </c>
      <c r="I352" s="13"/>
      <c r="J352" s="14">
        <f>SUM(J337:J351)</f>
        <v>0</v>
      </c>
      <c r="K352" s="13"/>
      <c r="L352" s="14">
        <f>SUM(L337:L351)</f>
        <v>481407.79</v>
      </c>
      <c r="M352" s="13"/>
      <c r="N352" s="14">
        <f>SUM(N337:N351)</f>
        <v>0</v>
      </c>
      <c r="O352" s="13"/>
      <c r="P352" s="14">
        <f>SUM(P337:P351)</f>
        <v>0</v>
      </c>
      <c r="Q352" s="13"/>
      <c r="R352" s="14">
        <f>SUM(R337:R351)</f>
        <v>-166320490.67999998</v>
      </c>
    </row>
    <row r="353" spans="1:18" x14ac:dyDescent="0.2">
      <c r="A353" s="3" t="s">
        <v>3982</v>
      </c>
      <c r="B353" s="14">
        <f>+'KY_Res by Plant Acct P16(REG)'!B352</f>
        <v>0</v>
      </c>
      <c r="C353" s="13"/>
      <c r="D353" s="14">
        <f>+'KY_Res by Plant Acct P16(REG)'!D352</f>
        <v>0</v>
      </c>
      <c r="E353" s="13"/>
      <c r="F353" s="14">
        <f>+'KY_Res by Plant Acct P16(REG)'!F352</f>
        <v>0</v>
      </c>
      <c r="G353" s="13"/>
      <c r="H353" s="14">
        <f>+'KY_Res by Plant Acct P16(REG)'!H352</f>
        <v>0</v>
      </c>
      <c r="I353" s="13"/>
      <c r="J353" s="14">
        <f>+'KY_Res by Plant Acct P16(REG)'!J352</f>
        <v>0</v>
      </c>
      <c r="K353" s="13"/>
      <c r="L353" s="14">
        <f>+'KY_Res by Plant Acct P16(REG)'!L352</f>
        <v>0</v>
      </c>
      <c r="M353" s="13"/>
      <c r="N353" s="14">
        <f>+'KY_Res by Plant Acct P16(REG)'!N352</f>
        <v>0</v>
      </c>
      <c r="O353" s="13"/>
      <c r="P353" s="14">
        <f>+'KY_Res by Plant Acct P16(REG)'!P352</f>
        <v>0</v>
      </c>
      <c r="Q353" s="13"/>
      <c r="R353" s="14">
        <f t="shared" ref="R353:R388" si="17">SUM(B353:P353)</f>
        <v>0</v>
      </c>
    </row>
    <row r="354" spans="1:18" outlineLevel="1" x14ac:dyDescent="0.2">
      <c r="A354" s="3" t="s">
        <v>3762</v>
      </c>
      <c r="B354" s="14">
        <f>+'KY_Res by Plant Acct P16(REG)'!B353</f>
        <v>-3219137.5499999993</v>
      </c>
      <c r="C354" s="13"/>
      <c r="D354" s="14">
        <f>+'KY_Res by Plant Acct P16(REG)'!D353</f>
        <v>-50162.13</v>
      </c>
      <c r="E354" s="13"/>
      <c r="F354" s="14">
        <f>+'KY_Res by Plant Acct P16(REG)'!F353</f>
        <v>0</v>
      </c>
      <c r="G354" s="13"/>
      <c r="H354" s="14">
        <f>+'KY_Res by Plant Acct P16(REG)'!H353</f>
        <v>0</v>
      </c>
      <c r="I354" s="13"/>
      <c r="J354" s="14">
        <f>+'KY_Res by Plant Acct P16(REG)'!J353</f>
        <v>0</v>
      </c>
      <c r="K354" s="13"/>
      <c r="L354" s="14">
        <f>+'KY_Res by Plant Acct P16(REG)'!L353</f>
        <v>0</v>
      </c>
      <c r="M354" s="13"/>
      <c r="N354" s="14">
        <f>+'KY_Res by Plant Acct P16(REG)'!N353</f>
        <v>0</v>
      </c>
      <c r="O354" s="13"/>
      <c r="P354" s="14">
        <f>+'KY_Res by Plant Acct P16(REG)'!P353</f>
        <v>0</v>
      </c>
      <c r="Q354" s="13"/>
      <c r="R354" s="14">
        <f t="shared" si="17"/>
        <v>-3269299.6799999992</v>
      </c>
    </row>
    <row r="355" spans="1:18" outlineLevel="1" x14ac:dyDescent="0.2">
      <c r="A355" s="3" t="s">
        <v>3983</v>
      </c>
      <c r="B355" s="14">
        <f>+'KY_Res by Plant Acct P16(REG)'!B354</f>
        <v>-1409941.3</v>
      </c>
      <c r="C355" s="13"/>
      <c r="D355" s="14">
        <f>+'KY_Res by Plant Acct P16(REG)'!D354</f>
        <v>-45655.29</v>
      </c>
      <c r="E355" s="13"/>
      <c r="F355" s="14">
        <f>+'KY_Res by Plant Acct P16(REG)'!F354</f>
        <v>4082.72</v>
      </c>
      <c r="G355" s="13"/>
      <c r="H355" s="14">
        <f>+'KY_Res by Plant Acct P16(REG)'!H354</f>
        <v>0</v>
      </c>
      <c r="I355" s="13"/>
      <c r="J355" s="14">
        <f>+'KY_Res by Plant Acct P16(REG)'!J354</f>
        <v>0</v>
      </c>
      <c r="K355" s="13"/>
      <c r="L355" s="14">
        <f>+'KY_Res by Plant Acct P16(REG)'!L354</f>
        <v>685.43</v>
      </c>
      <c r="M355" s="13"/>
      <c r="N355" s="14">
        <f>+'KY_Res by Plant Acct P16(REG)'!N354</f>
        <v>0</v>
      </c>
      <c r="O355" s="13"/>
      <c r="P355" s="14">
        <f>+'KY_Res by Plant Acct P16(REG)'!P354</f>
        <v>0</v>
      </c>
      <c r="Q355" s="13"/>
      <c r="R355" s="14">
        <f t="shared" si="17"/>
        <v>-1450828.4400000002</v>
      </c>
    </row>
    <row r="356" spans="1:18" outlineLevel="1" x14ac:dyDescent="0.2">
      <c r="A356" s="3" t="s">
        <v>3764</v>
      </c>
      <c r="B356" s="14">
        <f>+'KY_Res by Plant Acct P16(REG)'!B355</f>
        <v>0</v>
      </c>
      <c r="C356" s="13"/>
      <c r="D356" s="14">
        <f>+'KY_Res by Plant Acct P16(REG)'!D355</f>
        <v>0</v>
      </c>
      <c r="E356" s="13"/>
      <c r="F356" s="14">
        <f>+'KY_Res by Plant Acct P16(REG)'!F355</f>
        <v>0</v>
      </c>
      <c r="G356" s="13"/>
      <c r="H356" s="14">
        <f>+'KY_Res by Plant Acct P16(REG)'!H355</f>
        <v>0</v>
      </c>
      <c r="I356" s="13"/>
      <c r="J356" s="14">
        <f>+'KY_Res by Plant Acct P16(REG)'!J355</f>
        <v>0</v>
      </c>
      <c r="K356" s="13"/>
      <c r="L356" s="14">
        <f>+'KY_Res by Plant Acct P16(REG)'!L355</f>
        <v>0</v>
      </c>
      <c r="M356" s="13"/>
      <c r="N356" s="14">
        <f>+'KY_Res by Plant Acct P16(REG)'!N355</f>
        <v>0</v>
      </c>
      <c r="O356" s="13"/>
      <c r="P356" s="14">
        <f>+'KY_Res by Plant Acct P16(REG)'!P355</f>
        <v>0</v>
      </c>
      <c r="Q356" s="13"/>
      <c r="R356" s="14">
        <f t="shared" si="17"/>
        <v>0</v>
      </c>
    </row>
    <row r="357" spans="1:18" outlineLevel="1" x14ac:dyDescent="0.2">
      <c r="A357" s="3" t="s">
        <v>3984</v>
      </c>
      <c r="B357" s="14">
        <f>+'KY_Res by Plant Acct P16(REG)'!B356</f>
        <v>-6735225.8400000026</v>
      </c>
      <c r="C357" s="13"/>
      <c r="D357" s="14">
        <f>+'KY_Res by Plant Acct P16(REG)'!D356</f>
        <v>-106621.25</v>
      </c>
      <c r="E357" s="13"/>
      <c r="F357" s="14">
        <f>+'KY_Res by Plant Acct P16(REG)'!F356</f>
        <v>0</v>
      </c>
      <c r="G357" s="13"/>
      <c r="H357" s="14">
        <f>+'KY_Res by Plant Acct P16(REG)'!H356</f>
        <v>0</v>
      </c>
      <c r="I357" s="13"/>
      <c r="J357" s="14">
        <f>+'KY_Res by Plant Acct P16(REG)'!J356</f>
        <v>0</v>
      </c>
      <c r="K357" s="13"/>
      <c r="L357" s="14">
        <f>+'KY_Res by Plant Acct P16(REG)'!L356</f>
        <v>0</v>
      </c>
      <c r="M357" s="13"/>
      <c r="N357" s="14">
        <f>+'KY_Res by Plant Acct P16(REG)'!N356</f>
        <v>0</v>
      </c>
      <c r="O357" s="13"/>
      <c r="P357" s="14">
        <f>+'KY_Res by Plant Acct P16(REG)'!P356</f>
        <v>0</v>
      </c>
      <c r="Q357" s="13"/>
      <c r="R357" s="14">
        <f t="shared" si="17"/>
        <v>-6841847.0900000026</v>
      </c>
    </row>
    <row r="358" spans="1:18" outlineLevel="1" x14ac:dyDescent="0.2">
      <c r="A358" s="3" t="s">
        <v>3766</v>
      </c>
      <c r="B358" s="14">
        <f>+'KY_Res by Plant Acct P16(REG)'!B357</f>
        <v>0</v>
      </c>
      <c r="C358" s="13"/>
      <c r="D358" s="14">
        <f>+'KY_Res by Plant Acct P16(REG)'!D357</f>
        <v>0</v>
      </c>
      <c r="E358" s="13"/>
      <c r="F358" s="14">
        <f>+'KY_Res by Plant Acct P16(REG)'!F357</f>
        <v>0</v>
      </c>
      <c r="G358" s="13"/>
      <c r="H358" s="14">
        <f>+'KY_Res by Plant Acct P16(REG)'!H357</f>
        <v>0</v>
      </c>
      <c r="I358" s="13"/>
      <c r="J358" s="14">
        <f>+'KY_Res by Plant Acct P16(REG)'!J357</f>
        <v>0</v>
      </c>
      <c r="K358" s="13"/>
      <c r="L358" s="14">
        <f>+'KY_Res by Plant Acct P16(REG)'!L357</f>
        <v>0</v>
      </c>
      <c r="M358" s="13"/>
      <c r="N358" s="14">
        <f>+'KY_Res by Plant Acct P16(REG)'!N357</f>
        <v>0</v>
      </c>
      <c r="O358" s="13"/>
      <c r="P358" s="14">
        <f>+'KY_Res by Plant Acct P16(REG)'!P357</f>
        <v>0</v>
      </c>
      <c r="Q358" s="13"/>
      <c r="R358" s="14">
        <f>SUM(B358:P358)</f>
        <v>0</v>
      </c>
    </row>
    <row r="359" spans="1:18" outlineLevel="1" x14ac:dyDescent="0.2">
      <c r="A359" s="3" t="s">
        <v>3767</v>
      </c>
      <c r="B359" s="14">
        <f>+'KY_Res by Plant Acct P16(REG)'!B358</f>
        <v>-5739629.71</v>
      </c>
      <c r="C359" s="13"/>
      <c r="D359" s="14">
        <f>+'KY_Res by Plant Acct P16(REG)'!D358</f>
        <v>-1245627.72</v>
      </c>
      <c r="E359" s="13"/>
      <c r="F359" s="14">
        <f>+'KY_Res by Plant Acct P16(REG)'!F358</f>
        <v>0</v>
      </c>
      <c r="G359" s="13"/>
      <c r="H359" s="14">
        <f>+'KY_Res by Plant Acct P16(REG)'!H358</f>
        <v>0</v>
      </c>
      <c r="I359" s="13"/>
      <c r="J359" s="14">
        <f>+'KY_Res by Plant Acct P16(REG)'!J358</f>
        <v>0</v>
      </c>
      <c r="K359" s="13"/>
      <c r="L359" s="14">
        <f>+'KY_Res by Plant Acct P16(REG)'!L358</f>
        <v>0</v>
      </c>
      <c r="M359" s="13"/>
      <c r="N359" s="14">
        <f>+'KY_Res by Plant Acct P16(REG)'!N358</f>
        <v>0</v>
      </c>
      <c r="O359" s="13"/>
      <c r="P359" s="14">
        <f>+'KY_Res by Plant Acct P16(REG)'!P358</f>
        <v>0</v>
      </c>
      <c r="Q359" s="13"/>
      <c r="R359" s="14">
        <f>SUM(B359:P359)</f>
        <v>-6985257.4299999997</v>
      </c>
    </row>
    <row r="360" spans="1:18" outlineLevel="1" x14ac:dyDescent="0.2">
      <c r="A360" s="3" t="s">
        <v>3768</v>
      </c>
      <c r="B360" s="14">
        <f>+'KY_Res by Plant Acct P16(REG)'!B359</f>
        <v>0</v>
      </c>
      <c r="C360" s="13"/>
      <c r="D360" s="14">
        <f>+'KY_Res by Plant Acct P16(REG)'!D359</f>
        <v>0</v>
      </c>
      <c r="E360" s="13"/>
      <c r="F360" s="14">
        <f>+'KY_Res by Plant Acct P16(REG)'!F359</f>
        <v>0</v>
      </c>
      <c r="G360" s="13"/>
      <c r="H360" s="14">
        <f>+'KY_Res by Plant Acct P16(REG)'!H359</f>
        <v>0</v>
      </c>
      <c r="I360" s="13"/>
      <c r="J360" s="14">
        <f>+'KY_Res by Plant Acct P16(REG)'!J359</f>
        <v>0</v>
      </c>
      <c r="K360" s="13"/>
      <c r="L360" s="14">
        <f>+'KY_Res by Plant Acct P16(REG)'!L359</f>
        <v>0</v>
      </c>
      <c r="M360" s="13"/>
      <c r="N360" s="14">
        <f>+'KY_Res by Plant Acct P16(REG)'!N359</f>
        <v>0</v>
      </c>
      <c r="O360" s="13"/>
      <c r="P360" s="14">
        <f>+'KY_Res by Plant Acct P16(REG)'!P359</f>
        <v>0</v>
      </c>
      <c r="Q360" s="13"/>
      <c r="R360" s="14">
        <f>SUM(B360:P360)</f>
        <v>0</v>
      </c>
    </row>
    <row r="361" spans="1:18" outlineLevel="1" x14ac:dyDescent="0.2">
      <c r="A361" s="3" t="s">
        <v>3769</v>
      </c>
      <c r="B361" s="14">
        <f>+'KY_Res by Plant Acct P16(REG)'!B360</f>
        <v>-8506.9599999999991</v>
      </c>
      <c r="C361" s="13"/>
      <c r="D361" s="14">
        <f>+'KY_Res by Plant Acct P16(REG)'!D360</f>
        <v>-13807.08</v>
      </c>
      <c r="E361" s="14">
        <f>+'KY_Res by Plant Acct P16(REG)'!E360</f>
        <v>0</v>
      </c>
      <c r="F361" s="14">
        <f>+'KY_Res by Plant Acct P16(REG)'!F360</f>
        <v>0</v>
      </c>
      <c r="G361" s="14">
        <f>+'KY_Res by Plant Acct P16(REG)'!G360</f>
        <v>0</v>
      </c>
      <c r="H361" s="14">
        <f>+'KY_Res by Plant Acct P16(REG)'!H360</f>
        <v>0</v>
      </c>
      <c r="I361" s="14">
        <f>+'KY_Res by Plant Acct P16(REG)'!I360</f>
        <v>0</v>
      </c>
      <c r="J361" s="14">
        <f>+'KY_Res by Plant Acct P16(REG)'!J360</f>
        <v>0</v>
      </c>
      <c r="K361" s="14">
        <f>+'KY_Res by Plant Acct P16(REG)'!K360</f>
        <v>0</v>
      </c>
      <c r="L361" s="14">
        <f>+'KY_Res by Plant Acct P16(REG)'!L360</f>
        <v>0</v>
      </c>
      <c r="M361" s="14">
        <f>+'KY_Res by Plant Acct P16(REG)'!M360</f>
        <v>0</v>
      </c>
      <c r="N361" s="14">
        <f>+'KY_Res by Plant Acct P16(REG)'!N360</f>
        <v>0</v>
      </c>
      <c r="O361" s="14">
        <f>+'KY_Res by Plant Acct P16(REG)'!O360</f>
        <v>0</v>
      </c>
      <c r="P361" s="14">
        <f>+'KY_Res by Plant Acct P16(REG)'!P360</f>
        <v>0</v>
      </c>
      <c r="Q361" s="13"/>
      <c r="R361" s="14">
        <f>SUM(B361:P361)</f>
        <v>-22314.04</v>
      </c>
    </row>
    <row r="362" spans="1:18" outlineLevel="1" x14ac:dyDescent="0.2">
      <c r="A362" s="3" t="s">
        <v>3985</v>
      </c>
      <c r="B362" s="14">
        <f>+'KY_Res by Plant Acct P16(REG)'!B361</f>
        <v>-8492085.9900000021</v>
      </c>
      <c r="C362" s="13"/>
      <c r="D362" s="14">
        <f>+'KY_Res by Plant Acct P16(REG)'!D361</f>
        <v>-50474.32</v>
      </c>
      <c r="E362" s="13"/>
      <c r="F362" s="14">
        <f>+'KY_Res by Plant Acct P16(REG)'!F361</f>
        <v>39911.360000000001</v>
      </c>
      <c r="G362" s="13"/>
      <c r="H362" s="14">
        <f>+'KY_Res by Plant Acct P16(REG)'!H361</f>
        <v>0</v>
      </c>
      <c r="I362" s="13"/>
      <c r="J362" s="14">
        <f>+'KY_Res by Plant Acct P16(REG)'!J361</f>
        <v>0</v>
      </c>
      <c r="K362" s="13"/>
      <c r="L362" s="14">
        <f>+'KY_Res by Plant Acct P16(REG)'!L361</f>
        <v>6952.91</v>
      </c>
      <c r="M362" s="13"/>
      <c r="N362" s="14">
        <f>+'KY_Res by Plant Acct P16(REG)'!N361</f>
        <v>0</v>
      </c>
      <c r="O362" s="13"/>
      <c r="P362" s="14">
        <f>+'KY_Res by Plant Acct P16(REG)'!P361</f>
        <v>0</v>
      </c>
      <c r="Q362" s="13"/>
      <c r="R362" s="14">
        <f t="shared" si="17"/>
        <v>-8495696.0400000028</v>
      </c>
    </row>
    <row r="363" spans="1:18" outlineLevel="1" x14ac:dyDescent="0.2">
      <c r="A363" s="3" t="s">
        <v>3771</v>
      </c>
      <c r="B363" s="14">
        <f>+'KY_Res by Plant Acct P16(REG)'!B362</f>
        <v>-4905197.08</v>
      </c>
      <c r="C363" s="13"/>
      <c r="D363" s="14">
        <f>+'KY_Res by Plant Acct P16(REG)'!D362</f>
        <v>-437572.32</v>
      </c>
      <c r="E363" s="13"/>
      <c r="F363" s="14">
        <f>+'KY_Res by Plant Acct P16(REG)'!F362</f>
        <v>37999.14</v>
      </c>
      <c r="G363" s="13"/>
      <c r="H363" s="14">
        <f>+'KY_Res by Plant Acct P16(REG)'!H362</f>
        <v>0</v>
      </c>
      <c r="I363" s="13"/>
      <c r="J363" s="14">
        <f>+'KY_Res by Plant Acct P16(REG)'!J362</f>
        <v>0</v>
      </c>
      <c r="K363" s="13"/>
      <c r="L363" s="14">
        <f>+'KY_Res by Plant Acct P16(REG)'!L362</f>
        <v>3799.14</v>
      </c>
      <c r="M363" s="13"/>
      <c r="N363" s="14">
        <f>+'KY_Res by Plant Acct P16(REG)'!N362</f>
        <v>0</v>
      </c>
      <c r="O363" s="13"/>
      <c r="P363" s="14">
        <f>+'KY_Res by Plant Acct P16(REG)'!P362</f>
        <v>0</v>
      </c>
      <c r="Q363" s="13"/>
      <c r="R363" s="14">
        <f t="shared" si="17"/>
        <v>-5300971.120000001</v>
      </c>
    </row>
    <row r="364" spans="1:18" outlineLevel="1" x14ac:dyDescent="0.2">
      <c r="A364" s="3" t="s">
        <v>3772</v>
      </c>
      <c r="B364" s="14">
        <f>+'KY_Res by Plant Acct P16(REG)'!B363</f>
        <v>0</v>
      </c>
      <c r="C364" s="13"/>
      <c r="D364" s="14">
        <f>+'KY_Res by Plant Acct P16(REG)'!D363</f>
        <v>0</v>
      </c>
      <c r="E364" s="13"/>
      <c r="F364" s="14">
        <f>+'KY_Res by Plant Acct P16(REG)'!F363</f>
        <v>0</v>
      </c>
      <c r="G364" s="13"/>
      <c r="H364" s="14">
        <f>+'KY_Res by Plant Acct P16(REG)'!H363</f>
        <v>0</v>
      </c>
      <c r="I364" s="13"/>
      <c r="J364" s="14">
        <f>+'KY_Res by Plant Acct P16(REG)'!J363</f>
        <v>0</v>
      </c>
      <c r="K364" s="13"/>
      <c r="L364" s="14">
        <f>+'KY_Res by Plant Acct P16(REG)'!L363</f>
        <v>0</v>
      </c>
      <c r="M364" s="13"/>
      <c r="N364" s="14">
        <f>+'KY_Res by Plant Acct P16(REG)'!N363</f>
        <v>0</v>
      </c>
      <c r="O364" s="13"/>
      <c r="P364" s="14">
        <f>+'KY_Res by Plant Acct P16(REG)'!P363</f>
        <v>0</v>
      </c>
      <c r="Q364" s="13"/>
      <c r="R364" s="14">
        <f t="shared" si="17"/>
        <v>0</v>
      </c>
    </row>
    <row r="365" spans="1:18" outlineLevel="1" x14ac:dyDescent="0.2">
      <c r="A365" s="3" t="s">
        <v>3773</v>
      </c>
      <c r="B365" s="14">
        <f>+'KY_Res by Plant Acct P16(REG)'!B364</f>
        <v>-119.15</v>
      </c>
      <c r="C365" s="13"/>
      <c r="D365" s="14">
        <f>+'KY_Res by Plant Acct P16(REG)'!D364</f>
        <v>-2905.39</v>
      </c>
      <c r="E365" s="13"/>
      <c r="F365" s="14">
        <f>+'KY_Res by Plant Acct P16(REG)'!F364</f>
        <v>0</v>
      </c>
      <c r="G365" s="13"/>
      <c r="H365" s="14">
        <f>+'KY_Res by Plant Acct P16(REG)'!H364</f>
        <v>0</v>
      </c>
      <c r="I365" s="13"/>
      <c r="J365" s="14">
        <f>+'KY_Res by Plant Acct P16(REG)'!J364</f>
        <v>0</v>
      </c>
      <c r="K365" s="13"/>
      <c r="L365" s="14">
        <f>+'KY_Res by Plant Acct P16(REG)'!L364</f>
        <v>0</v>
      </c>
      <c r="M365" s="13"/>
      <c r="N365" s="14">
        <f>+'KY_Res by Plant Acct P16(REG)'!N364</f>
        <v>0</v>
      </c>
      <c r="O365" s="13"/>
      <c r="P365" s="14">
        <f>+'KY_Res by Plant Acct P16(REG)'!P364</f>
        <v>0</v>
      </c>
      <c r="Q365" s="13"/>
      <c r="R365" s="14">
        <f t="shared" si="17"/>
        <v>-3024.54</v>
      </c>
    </row>
    <row r="366" spans="1:18" outlineLevel="1" x14ac:dyDescent="0.2">
      <c r="A366" s="3" t="s">
        <v>3986</v>
      </c>
      <c r="B366" s="14">
        <f>+'KY_Res by Plant Acct P16(REG)'!B365</f>
        <v>-11303200.440000001</v>
      </c>
      <c r="C366" s="13"/>
      <c r="D366" s="14">
        <f>+'KY_Res by Plant Acct P16(REG)'!D365</f>
        <v>-185062.42</v>
      </c>
      <c r="E366" s="13"/>
      <c r="F366" s="14">
        <f>+'KY_Res by Plant Acct P16(REG)'!F365</f>
        <v>97953.5</v>
      </c>
      <c r="G366" s="13"/>
      <c r="H366" s="14">
        <f>+'KY_Res by Plant Acct P16(REG)'!H365</f>
        <v>0</v>
      </c>
      <c r="I366" s="13"/>
      <c r="J366" s="14">
        <f>+'KY_Res by Plant Acct P16(REG)'!J365</f>
        <v>0</v>
      </c>
      <c r="K366" s="13"/>
      <c r="L366" s="14">
        <f>+'KY_Res by Plant Acct P16(REG)'!L365</f>
        <v>14273.94</v>
      </c>
      <c r="M366" s="13"/>
      <c r="N366" s="14">
        <f>+'KY_Res by Plant Acct P16(REG)'!N365</f>
        <v>0</v>
      </c>
      <c r="O366" s="13"/>
      <c r="P366" s="14">
        <f>+'KY_Res by Plant Acct P16(REG)'!P365</f>
        <v>0</v>
      </c>
      <c r="Q366" s="13"/>
      <c r="R366" s="14">
        <f t="shared" si="17"/>
        <v>-11376035.420000002</v>
      </c>
    </row>
    <row r="367" spans="1:18" outlineLevel="1" x14ac:dyDescent="0.2">
      <c r="A367" s="3" t="s">
        <v>3987</v>
      </c>
      <c r="B367" s="14">
        <f>+'KY_Res by Plant Acct P16(REG)'!B366</f>
        <v>-180720.81</v>
      </c>
      <c r="C367" s="13"/>
      <c r="D367" s="14">
        <f>+'KY_Res by Plant Acct P16(REG)'!D366</f>
        <v>-41662.559999999998</v>
      </c>
      <c r="E367" s="13"/>
      <c r="F367" s="14">
        <f>+'KY_Res by Plant Acct P16(REG)'!F366</f>
        <v>0</v>
      </c>
      <c r="G367" s="13"/>
      <c r="H367" s="14">
        <f>+'KY_Res by Plant Acct P16(REG)'!H366</f>
        <v>0</v>
      </c>
      <c r="I367" s="13"/>
      <c r="J367" s="14">
        <f>+'KY_Res by Plant Acct P16(REG)'!J366</f>
        <v>0</v>
      </c>
      <c r="K367" s="13"/>
      <c r="L367" s="14">
        <f>+'KY_Res by Plant Acct P16(REG)'!L366</f>
        <v>0</v>
      </c>
      <c r="M367" s="13"/>
      <c r="N367" s="14">
        <f>+'KY_Res by Plant Acct P16(REG)'!N366</f>
        <v>0</v>
      </c>
      <c r="O367" s="13"/>
      <c r="P367" s="14">
        <f>+'KY_Res by Plant Acct P16(REG)'!P366</f>
        <v>0</v>
      </c>
      <c r="Q367" s="13"/>
      <c r="R367" s="14">
        <f t="shared" si="17"/>
        <v>-222383.37</v>
      </c>
    </row>
    <row r="368" spans="1:18" outlineLevel="1" x14ac:dyDescent="0.2">
      <c r="A368" s="3" t="s">
        <v>3988</v>
      </c>
      <c r="B368" s="14">
        <f>+'KY_Res by Plant Acct P16(REG)'!B367</f>
        <v>0</v>
      </c>
      <c r="C368" s="13"/>
      <c r="D368" s="14">
        <f>+'KY_Res by Plant Acct P16(REG)'!D367</f>
        <v>0</v>
      </c>
      <c r="E368" s="13"/>
      <c r="F368" s="14">
        <f>+'KY_Res by Plant Acct P16(REG)'!F367</f>
        <v>0</v>
      </c>
      <c r="G368" s="13"/>
      <c r="H368" s="14">
        <f>+'KY_Res by Plant Acct P16(REG)'!H367</f>
        <v>0</v>
      </c>
      <c r="I368" s="13"/>
      <c r="J368" s="14">
        <f>+'KY_Res by Plant Acct P16(REG)'!J367</f>
        <v>0</v>
      </c>
      <c r="K368" s="13"/>
      <c r="L368" s="14">
        <f>+'KY_Res by Plant Acct P16(REG)'!L367</f>
        <v>0</v>
      </c>
      <c r="M368" s="13"/>
      <c r="N368" s="14">
        <f>+'KY_Res by Plant Acct P16(REG)'!N367</f>
        <v>0</v>
      </c>
      <c r="O368" s="13"/>
      <c r="P368" s="14">
        <f>+'KY_Res by Plant Acct P16(REG)'!P367</f>
        <v>0</v>
      </c>
      <c r="Q368" s="13"/>
      <c r="R368" s="14">
        <f t="shared" si="17"/>
        <v>0</v>
      </c>
    </row>
    <row r="369" spans="1:18" outlineLevel="1" x14ac:dyDescent="0.2">
      <c r="A369" s="43" t="s">
        <v>3777</v>
      </c>
      <c r="B369" s="14">
        <f>+'KY_Res by Plant Acct P16(REG)'!B368</f>
        <v>-46698.369999999995</v>
      </c>
      <c r="C369" s="13"/>
      <c r="D369" s="14">
        <f>+'KY_Res by Plant Acct P16(REG)'!D368</f>
        <v>-32124.65</v>
      </c>
      <c r="E369" s="13"/>
      <c r="F369" s="14">
        <f>+'KY_Res by Plant Acct P16(REG)'!F368</f>
        <v>0</v>
      </c>
      <c r="G369" s="13"/>
      <c r="H369" s="14">
        <f>+'KY_Res by Plant Acct P16(REG)'!H368</f>
        <v>0</v>
      </c>
      <c r="I369" s="13"/>
      <c r="J369" s="14">
        <f>+'KY_Res by Plant Acct P16(REG)'!J368</f>
        <v>0</v>
      </c>
      <c r="K369" s="13"/>
      <c r="L369" s="14">
        <f>+'KY_Res by Plant Acct P16(REG)'!L368</f>
        <v>0</v>
      </c>
      <c r="M369" s="13"/>
      <c r="N369" s="14">
        <f>+'KY_Res by Plant Acct P16(REG)'!N368</f>
        <v>0</v>
      </c>
      <c r="O369" s="13"/>
      <c r="P369" s="14">
        <f>+'KY_Res by Plant Acct P16(REG)'!P368</f>
        <v>0</v>
      </c>
      <c r="Q369" s="13"/>
      <c r="R369" s="14">
        <f>SUM(B369:P369)</f>
        <v>-78823.01999999999</v>
      </c>
    </row>
    <row r="370" spans="1:18" outlineLevel="1" x14ac:dyDescent="0.2">
      <c r="A370" s="3" t="s">
        <v>3989</v>
      </c>
      <c r="B370" s="14">
        <f>+'KY_Res by Plant Acct P16(REG)'!B369</f>
        <v>-24373034.730000004</v>
      </c>
      <c r="C370" s="13"/>
      <c r="D370" s="14">
        <f>+'KY_Res by Plant Acct P16(REG)'!D369</f>
        <v>-400254.99</v>
      </c>
      <c r="E370" s="13"/>
      <c r="F370" s="14">
        <f>+'KY_Res by Plant Acct P16(REG)'!F369</f>
        <v>16352.67</v>
      </c>
      <c r="G370" s="13"/>
      <c r="H370" s="14">
        <f>+'KY_Res by Plant Acct P16(REG)'!H369</f>
        <v>0</v>
      </c>
      <c r="I370" s="13"/>
      <c r="J370" s="14">
        <f>+'KY_Res by Plant Acct P16(REG)'!J369</f>
        <v>0</v>
      </c>
      <c r="K370" s="13"/>
      <c r="L370" s="14">
        <f>+'KY_Res by Plant Acct P16(REG)'!L369</f>
        <v>2069.02</v>
      </c>
      <c r="M370" s="13"/>
      <c r="N370" s="14">
        <f>+'KY_Res by Plant Acct P16(REG)'!N369</f>
        <v>0</v>
      </c>
      <c r="O370" s="13"/>
      <c r="P370" s="14">
        <f>+'KY_Res by Plant Acct P16(REG)'!P369</f>
        <v>0</v>
      </c>
      <c r="Q370" s="13"/>
      <c r="R370" s="14">
        <f>SUM(B370:P370)</f>
        <v>-24754868.030000001</v>
      </c>
    </row>
    <row r="371" spans="1:18" outlineLevel="1" x14ac:dyDescent="0.2">
      <c r="A371" s="43" t="s">
        <v>3779</v>
      </c>
      <c r="B371" s="14">
        <f>+'KY_Res by Plant Acct P16(REG)'!B370</f>
        <v>-741.72</v>
      </c>
      <c r="C371" s="14">
        <f>'KY_Res by Plant Acct P16(REG)'!C369</f>
        <v>0</v>
      </c>
      <c r="D371" s="14">
        <f>+'KY_Res by Plant Acct P16(REG)'!D370</f>
        <v>-689.37</v>
      </c>
      <c r="E371" s="13"/>
      <c r="F371" s="14">
        <f>+'KY_Res by Plant Acct P16(REG)'!F370</f>
        <v>0</v>
      </c>
      <c r="G371" s="13"/>
      <c r="H371" s="14">
        <f>+'KY_Res by Plant Acct P16(REG)'!H370</f>
        <v>0</v>
      </c>
      <c r="I371" s="13"/>
      <c r="J371" s="14">
        <f>+'KY_Res by Plant Acct P16(REG)'!J370</f>
        <v>0</v>
      </c>
      <c r="K371" s="13"/>
      <c r="L371" s="14">
        <f>+'KY_Res by Plant Acct P16(REG)'!L370</f>
        <v>0</v>
      </c>
      <c r="M371" s="13"/>
      <c r="N371" s="14">
        <f>+'KY_Res by Plant Acct P16(REG)'!N370</f>
        <v>0</v>
      </c>
      <c r="O371" s="13"/>
      <c r="P371" s="14">
        <f>+'KY_Res by Plant Acct P16(REG)'!P370</f>
        <v>0</v>
      </c>
      <c r="Q371" s="13"/>
      <c r="R371" s="14">
        <f>SUM(B371:P371)</f>
        <v>-1431.0900000000001</v>
      </c>
    </row>
    <row r="372" spans="1:18" outlineLevel="1" x14ac:dyDescent="0.2">
      <c r="A372" s="96" t="s">
        <v>3780</v>
      </c>
      <c r="B372" s="14">
        <f>+'KY_Res by Plant Acct P16(REG)'!B371</f>
        <v>-41852.61</v>
      </c>
      <c r="C372" s="14">
        <f>'KY_Res by Plant Acct P16(REG)'!C370</f>
        <v>0</v>
      </c>
      <c r="D372" s="14">
        <f>+'KY_Res by Plant Acct P16(REG)'!D371</f>
        <v>-41636.120000000003</v>
      </c>
      <c r="E372" s="13"/>
      <c r="F372" s="14">
        <f>+'KY_Res by Plant Acct P16(REG)'!F371</f>
        <v>0</v>
      </c>
      <c r="G372" s="13"/>
      <c r="H372" s="14">
        <f>+'KY_Res by Plant Acct P16(REG)'!H371</f>
        <v>0</v>
      </c>
      <c r="I372" s="13"/>
      <c r="J372" s="14">
        <f>+'KY_Res by Plant Acct P16(REG)'!J371</f>
        <v>0</v>
      </c>
      <c r="K372" s="13"/>
      <c r="L372" s="14">
        <f>+'KY_Res by Plant Acct P16(REG)'!L371</f>
        <v>0</v>
      </c>
      <c r="M372" s="13"/>
      <c r="N372" s="14">
        <f>+'KY_Res by Plant Acct P16(REG)'!N371</f>
        <v>0</v>
      </c>
      <c r="O372" s="13"/>
      <c r="P372" s="14">
        <f>+'KY_Res by Plant Acct P16(REG)'!P371</f>
        <v>0</v>
      </c>
      <c r="Q372" s="13"/>
      <c r="R372" s="14">
        <f>SUM(B372:P372)</f>
        <v>-83488.73000000001</v>
      </c>
    </row>
    <row r="373" spans="1:18" outlineLevel="1" x14ac:dyDescent="0.2">
      <c r="A373" s="3" t="s">
        <v>3990</v>
      </c>
      <c r="B373" s="14">
        <f>+'KY_Res by Plant Acct P16(REG)'!B372</f>
        <v>-17998748.919999998</v>
      </c>
      <c r="C373" s="13"/>
      <c r="D373" s="14">
        <f>+'KY_Res by Plant Acct P16(REG)'!D372</f>
        <v>-364963.06</v>
      </c>
      <c r="E373" s="13"/>
      <c r="F373" s="14">
        <f>+'KY_Res by Plant Acct P16(REG)'!F372</f>
        <v>52092.43</v>
      </c>
      <c r="G373" s="13"/>
      <c r="H373" s="14">
        <f>+'KY_Res by Plant Acct P16(REG)'!H372</f>
        <v>0</v>
      </c>
      <c r="I373" s="13"/>
      <c r="J373" s="14">
        <f>+'KY_Res by Plant Acct P16(REG)'!J372</f>
        <v>0</v>
      </c>
      <c r="K373" s="13"/>
      <c r="L373" s="14">
        <f>+'KY_Res by Plant Acct P16(REG)'!L372</f>
        <v>12668.01</v>
      </c>
      <c r="M373" s="13"/>
      <c r="N373" s="14">
        <f>+'KY_Res by Plant Acct P16(REG)'!N372</f>
        <v>0</v>
      </c>
      <c r="O373" s="13"/>
      <c r="P373" s="14">
        <f>+'KY_Res by Plant Acct P16(REG)'!P372</f>
        <v>0</v>
      </c>
      <c r="Q373" s="13"/>
      <c r="R373" s="14">
        <f t="shared" si="17"/>
        <v>-18298951.539999995</v>
      </c>
    </row>
    <row r="374" spans="1:18" outlineLevel="1" x14ac:dyDescent="0.2">
      <c r="A374" s="3" t="s">
        <v>3991</v>
      </c>
      <c r="B374" s="14">
        <f>+'KY_Res by Plant Acct P16(REG)'!B373</f>
        <v>-3570887.5500000003</v>
      </c>
      <c r="C374" s="13"/>
      <c r="D374" s="14">
        <f>+'KY_Res by Plant Acct P16(REG)'!D373</f>
        <v>-417857.4</v>
      </c>
      <c r="E374" s="13"/>
      <c r="F374" s="14">
        <f>+'KY_Res by Plant Acct P16(REG)'!F373</f>
        <v>0</v>
      </c>
      <c r="G374" s="13"/>
      <c r="H374" s="14">
        <f>+'KY_Res by Plant Acct P16(REG)'!H373</f>
        <v>0</v>
      </c>
      <c r="I374" s="13"/>
      <c r="J374" s="14">
        <f>+'KY_Res by Plant Acct P16(REG)'!J373</f>
        <v>0</v>
      </c>
      <c r="K374" s="13"/>
      <c r="L374" s="14">
        <f>+'KY_Res by Plant Acct P16(REG)'!L373</f>
        <v>0</v>
      </c>
      <c r="M374" s="13"/>
      <c r="N374" s="14">
        <f>+'KY_Res by Plant Acct P16(REG)'!N373</f>
        <v>0</v>
      </c>
      <c r="O374" s="13"/>
      <c r="P374" s="14">
        <f>+'KY_Res by Plant Acct P16(REG)'!P373</f>
        <v>0</v>
      </c>
      <c r="Q374" s="13"/>
      <c r="R374" s="14">
        <f t="shared" si="17"/>
        <v>-3988744.95</v>
      </c>
    </row>
    <row r="375" spans="1:18" outlineLevel="1" x14ac:dyDescent="0.2">
      <c r="A375" s="3" t="s">
        <v>3783</v>
      </c>
      <c r="B375" s="14">
        <f>+'KY_Res by Plant Acct P16(REG)'!B374</f>
        <v>0</v>
      </c>
      <c r="C375" s="13"/>
      <c r="D375" s="14">
        <f>+'KY_Res by Plant Acct P16(REG)'!D374</f>
        <v>0</v>
      </c>
      <c r="E375" s="13"/>
      <c r="F375" s="14">
        <f>+'KY_Res by Plant Acct P16(REG)'!F374</f>
        <v>0</v>
      </c>
      <c r="G375" s="13"/>
      <c r="H375" s="14">
        <f>+'KY_Res by Plant Acct P16(REG)'!H374</f>
        <v>0</v>
      </c>
      <c r="I375" s="13"/>
      <c r="J375" s="14">
        <f>+'KY_Res by Plant Acct P16(REG)'!J374</f>
        <v>0</v>
      </c>
      <c r="K375" s="13"/>
      <c r="L375" s="14">
        <f>+'KY_Res by Plant Acct P16(REG)'!L374</f>
        <v>0</v>
      </c>
      <c r="M375" s="13"/>
      <c r="N375" s="14">
        <f>+'KY_Res by Plant Acct P16(REG)'!N374</f>
        <v>0</v>
      </c>
      <c r="O375" s="13"/>
      <c r="P375" s="14">
        <f>+'KY_Res by Plant Acct P16(REG)'!P374</f>
        <v>0</v>
      </c>
      <c r="Q375" s="13"/>
      <c r="R375" s="14">
        <f t="shared" si="17"/>
        <v>0</v>
      </c>
    </row>
    <row r="376" spans="1:18" outlineLevel="1" x14ac:dyDescent="0.2">
      <c r="A376" s="3" t="s">
        <v>3784</v>
      </c>
      <c r="B376" s="14">
        <f>+'KY_Res by Plant Acct P16(REG)'!B375</f>
        <v>-2357878.6</v>
      </c>
      <c r="C376" s="13"/>
      <c r="D376" s="14">
        <f>+'KY_Res by Plant Acct P16(REG)'!D375</f>
        <v>-543814.68000000005</v>
      </c>
      <c r="E376" s="13"/>
      <c r="F376" s="14">
        <f>+'KY_Res by Plant Acct P16(REG)'!F375</f>
        <v>0</v>
      </c>
      <c r="G376" s="13"/>
      <c r="H376" s="14">
        <f>+'KY_Res by Plant Acct P16(REG)'!H375</f>
        <v>0</v>
      </c>
      <c r="I376" s="13"/>
      <c r="J376" s="14">
        <f>+'KY_Res by Plant Acct P16(REG)'!J375</f>
        <v>0</v>
      </c>
      <c r="K376" s="13"/>
      <c r="L376" s="14">
        <f>+'KY_Res by Plant Acct P16(REG)'!L375</f>
        <v>0</v>
      </c>
      <c r="M376" s="13"/>
      <c r="N376" s="14">
        <f>+'KY_Res by Plant Acct P16(REG)'!N375</f>
        <v>0</v>
      </c>
      <c r="O376" s="13"/>
      <c r="P376" s="14">
        <f>+'KY_Res by Plant Acct P16(REG)'!P375</f>
        <v>0</v>
      </c>
      <c r="Q376" s="13"/>
      <c r="R376" s="14">
        <f t="shared" si="17"/>
        <v>-2901693.2800000003</v>
      </c>
    </row>
    <row r="377" spans="1:18" outlineLevel="1" x14ac:dyDescent="0.2">
      <c r="A377" s="3" t="s">
        <v>3785</v>
      </c>
      <c r="B377" s="14">
        <f>+'KY_Res by Plant Acct P16(REG)'!B376</f>
        <v>0</v>
      </c>
      <c r="C377" s="13"/>
      <c r="D377" s="14">
        <f>+'KY_Res by Plant Acct P16(REG)'!D376</f>
        <v>0</v>
      </c>
      <c r="E377" s="13"/>
      <c r="F377" s="14">
        <f>+'KY_Res by Plant Acct P16(REG)'!F376</f>
        <v>0</v>
      </c>
      <c r="G377" s="13"/>
      <c r="H377" s="14">
        <f>+'KY_Res by Plant Acct P16(REG)'!H376</f>
        <v>0</v>
      </c>
      <c r="I377" s="13"/>
      <c r="J377" s="14">
        <f>+'KY_Res by Plant Acct P16(REG)'!J376</f>
        <v>0</v>
      </c>
      <c r="K377" s="13"/>
      <c r="L377" s="14">
        <f>+'KY_Res by Plant Acct P16(REG)'!L376</f>
        <v>0</v>
      </c>
      <c r="M377" s="13"/>
      <c r="N377" s="14">
        <f>+'KY_Res by Plant Acct P16(REG)'!N376</f>
        <v>0</v>
      </c>
      <c r="O377" s="13"/>
      <c r="P377" s="14">
        <f>+'KY_Res by Plant Acct P16(REG)'!P376</f>
        <v>0</v>
      </c>
      <c r="Q377" s="13"/>
      <c r="R377" s="14">
        <f t="shared" si="17"/>
        <v>0</v>
      </c>
    </row>
    <row r="378" spans="1:18" outlineLevel="1" x14ac:dyDescent="0.2">
      <c r="A378" s="3" t="s">
        <v>3786</v>
      </c>
      <c r="B378" s="14">
        <f>+'KY_Res by Plant Acct P16(REG)'!B377</f>
        <v>0</v>
      </c>
      <c r="C378" s="13"/>
      <c r="D378" s="14">
        <f>+'KY_Res by Plant Acct P16(REG)'!D377</f>
        <v>0</v>
      </c>
      <c r="E378" s="13"/>
      <c r="F378" s="14">
        <f>+'KY_Res by Plant Acct P16(REG)'!F377</f>
        <v>0</v>
      </c>
      <c r="G378" s="13"/>
      <c r="H378" s="14">
        <f>+'KY_Res by Plant Acct P16(REG)'!H377</f>
        <v>0</v>
      </c>
      <c r="I378" s="13"/>
      <c r="J378" s="14">
        <f>+'KY_Res by Plant Acct P16(REG)'!J377</f>
        <v>0</v>
      </c>
      <c r="K378" s="13"/>
      <c r="L378" s="14">
        <f>+'KY_Res by Plant Acct P16(REG)'!L377</f>
        <v>0</v>
      </c>
      <c r="M378" s="13"/>
      <c r="N378" s="14">
        <f>+'KY_Res by Plant Acct P16(REG)'!N377</f>
        <v>0</v>
      </c>
      <c r="O378" s="13"/>
      <c r="P378" s="14">
        <f>+'KY_Res by Plant Acct P16(REG)'!P377</f>
        <v>0</v>
      </c>
      <c r="Q378" s="13"/>
      <c r="R378" s="14">
        <f t="shared" si="17"/>
        <v>0</v>
      </c>
    </row>
    <row r="379" spans="1:18" outlineLevel="1" x14ac:dyDescent="0.2">
      <c r="A379" s="3" t="s">
        <v>3992</v>
      </c>
      <c r="B379" s="14">
        <f>+'KY_Res by Plant Acct P16(REG)'!B378</f>
        <v>-227725.53999999992</v>
      </c>
      <c r="C379" s="13"/>
      <c r="D379" s="14">
        <f>+'KY_Res by Plant Acct P16(REG)'!D378</f>
        <v>-23399.16</v>
      </c>
      <c r="E379" s="13"/>
      <c r="F379" s="14">
        <f>+'KY_Res by Plant Acct P16(REG)'!F378</f>
        <v>0</v>
      </c>
      <c r="G379" s="13"/>
      <c r="H379" s="14">
        <f>+'KY_Res by Plant Acct P16(REG)'!H378</f>
        <v>0</v>
      </c>
      <c r="I379" s="13"/>
      <c r="J379" s="14">
        <f>+'KY_Res by Plant Acct P16(REG)'!J378</f>
        <v>0</v>
      </c>
      <c r="K379" s="13"/>
      <c r="L379" s="14">
        <f>+'KY_Res by Plant Acct P16(REG)'!L378</f>
        <v>0</v>
      </c>
      <c r="M379" s="13"/>
      <c r="N379" s="14">
        <f>+'KY_Res by Plant Acct P16(REG)'!N378</f>
        <v>0</v>
      </c>
      <c r="O379" s="13"/>
      <c r="P379" s="14">
        <f>+'KY_Res by Plant Acct P16(REG)'!P378</f>
        <v>0</v>
      </c>
      <c r="Q379" s="13"/>
      <c r="R379" s="14">
        <f t="shared" si="17"/>
        <v>-251124.69999999992</v>
      </c>
    </row>
    <row r="380" spans="1:18" outlineLevel="1" x14ac:dyDescent="0.2">
      <c r="A380" s="3" t="s">
        <v>3993</v>
      </c>
      <c r="B380" s="14">
        <f>+'KY_Res by Plant Acct P16(REG)'!B379</f>
        <v>-387536.41000000015</v>
      </c>
      <c r="C380" s="13"/>
      <c r="D380" s="14">
        <f>+'KY_Res by Plant Acct P16(REG)'!D379</f>
        <v>-40788.720000000001</v>
      </c>
      <c r="E380" s="13"/>
      <c r="F380" s="14">
        <f>+'KY_Res by Plant Acct P16(REG)'!F379</f>
        <v>0</v>
      </c>
      <c r="G380" s="13"/>
      <c r="H380" s="14">
        <f>+'KY_Res by Plant Acct P16(REG)'!H379</f>
        <v>0</v>
      </c>
      <c r="I380" s="13"/>
      <c r="J380" s="14">
        <f>+'KY_Res by Plant Acct P16(REG)'!J379</f>
        <v>0</v>
      </c>
      <c r="K380" s="13"/>
      <c r="L380" s="14">
        <f>+'KY_Res by Plant Acct P16(REG)'!L379</f>
        <v>0</v>
      </c>
      <c r="M380" s="13"/>
      <c r="N380" s="14">
        <f>+'KY_Res by Plant Acct P16(REG)'!N379</f>
        <v>0</v>
      </c>
      <c r="O380" s="13"/>
      <c r="P380" s="14">
        <f>+'KY_Res by Plant Acct P16(REG)'!P379</f>
        <v>0</v>
      </c>
      <c r="Q380" s="13"/>
      <c r="R380" s="14">
        <f t="shared" si="17"/>
        <v>-428325.13000000012</v>
      </c>
    </row>
    <row r="381" spans="1:18" outlineLevel="1" x14ac:dyDescent="0.2">
      <c r="A381" s="3" t="s">
        <v>3789</v>
      </c>
      <c r="B381" s="14">
        <f>+'KY_Res by Plant Acct P16(REG)'!B380</f>
        <v>0</v>
      </c>
      <c r="C381" s="13"/>
      <c r="D381" s="14">
        <f>+'KY_Res by Plant Acct P16(REG)'!D380</f>
        <v>0</v>
      </c>
      <c r="E381" s="13"/>
      <c r="F381" s="14">
        <f>+'KY_Res by Plant Acct P16(REG)'!F380</f>
        <v>0</v>
      </c>
      <c r="G381" s="13"/>
      <c r="H381" s="14">
        <f>+'KY_Res by Plant Acct P16(REG)'!H380</f>
        <v>0</v>
      </c>
      <c r="I381" s="13"/>
      <c r="J381" s="14">
        <f>+'KY_Res by Plant Acct P16(REG)'!J380</f>
        <v>0</v>
      </c>
      <c r="K381" s="13"/>
      <c r="L381" s="14">
        <f>+'KY_Res by Plant Acct P16(REG)'!L380</f>
        <v>0</v>
      </c>
      <c r="M381" s="13"/>
      <c r="N381" s="14">
        <f>+'KY_Res by Plant Acct P16(REG)'!N380</f>
        <v>0</v>
      </c>
      <c r="O381" s="13"/>
      <c r="P381" s="14">
        <f>+'KY_Res by Plant Acct P16(REG)'!P380</f>
        <v>0</v>
      </c>
      <c r="Q381" s="13"/>
      <c r="R381" s="14">
        <f t="shared" si="17"/>
        <v>0</v>
      </c>
    </row>
    <row r="382" spans="1:18" outlineLevel="1" x14ac:dyDescent="0.2">
      <c r="A382" s="3" t="s">
        <v>3994</v>
      </c>
      <c r="B382" s="14">
        <f>+'KY_Res by Plant Acct P16(REG)'!B381</f>
        <v>0</v>
      </c>
      <c r="C382" s="13"/>
      <c r="D382" s="14">
        <f>+'KY_Res by Plant Acct P16(REG)'!D381</f>
        <v>0</v>
      </c>
      <c r="E382" s="13"/>
      <c r="F382" s="14">
        <f>+'KY_Res by Plant Acct P16(REG)'!F381</f>
        <v>0</v>
      </c>
      <c r="G382" s="13"/>
      <c r="H382" s="14">
        <f>+'KY_Res by Plant Acct P16(REG)'!H381</f>
        <v>0</v>
      </c>
      <c r="I382" s="13"/>
      <c r="J382" s="14">
        <f>+'KY_Res by Plant Acct P16(REG)'!J381</f>
        <v>0</v>
      </c>
      <c r="K382" s="13"/>
      <c r="L382" s="14">
        <f>+'KY_Res by Plant Acct P16(REG)'!L381</f>
        <v>0</v>
      </c>
      <c r="M382" s="13"/>
      <c r="N382" s="14">
        <f>+'KY_Res by Plant Acct P16(REG)'!N381</f>
        <v>0</v>
      </c>
      <c r="O382" s="13"/>
      <c r="P382" s="14">
        <f>+'KY_Res by Plant Acct P16(REG)'!P381</f>
        <v>0</v>
      </c>
      <c r="Q382" s="13"/>
      <c r="R382" s="14">
        <f t="shared" si="17"/>
        <v>0</v>
      </c>
    </row>
    <row r="383" spans="1:18" outlineLevel="1" x14ac:dyDescent="0.2">
      <c r="A383" s="3" t="s">
        <v>3995</v>
      </c>
      <c r="B383" s="14">
        <f>+'KY_Res by Plant Acct P16(REG)'!B382</f>
        <v>-8062136.0700000012</v>
      </c>
      <c r="C383" s="13"/>
      <c r="D383" s="14">
        <f>+'KY_Res by Plant Acct P16(REG)'!D382</f>
        <v>-879162.39</v>
      </c>
      <c r="E383" s="13"/>
      <c r="F383" s="14">
        <f>+'KY_Res by Plant Acct P16(REG)'!F382</f>
        <v>0</v>
      </c>
      <c r="G383" s="13"/>
      <c r="H383" s="14">
        <f>+'KY_Res by Plant Acct P16(REG)'!H382</f>
        <v>0</v>
      </c>
      <c r="I383" s="13"/>
      <c r="J383" s="14">
        <f>+'KY_Res by Plant Acct P16(REG)'!J382</f>
        <v>0</v>
      </c>
      <c r="K383" s="13"/>
      <c r="L383" s="14">
        <f>+'KY_Res by Plant Acct P16(REG)'!L382</f>
        <v>0</v>
      </c>
      <c r="M383" s="13"/>
      <c r="N383" s="14">
        <f>+'KY_Res by Plant Acct P16(REG)'!N382</f>
        <v>0</v>
      </c>
      <c r="O383" s="13"/>
      <c r="P383" s="14">
        <f>+'KY_Res by Plant Acct P16(REG)'!P382</f>
        <v>0</v>
      </c>
      <c r="Q383" s="13"/>
      <c r="R383" s="14">
        <f>SUM(B383:P383)</f>
        <v>-8941298.4600000009</v>
      </c>
    </row>
    <row r="384" spans="1:18" outlineLevel="1" x14ac:dyDescent="0.2">
      <c r="A384" s="3" t="s">
        <v>3792</v>
      </c>
      <c r="B384" s="14">
        <f>+'KY_Res by Plant Acct P16(REG)'!B383</f>
        <v>0</v>
      </c>
      <c r="C384" s="13"/>
      <c r="D384" s="14">
        <f>+'KY_Res by Plant Acct P16(REG)'!D383</f>
        <v>0</v>
      </c>
      <c r="E384" s="13"/>
      <c r="F384" s="14">
        <f>+'KY_Res by Plant Acct P16(REG)'!F383</f>
        <v>0</v>
      </c>
      <c r="G384" s="13"/>
      <c r="H384" s="14">
        <f>+'KY_Res by Plant Acct P16(REG)'!H383</f>
        <v>0</v>
      </c>
      <c r="I384" s="13"/>
      <c r="J384" s="14">
        <f>+'KY_Res by Plant Acct P16(REG)'!J383</f>
        <v>0</v>
      </c>
      <c r="K384" s="13"/>
      <c r="L384" s="14">
        <f>+'KY_Res by Plant Acct P16(REG)'!L383</f>
        <v>0</v>
      </c>
      <c r="M384" s="13"/>
      <c r="N384" s="14">
        <f>+'KY_Res by Plant Acct P16(REG)'!N383</f>
        <v>0</v>
      </c>
      <c r="O384" s="13"/>
      <c r="P384" s="14">
        <f>+'KY_Res by Plant Acct P16(REG)'!P383</f>
        <v>0</v>
      </c>
      <c r="Q384" s="13"/>
      <c r="R384" s="14">
        <f>SUM(B384:P384)</f>
        <v>0</v>
      </c>
    </row>
    <row r="385" spans="1:18" outlineLevel="1" x14ac:dyDescent="0.2">
      <c r="A385" s="3" t="s">
        <v>3793</v>
      </c>
      <c r="B385" s="14">
        <f>+'KY_Res by Plant Acct P16(REG)'!B384</f>
        <v>-20336.400000000001</v>
      </c>
      <c r="C385" s="13"/>
      <c r="D385" s="14">
        <f>+'KY_Res by Plant Acct P16(REG)'!D384</f>
        <v>-24403.68</v>
      </c>
      <c r="E385" s="13"/>
      <c r="F385" s="14">
        <f>+'KY_Res by Plant Acct P16(REG)'!F384</f>
        <v>0</v>
      </c>
      <c r="G385" s="13"/>
      <c r="H385" s="14">
        <f>+'KY_Res by Plant Acct P16(REG)'!H384</f>
        <v>0</v>
      </c>
      <c r="I385" s="13"/>
      <c r="J385" s="14">
        <f>+'KY_Res by Plant Acct P16(REG)'!J384</f>
        <v>0</v>
      </c>
      <c r="K385" s="13"/>
      <c r="L385" s="14">
        <f>+'KY_Res by Plant Acct P16(REG)'!L384</f>
        <v>0</v>
      </c>
      <c r="M385" s="13"/>
      <c r="N385" s="14">
        <f>+'KY_Res by Plant Acct P16(REG)'!N384</f>
        <v>0</v>
      </c>
      <c r="O385" s="13"/>
      <c r="P385" s="14">
        <f>+'KY_Res by Plant Acct P16(REG)'!P384</f>
        <v>0</v>
      </c>
      <c r="Q385" s="13"/>
      <c r="R385" s="14">
        <f>SUM(B385:P385)</f>
        <v>-44740.08</v>
      </c>
    </row>
    <row r="386" spans="1:18" outlineLevel="1" x14ac:dyDescent="0.2">
      <c r="A386" s="43" t="s">
        <v>3996</v>
      </c>
      <c r="B386" s="14">
        <f>+'KY_Res by Plant Acct P16(REG)'!B385</f>
        <v>-751018.1399999999</v>
      </c>
      <c r="C386" s="13"/>
      <c r="D386" s="14">
        <f>+'KY_Res by Plant Acct P16(REG)'!D385</f>
        <v>-20807.400000000001</v>
      </c>
      <c r="E386" s="13"/>
      <c r="F386" s="14">
        <f>+'KY_Res by Plant Acct P16(REG)'!F385</f>
        <v>0</v>
      </c>
      <c r="G386" s="13"/>
      <c r="H386" s="14">
        <f>+'KY_Res by Plant Acct P16(REG)'!H385</f>
        <v>0</v>
      </c>
      <c r="I386" s="13"/>
      <c r="J386" s="14">
        <f>+'KY_Res by Plant Acct P16(REG)'!J385</f>
        <v>0</v>
      </c>
      <c r="K386" s="13"/>
      <c r="L386" s="14">
        <f>+'KY_Res by Plant Acct P16(REG)'!L385</f>
        <v>0</v>
      </c>
      <c r="M386" s="13"/>
      <c r="N386" s="14">
        <f>+'KY_Res by Plant Acct P16(REG)'!N385</f>
        <v>0</v>
      </c>
      <c r="O386" s="13"/>
      <c r="P386" s="14">
        <f>+'KY_Res by Plant Acct P16(REG)'!P385</f>
        <v>0</v>
      </c>
      <c r="Q386" s="13"/>
      <c r="R386" s="14">
        <f>SUM(B386:P386)</f>
        <v>-771825.53999999992</v>
      </c>
    </row>
    <row r="387" spans="1:18" outlineLevel="1" x14ac:dyDescent="0.2">
      <c r="A387" s="3" t="s">
        <v>3795</v>
      </c>
      <c r="B387" s="14">
        <f>+'KY_Res by Plant Acct P16(REG)'!B386</f>
        <v>-16664.670000000002</v>
      </c>
      <c r="C387" s="13"/>
      <c r="D387" s="14">
        <f>+'KY_Res by Plant Acct P16(REG)'!D386</f>
        <v>0</v>
      </c>
      <c r="E387" s="13"/>
      <c r="F387" s="14">
        <f>+'KY_Res by Plant Acct P16(REG)'!F386</f>
        <v>0</v>
      </c>
      <c r="G387" s="13"/>
      <c r="H387" s="14">
        <f>+'KY_Res by Plant Acct P16(REG)'!H386</f>
        <v>0</v>
      </c>
      <c r="I387" s="13"/>
      <c r="J387" s="14">
        <f>+'KY_Res by Plant Acct P16(REG)'!J386</f>
        <v>0</v>
      </c>
      <c r="K387" s="13"/>
      <c r="L387" s="14">
        <f>+'KY_Res by Plant Acct P16(REG)'!L386</f>
        <v>0</v>
      </c>
      <c r="M387" s="13"/>
      <c r="N387" s="14">
        <f>+'KY_Res by Plant Acct P16(REG)'!N386</f>
        <v>0</v>
      </c>
      <c r="O387" s="13"/>
      <c r="P387" s="14">
        <f>+'KY_Res by Plant Acct P16(REG)'!P386</f>
        <v>0</v>
      </c>
      <c r="Q387" s="13"/>
      <c r="R387" s="14">
        <f t="shared" si="17"/>
        <v>-16664.670000000002</v>
      </c>
    </row>
    <row r="388" spans="1:18" outlineLevel="1" x14ac:dyDescent="0.2">
      <c r="A388" s="3" t="s">
        <v>3997</v>
      </c>
      <c r="B388" s="14">
        <f>+'KY_Res by Plant Acct P16(REG)'!B387</f>
        <v>-92147.059999999969</v>
      </c>
      <c r="C388" s="13"/>
      <c r="D388" s="14">
        <f>+'KY_Res by Plant Acct P16(REG)'!D387</f>
        <v>-3176.04</v>
      </c>
      <c r="E388" s="13"/>
      <c r="F388" s="14">
        <f>+'KY_Res by Plant Acct P16(REG)'!F387</f>
        <v>0</v>
      </c>
      <c r="G388" s="13"/>
      <c r="H388" s="14">
        <f>+'KY_Res by Plant Acct P16(REG)'!H387</f>
        <v>0</v>
      </c>
      <c r="I388" s="13"/>
      <c r="J388" s="14">
        <f>+'KY_Res by Plant Acct P16(REG)'!J387</f>
        <v>0</v>
      </c>
      <c r="K388" s="13"/>
      <c r="L388" s="14">
        <f>+'KY_Res by Plant Acct P16(REG)'!L387</f>
        <v>0</v>
      </c>
      <c r="M388" s="13"/>
      <c r="N388" s="14">
        <f>+'KY_Res by Plant Acct P16(REG)'!N387</f>
        <v>0</v>
      </c>
      <c r="O388" s="13"/>
      <c r="P388" s="14">
        <f>+'KY_Res by Plant Acct P16(REG)'!P387</f>
        <v>0</v>
      </c>
      <c r="Q388" s="13"/>
      <c r="R388" s="14">
        <f t="shared" si="17"/>
        <v>-95323.099999999962</v>
      </c>
    </row>
    <row r="389" spans="1:18" x14ac:dyDescent="0.2">
      <c r="A389" s="3" t="s">
        <v>3797</v>
      </c>
      <c r="B389" s="14">
        <f>SUM(B354:B388)</f>
        <v>-99941171.62000002</v>
      </c>
      <c r="C389" s="13"/>
      <c r="D389" s="14">
        <f>SUM(D354:D388)</f>
        <v>-4972628.1400000006</v>
      </c>
      <c r="E389" s="13"/>
      <c r="F389" s="14">
        <f>SUM(F354:F388)</f>
        <v>248391.82</v>
      </c>
      <c r="G389" s="13"/>
      <c r="H389" s="14">
        <f>SUM(H354:H388)</f>
        <v>0</v>
      </c>
      <c r="I389" s="13"/>
      <c r="J389" s="14">
        <f>SUM(J354:J388)</f>
        <v>0</v>
      </c>
      <c r="K389" s="13"/>
      <c r="L389" s="14">
        <f>SUM(L354:L388)</f>
        <v>40448.449999999997</v>
      </c>
      <c r="M389" s="13"/>
      <c r="N389" s="14">
        <f>SUM(N354:N388)</f>
        <v>0</v>
      </c>
      <c r="O389" s="13"/>
      <c r="P389" s="14">
        <f>SUM(P354:P388)</f>
        <v>0</v>
      </c>
      <c r="Q389" s="13"/>
      <c r="R389" s="14">
        <f>SUM(R354:R388)</f>
        <v>-104624959.48999999</v>
      </c>
    </row>
    <row r="390" spans="1:18" outlineLevel="1" x14ac:dyDescent="0.2">
      <c r="A390" s="3" t="s">
        <v>3998</v>
      </c>
      <c r="B390" s="14">
        <f>+'KY_Res by Plant Acct P16(REG)'!B389</f>
        <v>0</v>
      </c>
      <c r="C390" s="13"/>
      <c r="D390" s="14">
        <f>+'KY_Res by Plant Acct P16(REG)'!D389</f>
        <v>0</v>
      </c>
      <c r="E390" s="13"/>
      <c r="F390" s="14">
        <f>+'KY_Res by Plant Acct P16(REG)'!F389</f>
        <v>0</v>
      </c>
      <c r="G390" s="13"/>
      <c r="H390" s="14">
        <f>+'KY_Res by Plant Acct P16(REG)'!H389</f>
        <v>0</v>
      </c>
      <c r="I390" s="13"/>
      <c r="J390" s="14">
        <f>+'KY_Res by Plant Acct P16(REG)'!J389</f>
        <v>0</v>
      </c>
      <c r="K390" s="13"/>
      <c r="L390" s="14">
        <f>+'KY_Res by Plant Acct P16(REG)'!L389</f>
        <v>0</v>
      </c>
      <c r="M390" s="13"/>
      <c r="N390" s="14">
        <f>+'KY_Res by Plant Acct P16(REG)'!N389</f>
        <v>0</v>
      </c>
      <c r="O390" s="13"/>
      <c r="P390" s="14">
        <f>+'KY_Res by Plant Acct P16(REG)'!P389</f>
        <v>0</v>
      </c>
      <c r="Q390" s="13"/>
      <c r="R390" s="14">
        <f t="shared" ref="R390:R398" si="18">SUM(B390:P390)</f>
        <v>0</v>
      </c>
    </row>
    <row r="391" spans="1:18" outlineLevel="1" x14ac:dyDescent="0.2">
      <c r="A391" s="3" t="s">
        <v>3999</v>
      </c>
      <c r="B391" s="14">
        <f>+'KY_Res by Plant Acct P16(REG)'!B390</f>
        <v>0</v>
      </c>
      <c r="C391" s="13"/>
      <c r="D391" s="14">
        <f>+'KY_Res by Plant Acct P16(REG)'!D390</f>
        <v>0</v>
      </c>
      <c r="E391" s="13"/>
      <c r="F391" s="14">
        <f>+'KY_Res by Plant Acct P16(REG)'!F390</f>
        <v>0</v>
      </c>
      <c r="G391" s="13"/>
      <c r="H391" s="14">
        <f>+'KY_Res by Plant Acct P16(REG)'!H390</f>
        <v>0</v>
      </c>
      <c r="I391" s="13"/>
      <c r="J391" s="14">
        <f>+'KY_Res by Plant Acct P16(REG)'!J390</f>
        <v>0</v>
      </c>
      <c r="K391" s="13"/>
      <c r="L391" s="14">
        <f>+'KY_Res by Plant Acct P16(REG)'!L390</f>
        <v>0</v>
      </c>
      <c r="M391" s="13"/>
      <c r="N391" s="14">
        <f>+'KY_Res by Plant Acct P16(REG)'!N390</f>
        <v>0</v>
      </c>
      <c r="O391" s="13"/>
      <c r="P391" s="14">
        <f>+'KY_Res by Plant Acct P16(REG)'!P390</f>
        <v>0</v>
      </c>
      <c r="Q391" s="13"/>
      <c r="R391" s="14">
        <f t="shared" si="18"/>
        <v>0</v>
      </c>
    </row>
    <row r="392" spans="1:18" outlineLevel="1" x14ac:dyDescent="0.2">
      <c r="A392" s="3" t="s">
        <v>4000</v>
      </c>
      <c r="B392" s="14">
        <f>+'KY_Res by Plant Acct P16(REG)'!B391</f>
        <v>0</v>
      </c>
      <c r="C392" s="13"/>
      <c r="D392" s="14">
        <f>+'KY_Res by Plant Acct P16(REG)'!D391</f>
        <v>0</v>
      </c>
      <c r="E392" s="13"/>
      <c r="F392" s="14">
        <f>+'KY_Res by Plant Acct P16(REG)'!F391</f>
        <v>0</v>
      </c>
      <c r="G392" s="13"/>
      <c r="H392" s="14">
        <f>+'KY_Res by Plant Acct P16(REG)'!H391</f>
        <v>0</v>
      </c>
      <c r="I392" s="13"/>
      <c r="J392" s="14">
        <f>+'KY_Res by Plant Acct P16(REG)'!J391</f>
        <v>0</v>
      </c>
      <c r="K392" s="13"/>
      <c r="L392" s="14">
        <f>+'KY_Res by Plant Acct P16(REG)'!L391</f>
        <v>0</v>
      </c>
      <c r="M392" s="13"/>
      <c r="N392" s="14">
        <f>+'KY_Res by Plant Acct P16(REG)'!N391</f>
        <v>0</v>
      </c>
      <c r="O392" s="13"/>
      <c r="P392" s="14">
        <f>+'KY_Res by Plant Acct P16(REG)'!P391</f>
        <v>0</v>
      </c>
      <c r="Q392" s="13"/>
      <c r="R392" s="14">
        <f t="shared" si="18"/>
        <v>0</v>
      </c>
    </row>
    <row r="393" spans="1:18" outlineLevel="1" x14ac:dyDescent="0.2">
      <c r="A393" s="3" t="s">
        <v>4001</v>
      </c>
      <c r="B393" s="14">
        <f>+'KY_Res by Plant Acct P16(REG)'!B392</f>
        <v>0</v>
      </c>
      <c r="C393" s="13"/>
      <c r="D393" s="14">
        <f>+'KY_Res by Plant Acct P16(REG)'!D392</f>
        <v>0</v>
      </c>
      <c r="E393" s="13"/>
      <c r="F393" s="14">
        <f>+'KY_Res by Plant Acct P16(REG)'!F392</f>
        <v>0</v>
      </c>
      <c r="G393" s="13"/>
      <c r="H393" s="14">
        <f>+'KY_Res by Plant Acct P16(REG)'!H392</f>
        <v>0</v>
      </c>
      <c r="I393" s="13"/>
      <c r="J393" s="14">
        <f>+'KY_Res by Plant Acct P16(REG)'!J392</f>
        <v>0</v>
      </c>
      <c r="K393" s="13"/>
      <c r="L393" s="14">
        <f>+'KY_Res by Plant Acct P16(REG)'!L392</f>
        <v>0</v>
      </c>
      <c r="M393" s="13"/>
      <c r="N393" s="14">
        <f>+'KY_Res by Plant Acct P16(REG)'!N392</f>
        <v>0</v>
      </c>
      <c r="O393" s="13"/>
      <c r="P393" s="14">
        <f>+'KY_Res by Plant Acct P16(REG)'!P392</f>
        <v>0</v>
      </c>
      <c r="Q393" s="13"/>
      <c r="R393" s="14">
        <f t="shared" si="18"/>
        <v>0</v>
      </c>
    </row>
    <row r="394" spans="1:18" outlineLevel="1" x14ac:dyDescent="0.2">
      <c r="A394" s="3" t="s">
        <v>4002</v>
      </c>
      <c r="B394" s="14">
        <f>+'KY_Res by Plant Acct P16(REG)'!B393</f>
        <v>0</v>
      </c>
      <c r="C394" s="13"/>
      <c r="D394" s="14">
        <f>+'KY_Res by Plant Acct P16(REG)'!D393</f>
        <v>0</v>
      </c>
      <c r="E394" s="13"/>
      <c r="F394" s="14">
        <f>+'KY_Res by Plant Acct P16(REG)'!F393</f>
        <v>0</v>
      </c>
      <c r="G394" s="13"/>
      <c r="H394" s="14">
        <f>+'KY_Res by Plant Acct P16(REG)'!H393</f>
        <v>0</v>
      </c>
      <c r="I394" s="13"/>
      <c r="J394" s="14">
        <f>+'KY_Res by Plant Acct P16(REG)'!J393</f>
        <v>0</v>
      </c>
      <c r="K394" s="13"/>
      <c r="L394" s="14">
        <f>+'KY_Res by Plant Acct P16(REG)'!L393</f>
        <v>0</v>
      </c>
      <c r="M394" s="13"/>
      <c r="N394" s="14">
        <f>+'KY_Res by Plant Acct P16(REG)'!N393</f>
        <v>0</v>
      </c>
      <c r="O394" s="13"/>
      <c r="P394" s="14">
        <f>+'KY_Res by Plant Acct P16(REG)'!P393</f>
        <v>0</v>
      </c>
      <c r="Q394" s="13"/>
      <c r="R394" s="14">
        <f t="shared" si="18"/>
        <v>0</v>
      </c>
    </row>
    <row r="395" spans="1:18" outlineLevel="1" x14ac:dyDescent="0.2">
      <c r="A395" s="3" t="s">
        <v>4003</v>
      </c>
      <c r="B395" s="14">
        <f>+'KY_Res by Plant Acct P16(REG)'!B394</f>
        <v>0</v>
      </c>
      <c r="C395" s="13"/>
      <c r="D395" s="14">
        <f>+'KY_Res by Plant Acct P16(REG)'!D394</f>
        <v>0</v>
      </c>
      <c r="E395" s="13"/>
      <c r="F395" s="14">
        <f>+'KY_Res by Plant Acct P16(REG)'!F394</f>
        <v>0</v>
      </c>
      <c r="G395" s="13"/>
      <c r="H395" s="14">
        <f>+'KY_Res by Plant Acct P16(REG)'!H394</f>
        <v>0</v>
      </c>
      <c r="I395" s="13"/>
      <c r="J395" s="14">
        <f>+'KY_Res by Plant Acct P16(REG)'!J394</f>
        <v>0</v>
      </c>
      <c r="K395" s="13"/>
      <c r="L395" s="14">
        <f>+'KY_Res by Plant Acct P16(REG)'!L394</f>
        <v>0</v>
      </c>
      <c r="M395" s="13"/>
      <c r="N395" s="14">
        <f>+'KY_Res by Plant Acct P16(REG)'!N394</f>
        <v>0</v>
      </c>
      <c r="O395" s="13"/>
      <c r="P395" s="14">
        <f>+'KY_Res by Plant Acct P16(REG)'!P394</f>
        <v>0</v>
      </c>
      <c r="Q395" s="13"/>
      <c r="R395" s="14">
        <f t="shared" si="18"/>
        <v>0</v>
      </c>
    </row>
    <row r="396" spans="1:18" outlineLevel="1" x14ac:dyDescent="0.2">
      <c r="A396" s="3" t="s">
        <v>4004</v>
      </c>
      <c r="B396" s="14">
        <f>+'KY_Res by Plant Acct P16(REG)'!B395</f>
        <v>0</v>
      </c>
      <c r="C396" s="13"/>
      <c r="D396" s="14">
        <f>+'KY_Res by Plant Acct P16(REG)'!D395</f>
        <v>0</v>
      </c>
      <c r="E396" s="13"/>
      <c r="F396" s="14">
        <f>+'KY_Res by Plant Acct P16(REG)'!F395</f>
        <v>0</v>
      </c>
      <c r="G396" s="13"/>
      <c r="H396" s="14">
        <f>+'KY_Res by Plant Acct P16(REG)'!H395</f>
        <v>0</v>
      </c>
      <c r="I396" s="13"/>
      <c r="J396" s="14">
        <f>+'KY_Res by Plant Acct P16(REG)'!J395</f>
        <v>0</v>
      </c>
      <c r="K396" s="13"/>
      <c r="L396" s="14">
        <f>+'KY_Res by Plant Acct P16(REG)'!L395</f>
        <v>0</v>
      </c>
      <c r="M396" s="13"/>
      <c r="N396" s="14">
        <f>+'KY_Res by Plant Acct P16(REG)'!N395</f>
        <v>0</v>
      </c>
      <c r="O396" s="13"/>
      <c r="P396" s="14">
        <f>+'KY_Res by Plant Acct P16(REG)'!P395</f>
        <v>0</v>
      </c>
      <c r="Q396" s="13"/>
      <c r="R396" s="14">
        <f t="shared" si="18"/>
        <v>0</v>
      </c>
    </row>
    <row r="397" spans="1:18" outlineLevel="1" x14ac:dyDescent="0.2">
      <c r="A397" s="3" t="s">
        <v>4005</v>
      </c>
      <c r="B397" s="14">
        <f>+'KY_Res by Plant Acct P16(REG)'!B396</f>
        <v>0</v>
      </c>
      <c r="C397" s="13"/>
      <c r="D397" s="14">
        <f>+'KY_Res by Plant Acct P16(REG)'!D396</f>
        <v>0</v>
      </c>
      <c r="E397" s="13"/>
      <c r="F397" s="14">
        <f>+'KY_Res by Plant Acct P16(REG)'!F396</f>
        <v>0</v>
      </c>
      <c r="G397" s="13"/>
      <c r="H397" s="14">
        <f>+'KY_Res by Plant Acct P16(REG)'!H396</f>
        <v>0</v>
      </c>
      <c r="I397" s="13"/>
      <c r="J397" s="14">
        <f>+'KY_Res by Plant Acct P16(REG)'!J396</f>
        <v>0</v>
      </c>
      <c r="K397" s="13"/>
      <c r="L397" s="14">
        <f>+'KY_Res by Plant Acct P16(REG)'!L396</f>
        <v>0</v>
      </c>
      <c r="M397" s="13"/>
      <c r="N397" s="14">
        <f>+'KY_Res by Plant Acct P16(REG)'!N396</f>
        <v>0</v>
      </c>
      <c r="O397" s="13"/>
      <c r="P397" s="14">
        <f>+'KY_Res by Plant Acct P16(REG)'!P396</f>
        <v>0</v>
      </c>
      <c r="Q397" s="13"/>
      <c r="R397" s="14">
        <f t="shared" si="18"/>
        <v>0</v>
      </c>
    </row>
    <row r="398" spans="1:18" outlineLevel="1" x14ac:dyDescent="0.2">
      <c r="A398" s="3" t="s">
        <v>4006</v>
      </c>
      <c r="B398" s="14">
        <f>+'KY_Res by Plant Acct P16(REG)'!B397</f>
        <v>0</v>
      </c>
      <c r="C398" s="13"/>
      <c r="D398" s="14">
        <f>+'KY_Res by Plant Acct P16(REG)'!D397</f>
        <v>0</v>
      </c>
      <c r="E398" s="13"/>
      <c r="F398" s="14">
        <f>+'KY_Res by Plant Acct P16(REG)'!F397</f>
        <v>0</v>
      </c>
      <c r="G398" s="13"/>
      <c r="H398" s="14">
        <f>+'KY_Res by Plant Acct P16(REG)'!H397</f>
        <v>0</v>
      </c>
      <c r="I398" s="13"/>
      <c r="J398" s="14">
        <f>+'KY_Res by Plant Acct P16(REG)'!J397</f>
        <v>0</v>
      </c>
      <c r="K398" s="13"/>
      <c r="L398" s="14">
        <f>+'KY_Res by Plant Acct P16(REG)'!L397</f>
        <v>0</v>
      </c>
      <c r="M398" s="13"/>
      <c r="N398" s="14">
        <f>+'KY_Res by Plant Acct P16(REG)'!N397</f>
        <v>0</v>
      </c>
      <c r="O398" s="13"/>
      <c r="P398" s="14">
        <f>+'KY_Res by Plant Acct P16(REG)'!P397</f>
        <v>0</v>
      </c>
      <c r="Q398" s="13"/>
      <c r="R398" s="14">
        <f t="shared" si="18"/>
        <v>0</v>
      </c>
    </row>
    <row r="399" spans="1:18" x14ac:dyDescent="0.2">
      <c r="A399" s="3" t="s">
        <v>4007</v>
      </c>
      <c r="B399" s="14">
        <f>SUM(B390:B398)</f>
        <v>0</v>
      </c>
      <c r="C399" s="13"/>
      <c r="D399" s="14">
        <f>SUM(D390:D398)</f>
        <v>0</v>
      </c>
      <c r="E399" s="13"/>
      <c r="F399" s="14">
        <f>SUM(F390:F398)</f>
        <v>0</v>
      </c>
      <c r="G399" s="13"/>
      <c r="H399" s="14">
        <f>SUM(H390:H398)</f>
        <v>0</v>
      </c>
      <c r="I399" s="13"/>
      <c r="J399" s="14">
        <f>SUM(J390:J398)</f>
        <v>0</v>
      </c>
      <c r="K399" s="13"/>
      <c r="L399" s="14">
        <f>SUM(L390:L398)</f>
        <v>0</v>
      </c>
      <c r="M399" s="13"/>
      <c r="N399" s="14">
        <f>SUM(N390:N398)</f>
        <v>0</v>
      </c>
      <c r="O399" s="13"/>
      <c r="P399" s="14">
        <f>SUM(P390:P398)</f>
        <v>0</v>
      </c>
      <c r="Q399" s="13"/>
      <c r="R399" s="14">
        <f>SUM(R390:R398)</f>
        <v>0</v>
      </c>
    </row>
    <row r="400" spans="1:18" outlineLevel="1" x14ac:dyDescent="0.2">
      <c r="A400" s="3" t="s">
        <v>3808</v>
      </c>
      <c r="B400" s="14">
        <f>+'KY_Res by Plant Acct P16(REG)'!B399</f>
        <v>-355630.89000000007</v>
      </c>
      <c r="C400" s="13"/>
      <c r="D400" s="14">
        <f>+'KY_Res by Plant Acct P16(REG)'!D399</f>
        <v>-6298.56</v>
      </c>
      <c r="E400" s="13"/>
      <c r="F400" s="14">
        <f>+'KY_Res by Plant Acct P16(REG)'!F399</f>
        <v>54566.52</v>
      </c>
      <c r="G400" s="13"/>
      <c r="H400" s="14">
        <f>+'KY_Res by Plant Acct P16(REG)'!H399</f>
        <v>0</v>
      </c>
      <c r="I400" s="13"/>
      <c r="J400" s="14">
        <f>+'KY_Res by Plant Acct P16(REG)'!J399</f>
        <v>0</v>
      </c>
      <c r="K400" s="13"/>
      <c r="L400" s="14">
        <f>+'KY_Res by Plant Acct P16(REG)'!L399</f>
        <v>10351.799999999999</v>
      </c>
      <c r="M400" s="13"/>
      <c r="N400" s="14">
        <f>+'KY_Res by Plant Acct P16(REG)'!N399</f>
        <v>0</v>
      </c>
      <c r="O400" s="13"/>
      <c r="P400" s="14">
        <f>+'KY_Res by Plant Acct P16(REG)'!P399</f>
        <v>0</v>
      </c>
      <c r="Q400" s="13"/>
      <c r="R400" s="14">
        <f t="shared" ref="R400:R417" si="19">SUM(B400:P400)</f>
        <v>-297011.13000000006</v>
      </c>
    </row>
    <row r="401" spans="1:18" outlineLevel="1" x14ac:dyDescent="0.2">
      <c r="A401" s="3" t="s">
        <v>3809</v>
      </c>
      <c r="B401" s="14">
        <f>+'KY_Res by Plant Acct P16(REG)'!B400</f>
        <v>-107051.19</v>
      </c>
      <c r="C401" s="13"/>
      <c r="D401" s="14">
        <f>+'KY_Res by Plant Acct P16(REG)'!D400</f>
        <v>-61.56</v>
      </c>
      <c r="E401" s="13"/>
      <c r="F401" s="14">
        <f>+'KY_Res by Plant Acct P16(REG)'!F400</f>
        <v>0</v>
      </c>
      <c r="G401" s="13"/>
      <c r="H401" s="14">
        <f>+'KY_Res by Plant Acct P16(REG)'!H400</f>
        <v>0</v>
      </c>
      <c r="I401" s="13"/>
      <c r="J401" s="14">
        <f>+'KY_Res by Plant Acct P16(REG)'!J400</f>
        <v>0</v>
      </c>
      <c r="K401" s="13"/>
      <c r="L401" s="14">
        <f>+'KY_Res by Plant Acct P16(REG)'!L400</f>
        <v>0</v>
      </c>
      <c r="M401" s="13"/>
      <c r="N401" s="14">
        <f>+'KY_Res by Plant Acct P16(REG)'!N400</f>
        <v>0</v>
      </c>
      <c r="O401" s="13"/>
      <c r="P401" s="14">
        <f>+'KY_Res by Plant Acct P16(REG)'!P400</f>
        <v>0</v>
      </c>
      <c r="Q401" s="13"/>
      <c r="R401" s="14">
        <f t="shared" si="19"/>
        <v>-107112.75</v>
      </c>
    </row>
    <row r="402" spans="1:18" outlineLevel="1" x14ac:dyDescent="0.2">
      <c r="A402" s="3" t="s">
        <v>3810</v>
      </c>
      <c r="B402" s="14">
        <f>+'KY_Res by Plant Acct P16(REG)'!B401</f>
        <v>-3287151.5200000005</v>
      </c>
      <c r="C402" s="13"/>
      <c r="D402" s="14">
        <f>+'KY_Res by Plant Acct P16(REG)'!D401</f>
        <v>-132135.84</v>
      </c>
      <c r="E402" s="13"/>
      <c r="F402" s="14">
        <f>+'KY_Res by Plant Acct P16(REG)'!F401</f>
        <v>153380.53</v>
      </c>
      <c r="G402" s="13"/>
      <c r="H402" s="14">
        <f>+'KY_Res by Plant Acct P16(REG)'!H401</f>
        <v>0</v>
      </c>
      <c r="I402" s="13"/>
      <c r="J402" s="14">
        <f>+'KY_Res by Plant Acct P16(REG)'!J401</f>
        <v>0</v>
      </c>
      <c r="K402" s="13"/>
      <c r="L402" s="14">
        <f>+'KY_Res by Plant Acct P16(REG)'!L401</f>
        <v>0</v>
      </c>
      <c r="M402" s="13"/>
      <c r="N402" s="14">
        <f>+'KY_Res by Plant Acct P16(REG)'!N401</f>
        <v>0</v>
      </c>
      <c r="O402" s="13"/>
      <c r="P402" s="14">
        <f>+'KY_Res by Plant Acct P16(REG)'!P401</f>
        <v>0</v>
      </c>
      <c r="Q402" s="13"/>
      <c r="R402" s="14">
        <f t="shared" si="19"/>
        <v>-3265906.8300000005</v>
      </c>
    </row>
    <row r="403" spans="1:18" outlineLevel="1" x14ac:dyDescent="0.2">
      <c r="A403" s="3" t="s">
        <v>3811</v>
      </c>
      <c r="B403" s="14">
        <f>+'KY_Res by Plant Acct P16(REG)'!B402</f>
        <v>-1666398.1199999999</v>
      </c>
      <c r="C403" s="13"/>
      <c r="D403" s="14">
        <f>+'KY_Res by Plant Acct P16(REG)'!D402</f>
        <v>-12944.12</v>
      </c>
      <c r="E403" s="13"/>
      <c r="F403" s="14">
        <f>+'KY_Res by Plant Acct P16(REG)'!F402</f>
        <v>3956</v>
      </c>
      <c r="G403" s="13"/>
      <c r="H403" s="14">
        <f>+'KY_Res by Plant Acct P16(REG)'!H402</f>
        <v>0</v>
      </c>
      <c r="I403" s="13"/>
      <c r="J403" s="14">
        <f>+'KY_Res by Plant Acct P16(REG)'!J402</f>
        <v>0</v>
      </c>
      <c r="K403" s="13"/>
      <c r="L403" s="14">
        <f>+'KY_Res by Plant Acct P16(REG)'!L402</f>
        <v>0</v>
      </c>
      <c r="M403" s="13"/>
      <c r="N403" s="14">
        <f>+'KY_Res by Plant Acct P16(REG)'!N402</f>
        <v>0</v>
      </c>
      <c r="O403" s="13"/>
      <c r="P403" s="14">
        <f>+'KY_Res by Plant Acct P16(REG)'!P402</f>
        <v>0</v>
      </c>
      <c r="Q403" s="13"/>
      <c r="R403" s="14">
        <f t="shared" si="19"/>
        <v>-1675386.24</v>
      </c>
    </row>
    <row r="404" spans="1:18" outlineLevel="1" x14ac:dyDescent="0.2">
      <c r="A404" s="3" t="s">
        <v>4008</v>
      </c>
      <c r="B404" s="14">
        <f>+'KY_Res by Plant Acct P16(REG)'!B403</f>
        <v>-948861.84000000008</v>
      </c>
      <c r="C404" s="13"/>
      <c r="D404" s="14">
        <f>+'KY_Res by Plant Acct P16(REG)'!D403</f>
        <v>-11439.09</v>
      </c>
      <c r="E404" s="13"/>
      <c r="F404" s="14">
        <f>+'KY_Res by Plant Acct P16(REG)'!F403</f>
        <v>71014.84</v>
      </c>
      <c r="G404" s="13"/>
      <c r="H404" s="14">
        <f>+'KY_Res by Plant Acct P16(REG)'!H403</f>
        <v>0</v>
      </c>
      <c r="I404" s="13"/>
      <c r="J404" s="14">
        <f>+'KY_Res by Plant Acct P16(REG)'!J403</f>
        <v>0</v>
      </c>
      <c r="K404" s="13"/>
      <c r="L404" s="14">
        <f>+'KY_Res by Plant Acct P16(REG)'!L403</f>
        <v>0</v>
      </c>
      <c r="M404" s="13"/>
      <c r="N404" s="14">
        <f>+'KY_Res by Plant Acct P16(REG)'!N403</f>
        <v>0</v>
      </c>
      <c r="O404" s="13"/>
      <c r="P404" s="14">
        <f>+'KY_Res by Plant Acct P16(REG)'!P403</f>
        <v>0</v>
      </c>
      <c r="Q404" s="13"/>
      <c r="R404" s="14">
        <f t="shared" si="19"/>
        <v>-889286.09000000008</v>
      </c>
    </row>
    <row r="405" spans="1:18" outlineLevel="1" x14ac:dyDescent="0.2">
      <c r="A405" s="3" t="s">
        <v>3813</v>
      </c>
      <c r="B405" s="14">
        <f>+'KY_Res by Plant Acct P16(REG)'!B404</f>
        <v>-1449503.3499999996</v>
      </c>
      <c r="C405" s="13"/>
      <c r="D405" s="14">
        <f>+'KY_Res by Plant Acct P16(REG)'!D404</f>
        <v>-8859.7199999999993</v>
      </c>
      <c r="E405" s="13"/>
      <c r="F405" s="14">
        <f>+'KY_Res by Plant Acct P16(REG)'!F404</f>
        <v>0</v>
      </c>
      <c r="G405" s="13"/>
      <c r="H405" s="14">
        <f>+'KY_Res by Plant Acct P16(REG)'!H404</f>
        <v>0</v>
      </c>
      <c r="I405" s="13"/>
      <c r="J405" s="14">
        <f>+'KY_Res by Plant Acct P16(REG)'!J404</f>
        <v>0</v>
      </c>
      <c r="K405" s="13"/>
      <c r="L405" s="14">
        <f>+'KY_Res by Plant Acct P16(REG)'!L404</f>
        <v>0</v>
      </c>
      <c r="M405" s="13"/>
      <c r="N405" s="14">
        <f>+'KY_Res by Plant Acct P16(REG)'!N404</f>
        <v>0</v>
      </c>
      <c r="O405" s="13"/>
      <c r="P405" s="14">
        <f>+'KY_Res by Plant Acct P16(REG)'!P404</f>
        <v>0</v>
      </c>
      <c r="Q405" s="13"/>
      <c r="R405" s="14">
        <f t="shared" si="19"/>
        <v>-1458363.0699999996</v>
      </c>
    </row>
    <row r="406" spans="1:18" outlineLevel="1" x14ac:dyDescent="0.2">
      <c r="A406" s="3" t="s">
        <v>3814</v>
      </c>
      <c r="B406" s="14">
        <f>+'KY_Res by Plant Acct P16(REG)'!B405</f>
        <v>-2664247.0500000007</v>
      </c>
      <c r="C406" s="13"/>
      <c r="D406" s="14">
        <f>+'KY_Res by Plant Acct P16(REG)'!D405</f>
        <v>-33673.56</v>
      </c>
      <c r="E406" s="13"/>
      <c r="F406" s="14">
        <f>+'KY_Res by Plant Acct P16(REG)'!F405</f>
        <v>24620.01</v>
      </c>
      <c r="G406" s="13"/>
      <c r="H406" s="14">
        <f>+'KY_Res by Plant Acct P16(REG)'!H405</f>
        <v>0</v>
      </c>
      <c r="I406" s="13"/>
      <c r="J406" s="14">
        <f>+'KY_Res by Plant Acct P16(REG)'!J405</f>
        <v>0</v>
      </c>
      <c r="K406" s="13"/>
      <c r="L406" s="14">
        <f>+'KY_Res by Plant Acct P16(REG)'!L405</f>
        <v>0</v>
      </c>
      <c r="M406" s="13"/>
      <c r="N406" s="14">
        <f>+'KY_Res by Plant Acct P16(REG)'!N405</f>
        <v>0</v>
      </c>
      <c r="O406" s="13"/>
      <c r="P406" s="14">
        <f>+'KY_Res by Plant Acct P16(REG)'!P405</f>
        <v>0</v>
      </c>
      <c r="Q406" s="13"/>
      <c r="R406" s="14">
        <f t="shared" si="19"/>
        <v>-2673300.600000001</v>
      </c>
    </row>
    <row r="407" spans="1:18" outlineLevel="1" x14ac:dyDescent="0.2">
      <c r="A407" s="73" t="s">
        <v>3815</v>
      </c>
      <c r="B407" s="14">
        <f>+'KY_Res by Plant Acct P16(REG)'!B406</f>
        <v>-7108.36</v>
      </c>
      <c r="C407" s="13"/>
      <c r="D407" s="14">
        <f>+'KY_Res by Plant Acct P16(REG)'!D406</f>
        <v>-8744.2800000000007</v>
      </c>
      <c r="E407" s="13"/>
      <c r="F407" s="14">
        <f>+'KY_Res by Plant Acct P16(REG)'!F406</f>
        <v>0</v>
      </c>
      <c r="G407" s="13"/>
      <c r="H407" s="14">
        <f>+'KY_Res by Plant Acct P16(REG)'!H406</f>
        <v>0</v>
      </c>
      <c r="I407" s="13"/>
      <c r="J407" s="14">
        <f>+'KY_Res by Plant Acct P16(REG)'!J406</f>
        <v>0</v>
      </c>
      <c r="K407" s="13"/>
      <c r="L407" s="14">
        <f>+'KY_Res by Plant Acct P16(REG)'!L406</f>
        <v>0</v>
      </c>
      <c r="M407" s="13"/>
      <c r="N407" s="14">
        <f>+'KY_Res by Plant Acct P16(REG)'!N406</f>
        <v>0</v>
      </c>
      <c r="O407" s="13"/>
      <c r="P407" s="14">
        <f>+'KY_Res by Plant Acct P16(REG)'!P406</f>
        <v>0</v>
      </c>
      <c r="Q407" s="13"/>
      <c r="R407" s="14">
        <f t="shared" si="19"/>
        <v>-15852.64</v>
      </c>
    </row>
    <row r="408" spans="1:18" outlineLevel="1" x14ac:dyDescent="0.2">
      <c r="A408" s="3" t="s">
        <v>3816</v>
      </c>
      <c r="B408" s="14">
        <f>+'KY_Res by Plant Acct P16(REG)'!B407</f>
        <v>-3568708.8199999989</v>
      </c>
      <c r="C408" s="13"/>
      <c r="D408" s="14">
        <f>+'KY_Res by Plant Acct P16(REG)'!D407</f>
        <v>-243109.22</v>
      </c>
      <c r="E408" s="13"/>
      <c r="F408" s="14">
        <f>+'KY_Res by Plant Acct P16(REG)'!F407</f>
        <v>106432.85</v>
      </c>
      <c r="G408" s="13"/>
      <c r="H408" s="14">
        <f>+'KY_Res by Plant Acct P16(REG)'!H407</f>
        <v>0</v>
      </c>
      <c r="I408" s="13"/>
      <c r="J408" s="14">
        <f>+'KY_Res by Plant Acct P16(REG)'!J407</f>
        <v>0</v>
      </c>
      <c r="K408" s="13"/>
      <c r="L408" s="14">
        <f>+'KY_Res by Plant Acct P16(REG)'!L407</f>
        <v>0</v>
      </c>
      <c r="M408" s="13"/>
      <c r="N408" s="14">
        <f>+'KY_Res by Plant Acct P16(REG)'!N407</f>
        <v>0</v>
      </c>
      <c r="O408" s="13"/>
      <c r="P408" s="14">
        <f>+'KY_Res by Plant Acct P16(REG)'!P407</f>
        <v>0</v>
      </c>
      <c r="Q408" s="13"/>
      <c r="R408" s="14">
        <f t="shared" si="19"/>
        <v>-3705385.189999999</v>
      </c>
    </row>
    <row r="409" spans="1:18" outlineLevel="1" x14ac:dyDescent="0.2">
      <c r="A409" s="3" t="s">
        <v>4009</v>
      </c>
      <c r="B409" s="14">
        <f>+'KY_Res by Plant Acct P16(REG)'!B408</f>
        <v>-57147.330000000009</v>
      </c>
      <c r="C409" s="13"/>
      <c r="D409" s="14">
        <f>+'KY_Res by Plant Acct P16(REG)'!D408</f>
        <v>0</v>
      </c>
      <c r="E409" s="13"/>
      <c r="F409" s="14">
        <f>+'KY_Res by Plant Acct P16(REG)'!F408</f>
        <v>0</v>
      </c>
      <c r="G409" s="13"/>
      <c r="H409" s="14">
        <f>+'KY_Res by Plant Acct P16(REG)'!H408</f>
        <v>0</v>
      </c>
      <c r="I409" s="13"/>
      <c r="J409" s="14">
        <f>+'KY_Res by Plant Acct P16(REG)'!J408</f>
        <v>0</v>
      </c>
      <c r="K409" s="13"/>
      <c r="L409" s="14">
        <f>+'KY_Res by Plant Acct P16(REG)'!L408</f>
        <v>0</v>
      </c>
      <c r="M409" s="13"/>
      <c r="N409" s="14">
        <f>+'KY_Res by Plant Acct P16(REG)'!N408</f>
        <v>0</v>
      </c>
      <c r="O409" s="13"/>
      <c r="P409" s="14">
        <f>+'KY_Res by Plant Acct P16(REG)'!P408</f>
        <v>0</v>
      </c>
      <c r="Q409" s="13"/>
      <c r="R409" s="14">
        <f t="shared" si="19"/>
        <v>-57147.330000000009</v>
      </c>
    </row>
    <row r="410" spans="1:18" outlineLevel="1" x14ac:dyDescent="0.2">
      <c r="A410" s="3" t="s">
        <v>3818</v>
      </c>
      <c r="B410" s="14">
        <f>+'KY_Res by Plant Acct P16(REG)'!B409</f>
        <v>12426.699999999983</v>
      </c>
      <c r="C410" s="13"/>
      <c r="D410" s="14">
        <f>+'KY_Res by Plant Acct P16(REG)'!D409</f>
        <v>0</v>
      </c>
      <c r="E410" s="13"/>
      <c r="F410" s="14">
        <f>+'KY_Res by Plant Acct P16(REG)'!F409</f>
        <v>0</v>
      </c>
      <c r="G410" s="13"/>
      <c r="H410" s="14">
        <f>+'KY_Res by Plant Acct P16(REG)'!H409</f>
        <v>0</v>
      </c>
      <c r="I410" s="13"/>
      <c r="J410" s="14">
        <f>+'KY_Res by Plant Acct P16(REG)'!J409</f>
        <v>0</v>
      </c>
      <c r="K410" s="13"/>
      <c r="L410" s="14">
        <f>+'KY_Res by Plant Acct P16(REG)'!L409</f>
        <v>0</v>
      </c>
      <c r="M410" s="13"/>
      <c r="N410" s="14">
        <f>+'KY_Res by Plant Acct P16(REG)'!N409</f>
        <v>0</v>
      </c>
      <c r="O410" s="13"/>
      <c r="P410" s="14">
        <f>+'KY_Res by Plant Acct P16(REG)'!P409</f>
        <v>0</v>
      </c>
      <c r="Q410" s="13"/>
      <c r="R410" s="14">
        <f t="shared" si="19"/>
        <v>12426.699999999983</v>
      </c>
    </row>
    <row r="411" spans="1:18" outlineLevel="1" x14ac:dyDescent="0.2">
      <c r="A411" s="3" t="s">
        <v>3819</v>
      </c>
      <c r="B411" s="14">
        <f>+'KY_Res by Plant Acct P16(REG)'!B410</f>
        <v>-150199.50999999978</v>
      </c>
      <c r="C411" s="13"/>
      <c r="D411" s="14">
        <f>+'KY_Res by Plant Acct P16(REG)'!D410</f>
        <v>-42999.96</v>
      </c>
      <c r="E411" s="13"/>
      <c r="F411" s="14">
        <f>+'KY_Res by Plant Acct P16(REG)'!F410</f>
        <v>12021.4</v>
      </c>
      <c r="G411" s="13"/>
      <c r="H411" s="14">
        <f>+'KY_Res by Plant Acct P16(REG)'!H410</f>
        <v>0</v>
      </c>
      <c r="I411" s="13"/>
      <c r="J411" s="14">
        <f>+'KY_Res by Plant Acct P16(REG)'!J410</f>
        <v>0</v>
      </c>
      <c r="K411" s="13"/>
      <c r="L411" s="14">
        <f>+'KY_Res by Plant Acct P16(REG)'!L410</f>
        <v>0</v>
      </c>
      <c r="M411" s="13"/>
      <c r="N411" s="14">
        <f>+'KY_Res by Plant Acct P16(REG)'!N410</f>
        <v>0</v>
      </c>
      <c r="O411" s="13"/>
      <c r="P411" s="14">
        <f>+'KY_Res by Plant Acct P16(REG)'!P410</f>
        <v>0</v>
      </c>
      <c r="Q411" s="13"/>
      <c r="R411" s="14">
        <f t="shared" si="19"/>
        <v>-181178.06999999977</v>
      </c>
    </row>
    <row r="412" spans="1:18" outlineLevel="1" x14ac:dyDescent="0.2">
      <c r="A412" s="3" t="s">
        <v>3820</v>
      </c>
      <c r="B412" s="14">
        <f>+'KY_Res by Plant Acct P16(REG)'!B411</f>
        <v>0</v>
      </c>
      <c r="C412" s="13"/>
      <c r="D412" s="14">
        <f>+'KY_Res by Plant Acct P16(REG)'!D411</f>
        <v>0</v>
      </c>
      <c r="E412" s="13"/>
      <c r="F412" s="14">
        <f>+'KY_Res by Plant Acct P16(REG)'!F411</f>
        <v>0</v>
      </c>
      <c r="G412" s="13"/>
      <c r="H412" s="14">
        <f>+'KY_Res by Plant Acct P16(REG)'!H411</f>
        <v>0</v>
      </c>
      <c r="I412" s="13"/>
      <c r="J412" s="14">
        <f>+'KY_Res by Plant Acct P16(REG)'!J411</f>
        <v>0</v>
      </c>
      <c r="K412" s="13"/>
      <c r="L412" s="14">
        <f>+'KY_Res by Plant Acct P16(REG)'!L411</f>
        <v>0</v>
      </c>
      <c r="M412" s="13"/>
      <c r="N412" s="14">
        <f>+'KY_Res by Plant Acct P16(REG)'!N411</f>
        <v>0</v>
      </c>
      <c r="O412" s="13"/>
      <c r="P412" s="14">
        <f>+'KY_Res by Plant Acct P16(REG)'!P411</f>
        <v>0</v>
      </c>
      <c r="Q412" s="13"/>
      <c r="R412" s="14">
        <f t="shared" si="19"/>
        <v>0</v>
      </c>
    </row>
    <row r="413" spans="1:18" outlineLevel="1" x14ac:dyDescent="0.2">
      <c r="A413" s="3" t="s">
        <v>3821</v>
      </c>
      <c r="B413" s="14">
        <f>+'KY_Res by Plant Acct P16(REG)'!B412</f>
        <v>0</v>
      </c>
      <c r="C413" s="13"/>
      <c r="D413" s="14">
        <f>+'KY_Res by Plant Acct P16(REG)'!D412</f>
        <v>0</v>
      </c>
      <c r="E413" s="13"/>
      <c r="F413" s="14">
        <f>+'KY_Res by Plant Acct P16(REG)'!F412</f>
        <v>0</v>
      </c>
      <c r="G413" s="13"/>
      <c r="H413" s="14">
        <f>+'KY_Res by Plant Acct P16(REG)'!H412</f>
        <v>0</v>
      </c>
      <c r="I413" s="13"/>
      <c r="J413" s="14">
        <f>+'KY_Res by Plant Acct P16(REG)'!J412</f>
        <v>0</v>
      </c>
      <c r="K413" s="13"/>
      <c r="L413" s="14">
        <f>+'KY_Res by Plant Acct P16(REG)'!L412</f>
        <v>0</v>
      </c>
      <c r="M413" s="13"/>
      <c r="N413" s="14">
        <f>+'KY_Res by Plant Acct P16(REG)'!N412</f>
        <v>0</v>
      </c>
      <c r="O413" s="13"/>
      <c r="P413" s="14">
        <f>+'KY_Res by Plant Acct P16(REG)'!P412</f>
        <v>0</v>
      </c>
      <c r="Q413" s="13"/>
      <c r="R413" s="14">
        <f t="shared" si="19"/>
        <v>0</v>
      </c>
    </row>
    <row r="414" spans="1:18" outlineLevel="1" x14ac:dyDescent="0.2">
      <c r="A414" s="3" t="s">
        <v>3822</v>
      </c>
      <c r="B414" s="14">
        <f>+'KY_Res by Plant Acct P16(REG)'!B413</f>
        <v>-901710.53999999969</v>
      </c>
      <c r="C414" s="13"/>
      <c r="D414" s="14">
        <f>+'KY_Res by Plant Acct P16(REG)'!D413</f>
        <v>-89214.17</v>
      </c>
      <c r="E414" s="13"/>
      <c r="F414" s="14">
        <f>+'KY_Res by Plant Acct P16(REG)'!F413</f>
        <v>15599.24</v>
      </c>
      <c r="G414" s="13"/>
      <c r="H414" s="14">
        <f>+'KY_Res by Plant Acct P16(REG)'!H413</f>
        <v>0</v>
      </c>
      <c r="I414" s="13"/>
      <c r="J414" s="14">
        <f>+'KY_Res by Plant Acct P16(REG)'!J413</f>
        <v>0</v>
      </c>
      <c r="K414" s="13"/>
      <c r="L414" s="14">
        <f>+'KY_Res by Plant Acct P16(REG)'!L413</f>
        <v>0</v>
      </c>
      <c r="M414" s="13"/>
      <c r="N414" s="14">
        <f>+'KY_Res by Plant Acct P16(REG)'!N413</f>
        <v>0</v>
      </c>
      <c r="O414" s="13"/>
      <c r="P414" s="14">
        <f>+'KY_Res by Plant Acct P16(REG)'!P413</f>
        <v>0</v>
      </c>
      <c r="Q414" s="13"/>
      <c r="R414" s="14">
        <f t="shared" si="19"/>
        <v>-975325.46999999974</v>
      </c>
    </row>
    <row r="415" spans="1:18" outlineLevel="1" x14ac:dyDescent="0.2">
      <c r="A415" s="43" t="s">
        <v>4010</v>
      </c>
      <c r="B415" s="14">
        <f>+'KY_Res by Plant Acct P16(REG)'!B414</f>
        <v>-721700.47</v>
      </c>
      <c r="C415" s="13"/>
      <c r="D415" s="14">
        <f>+'KY_Res by Plant Acct P16(REG)'!D414</f>
        <v>-186916.31</v>
      </c>
      <c r="E415" s="13"/>
      <c r="F415" s="14">
        <f>+'KY_Res by Plant Acct P16(REG)'!F414</f>
        <v>41155.870000000003</v>
      </c>
      <c r="G415" s="13"/>
      <c r="H415" s="14">
        <f>+'KY_Res by Plant Acct P16(REG)'!H414</f>
        <v>1591.43</v>
      </c>
      <c r="I415" s="13"/>
      <c r="J415" s="14">
        <f>+'KY_Res by Plant Acct P16(REG)'!J414</f>
        <v>0</v>
      </c>
      <c r="K415" s="13"/>
      <c r="L415" s="14">
        <f>+'KY_Res by Plant Acct P16(REG)'!L414</f>
        <v>0</v>
      </c>
      <c r="M415" s="13"/>
      <c r="N415" s="14">
        <f>+'KY_Res by Plant Acct P16(REG)'!N414</f>
        <v>0</v>
      </c>
      <c r="O415" s="13"/>
      <c r="P415" s="14">
        <f>+'KY_Res by Plant Acct P16(REG)'!P414</f>
        <v>0</v>
      </c>
      <c r="Q415" s="13"/>
      <c r="R415" s="14">
        <f t="shared" si="19"/>
        <v>-865869.48</v>
      </c>
    </row>
    <row r="416" spans="1:18" outlineLevel="1" x14ac:dyDescent="0.2">
      <c r="A416" s="3" t="s">
        <v>4011</v>
      </c>
      <c r="B416" s="14">
        <f>+'KY_Res by Plant Acct P16(REG)'!B415</f>
        <v>-7239.7099999999991</v>
      </c>
      <c r="C416" s="13"/>
      <c r="D416" s="14">
        <f>+'KY_Res by Plant Acct P16(REG)'!D415</f>
        <v>0</v>
      </c>
      <c r="E416" s="13"/>
      <c r="F416" s="14">
        <f>+'KY_Res by Plant Acct P16(REG)'!F415</f>
        <v>0</v>
      </c>
      <c r="G416" s="13"/>
      <c r="H416" s="14">
        <f>+'KY_Res by Plant Acct P16(REG)'!H415</f>
        <v>0</v>
      </c>
      <c r="I416" s="13"/>
      <c r="J416" s="14">
        <f>+'KY_Res by Plant Acct P16(REG)'!J415</f>
        <v>0</v>
      </c>
      <c r="K416" s="13"/>
      <c r="L416" s="14">
        <f>+'KY_Res by Plant Acct P16(REG)'!L415</f>
        <v>0</v>
      </c>
      <c r="M416" s="13"/>
      <c r="N416" s="14">
        <f>+'KY_Res by Plant Acct P16(REG)'!N415</f>
        <v>0</v>
      </c>
      <c r="O416" s="13"/>
      <c r="P416" s="14">
        <f>+'KY_Res by Plant Acct P16(REG)'!P415</f>
        <v>0</v>
      </c>
      <c r="Q416" s="13"/>
      <c r="R416" s="14">
        <f t="shared" si="19"/>
        <v>-7239.7099999999991</v>
      </c>
    </row>
    <row r="417" spans="1:18" outlineLevel="1" x14ac:dyDescent="0.2">
      <c r="A417" s="3" t="s">
        <v>3825</v>
      </c>
      <c r="B417" s="14">
        <f>+'KY_Res by Plant Acct P16(REG)'!B416</f>
        <v>-32006.119999999879</v>
      </c>
      <c r="C417" s="13"/>
      <c r="D417" s="14">
        <f>+'KY_Res by Plant Acct P16(REG)'!D416</f>
        <v>-10816.2</v>
      </c>
      <c r="E417" s="13"/>
      <c r="F417" s="14">
        <f>+'KY_Res by Plant Acct P16(REG)'!F416</f>
        <v>0</v>
      </c>
      <c r="G417" s="13"/>
      <c r="H417" s="14">
        <f>+'KY_Res by Plant Acct P16(REG)'!H416</f>
        <v>0</v>
      </c>
      <c r="I417" s="13"/>
      <c r="J417" s="14">
        <f>+'KY_Res by Plant Acct P16(REG)'!J416</f>
        <v>0</v>
      </c>
      <c r="K417" s="13"/>
      <c r="L417" s="14">
        <f>+'KY_Res by Plant Acct P16(REG)'!L416</f>
        <v>0</v>
      </c>
      <c r="M417" s="13"/>
      <c r="N417" s="14">
        <f>+'KY_Res by Plant Acct P16(REG)'!N416</f>
        <v>0</v>
      </c>
      <c r="O417" s="13"/>
      <c r="P417" s="14">
        <f>+'KY_Res by Plant Acct P16(REG)'!P416</f>
        <v>0</v>
      </c>
      <c r="Q417" s="13"/>
      <c r="R417" s="14">
        <f t="shared" si="19"/>
        <v>-42822.319999999876</v>
      </c>
    </row>
    <row r="418" spans="1:18" x14ac:dyDescent="0.2">
      <c r="A418" s="3" t="s">
        <v>3826</v>
      </c>
      <c r="B418" s="14">
        <f>SUM(B400:B417)</f>
        <v>-15912238.119999999</v>
      </c>
      <c r="C418" s="13"/>
      <c r="D418" s="14">
        <f>SUM(D400:D417)</f>
        <v>-787212.58999999985</v>
      </c>
      <c r="E418" s="13"/>
      <c r="F418" s="14">
        <f>SUM(F400:F417)</f>
        <v>482747.26</v>
      </c>
      <c r="G418" s="13"/>
      <c r="H418" s="14">
        <f>SUM(H400:H417)</f>
        <v>1591.43</v>
      </c>
      <c r="I418" s="13"/>
      <c r="J418" s="14">
        <f>SUM(J400:J417)</f>
        <v>0</v>
      </c>
      <c r="K418" s="13"/>
      <c r="L418" s="14">
        <f>SUM(L400:L417)</f>
        <v>10351.799999999999</v>
      </c>
      <c r="M418" s="13"/>
      <c r="N418" s="14">
        <f>SUM(N400:N417)</f>
        <v>0</v>
      </c>
      <c r="O418" s="13"/>
      <c r="P418" s="14">
        <f>SUM(P400:P417)</f>
        <v>0</v>
      </c>
      <c r="Q418" s="13"/>
      <c r="R418" s="14">
        <f>SUM(R400:R417)</f>
        <v>-16204760.220000003</v>
      </c>
    </row>
    <row r="419" spans="1:18" x14ac:dyDescent="0.2">
      <c r="A419" s="3" t="s">
        <v>3827</v>
      </c>
      <c r="B419" s="17">
        <f>+'KY_Res by Plant Acct P16(REG)'!B418</f>
        <v>-54584155.829999998</v>
      </c>
      <c r="C419" s="92"/>
      <c r="D419" s="17">
        <f>+'KY_Res by Plant Acct P16(REG)'!D418</f>
        <v>-28713553.02</v>
      </c>
      <c r="E419" s="92"/>
      <c r="F419" s="17">
        <f>+'KY_Res by Plant Acct P16(REG)'!F418</f>
        <v>2172751.56</v>
      </c>
      <c r="G419" s="92"/>
      <c r="H419" s="17">
        <f>+'KY_Res by Plant Acct P16(REG)'!H418</f>
        <v>78309009.340000004</v>
      </c>
      <c r="I419" s="92"/>
      <c r="J419" s="17">
        <f>+'KY_Res by Plant Acct P16(REG)'!J418</f>
        <v>0</v>
      </c>
      <c r="K419" s="92"/>
      <c r="L419" s="17">
        <f>+'KY_Res by Plant Acct P16(REG)'!L418</f>
        <v>0</v>
      </c>
      <c r="M419" s="92"/>
      <c r="N419" s="17">
        <f>+'KY_Res by Plant Acct P16(REG)'!N418</f>
        <v>0</v>
      </c>
      <c r="O419" s="92"/>
      <c r="P419" s="17">
        <f>+'KY_Res by Plant Acct P16(REG)'!P418</f>
        <v>0</v>
      </c>
      <c r="Q419" s="92"/>
      <c r="R419" s="17">
        <f>SUM(B419:P419)</f>
        <v>-2815947.9499999881</v>
      </c>
    </row>
    <row r="420" spans="1:18" x14ac:dyDescent="0.2">
      <c r="A420" s="43" t="s">
        <v>3828</v>
      </c>
      <c r="B420" s="16">
        <f>+'KY_Res by Plant Acct P16(REG)'!B419</f>
        <v>0</v>
      </c>
      <c r="C420" s="13"/>
      <c r="D420" s="16">
        <f>+'KY_Res by Plant Acct P16(REG)'!D419</f>
        <v>-12231901.439999999</v>
      </c>
      <c r="E420" s="13"/>
      <c r="F420" s="16">
        <f>+'KY_Res by Plant Acct P16(REG)'!F419</f>
        <v>0</v>
      </c>
      <c r="G420" s="13"/>
      <c r="H420" s="16">
        <f>+'KY_Res by Plant Acct P16(REG)'!H419</f>
        <v>-78309009.340000004</v>
      </c>
      <c r="I420" s="13"/>
      <c r="J420" s="16">
        <f>+'KY_Res by Plant Acct P16(REG)'!J419</f>
        <v>0</v>
      </c>
      <c r="K420" s="13"/>
      <c r="L420" s="16">
        <f>+'KY_Res by Plant Acct P16(REG)'!L419</f>
        <v>0</v>
      </c>
      <c r="M420" s="13"/>
      <c r="N420" s="16">
        <f>+'KY_Res by Plant Acct P16(REG)'!N419</f>
        <v>0</v>
      </c>
      <c r="O420" s="13"/>
      <c r="P420" s="16">
        <f>+'KY_Res by Plant Acct P16(REG)'!P419</f>
        <v>0</v>
      </c>
      <c r="Q420" s="13"/>
      <c r="R420" s="16">
        <f>SUM(B420:P420)</f>
        <v>-90540910.780000001</v>
      </c>
    </row>
    <row r="421" spans="1:18" x14ac:dyDescent="0.2">
      <c r="A421" s="3" t="s">
        <v>3829</v>
      </c>
      <c r="B421" s="17">
        <f>B419+B418+B389+B353+B352+B336+B325+B273+B264+B230+B399+B420</f>
        <v>-1529668971.73</v>
      </c>
      <c r="C421" s="13"/>
      <c r="D421" s="17">
        <f>D419+D418+D389+D353+D352+D336+D325+D273+D264+D230+D399+D420</f>
        <v>-157734489.57999998</v>
      </c>
      <c r="E421" s="13"/>
      <c r="F421" s="17">
        <f>F419+F418+F389+F353+F352+F336+F325+F273+F264+F230+F399+F420</f>
        <v>14899041.710000001</v>
      </c>
      <c r="G421" s="13"/>
      <c r="H421" s="17">
        <f>H419+H418+H389+H353+H352+H336+H325+H273+H264+H230+H399+H420</f>
        <v>0</v>
      </c>
      <c r="I421" s="13"/>
      <c r="J421" s="17">
        <f>J419+J418+J389+J353+J352+J336+J325+J273+J264+J230+J399+J420</f>
        <v>0</v>
      </c>
      <c r="K421" s="13"/>
      <c r="L421" s="17">
        <f>L419+L418+L389+L353+L352+L336+L325+L273+L264+L230+L399+L420</f>
        <v>4793895.3099999996</v>
      </c>
      <c r="M421" s="17">
        <f>M419+M418+M389+M353+M352+M336+M325+M273+M264+M230</f>
        <v>0</v>
      </c>
      <c r="N421" s="17">
        <f>N419+N418+N389+N353+N352+N336+N325+N273+N264+N230+N399+N420</f>
        <v>-184614.87</v>
      </c>
      <c r="O421" s="17">
        <f>O419+O418+O389+O353+O352+O336+O325+O273+O264+O230</f>
        <v>0</v>
      </c>
      <c r="P421" s="17">
        <f>P419+P418+P389+P353+P352+P336+P325+P273+P264+P230+P399+P420</f>
        <v>-16019.469999999998</v>
      </c>
      <c r="Q421" s="13"/>
      <c r="R421" s="17">
        <f>R419+R418+R389+R353+R352+R336+R325+R273+R264+R230+R399+R420</f>
        <v>-1667911158.6300001</v>
      </c>
    </row>
    <row r="422" spans="1:18" x14ac:dyDescent="0.2">
      <c r="C422" s="13"/>
      <c r="E422" s="13"/>
      <c r="G422" s="13"/>
      <c r="I422" s="13"/>
      <c r="K422" s="13"/>
      <c r="M422" s="13"/>
      <c r="O422" s="13"/>
      <c r="Q422" s="13"/>
    </row>
    <row r="423" spans="1:18" x14ac:dyDescent="0.2">
      <c r="A423" s="12" t="s">
        <v>18</v>
      </c>
      <c r="C423" s="13"/>
      <c r="E423" s="13"/>
      <c r="G423" s="13"/>
      <c r="I423" s="13"/>
      <c r="K423" s="13"/>
      <c r="M423" s="13"/>
      <c r="O423" s="13"/>
      <c r="Q423" s="13"/>
    </row>
    <row r="424" spans="1:18" x14ac:dyDescent="0.2">
      <c r="A424" s="3" t="s">
        <v>4012</v>
      </c>
      <c r="B424" s="14">
        <f>+'KY_Res by Plant Acct P16(REG)'!B423+'VA_Res by Plant Acct P17(REG)'!B44+'TN_Res by Plant Acct P18(REG)'!B24</f>
        <v>-17044057.979999997</v>
      </c>
      <c r="C424" s="13"/>
      <c r="D424" s="14">
        <f>+'KY_Res by Plant Acct P16(REG)'!D423+'VA_Res by Plant Acct P17(REG)'!D44+'TN_Res by Plant Acct P18(REG)'!D24</f>
        <v>-282719.98000000004</v>
      </c>
      <c r="E424" s="13"/>
      <c r="F424" s="14">
        <f>+'KY_Res by Plant Acct P16(REG)'!F423+'VA_Res by Plant Acct P17(REG)'!F44+'TN_Res by Plant Acct P18(REG)'!F24</f>
        <v>0</v>
      </c>
      <c r="G424" s="13"/>
      <c r="H424" s="14">
        <f>+'KY_Res by Plant Acct P16(REG)'!H423+'VA_Res by Plant Acct P17(REG)'!H44+'TN_Res by Plant Acct P18(REG)'!H24</f>
        <v>0</v>
      </c>
      <c r="I424" s="13"/>
      <c r="J424" s="14">
        <f>+'KY_Res by Plant Acct P16(REG)'!J423+'VA_Res by Plant Acct P17(REG)'!J44+'TN_Res by Plant Acct P18(REG)'!J24</f>
        <v>0</v>
      </c>
      <c r="K424" s="13"/>
      <c r="L424" s="14">
        <f>+'KY_Res by Plant Acct P16(REG)'!L423+'VA_Res by Plant Acct P17(REG)'!L44+'TN_Res by Plant Acct P18(REG)'!L24</f>
        <v>0</v>
      </c>
      <c r="M424" s="13"/>
      <c r="N424" s="14">
        <f>+'KY_Res by Plant Acct P16(REG)'!N423+'VA_Res by Plant Acct P17(REG)'!N44+'TN_Res by Plant Acct P18(REG)'!N24</f>
        <v>0</v>
      </c>
      <c r="O424" s="13"/>
      <c r="P424" s="14">
        <f>+'KY_Res by Plant Acct P16(REG)'!P423+'VA_Res by Plant Acct P17(REG)'!P44+'TN_Res by Plant Acct P18(REG)'!P24</f>
        <v>0</v>
      </c>
      <c r="Q424" s="13"/>
      <c r="R424" s="14">
        <f t="shared" ref="R424:R449" si="20">SUM(B424:P424)</f>
        <v>-17326777.959999997</v>
      </c>
    </row>
    <row r="425" spans="1:18" x14ac:dyDescent="0.2">
      <c r="A425" s="3" t="s">
        <v>3831</v>
      </c>
      <c r="B425" s="14">
        <f>+'KY_Res by Plant Acct P16(REG)'!B424</f>
        <v>0</v>
      </c>
      <c r="C425" s="13"/>
      <c r="D425" s="14">
        <f>+'KY_Res by Plant Acct P16(REG)'!D424</f>
        <v>0</v>
      </c>
      <c r="E425" s="13"/>
      <c r="F425" s="14">
        <f>+'KY_Res by Plant Acct P16(REG)'!F424</f>
        <v>0</v>
      </c>
      <c r="G425" s="13"/>
      <c r="H425" s="14">
        <f>+'KY_Res by Plant Acct P16(REG)'!H424</f>
        <v>0</v>
      </c>
      <c r="I425" s="13"/>
      <c r="J425" s="14">
        <f>+'KY_Res by Plant Acct P16(REG)'!J424</f>
        <v>0</v>
      </c>
      <c r="K425" s="13"/>
      <c r="L425" s="14">
        <f>+'KY_Res by Plant Acct P16(REG)'!L424</f>
        <v>0</v>
      </c>
      <c r="M425" s="13"/>
      <c r="N425" s="14">
        <f>+'KY_Res by Plant Acct P16(REG)'!N424</f>
        <v>0</v>
      </c>
      <c r="O425" s="13"/>
      <c r="P425" s="14">
        <f>+'KY_Res by Plant Acct P16(REG)'!P424</f>
        <v>0</v>
      </c>
      <c r="Q425" s="13"/>
      <c r="R425" s="14">
        <f t="shared" si="20"/>
        <v>0</v>
      </c>
    </row>
    <row r="426" spans="1:18" x14ac:dyDescent="0.2">
      <c r="A426" s="3" t="s">
        <v>4013</v>
      </c>
      <c r="B426" s="14">
        <f>+'KY_Res by Plant Acct P16(REG)'!B425</f>
        <v>0</v>
      </c>
      <c r="C426" s="13"/>
      <c r="D426" s="14">
        <f>+'KY_Res by Plant Acct P16(REG)'!D425</f>
        <v>0</v>
      </c>
      <c r="E426" s="13"/>
      <c r="F426" s="14">
        <f>+'KY_Res by Plant Acct P16(REG)'!F425</f>
        <v>0</v>
      </c>
      <c r="G426" s="13"/>
      <c r="H426" s="14">
        <f>+'KY_Res by Plant Acct P16(REG)'!H425</f>
        <v>0</v>
      </c>
      <c r="I426" s="13"/>
      <c r="J426" s="14">
        <f>+'KY_Res by Plant Acct P16(REG)'!J425</f>
        <v>0</v>
      </c>
      <c r="K426" s="13"/>
      <c r="L426" s="14">
        <f>+'KY_Res by Plant Acct P16(REG)'!L425</f>
        <v>0</v>
      </c>
      <c r="M426" s="13"/>
      <c r="N426" s="14">
        <f>+'KY_Res by Plant Acct P16(REG)'!N425</f>
        <v>0</v>
      </c>
      <c r="O426" s="13"/>
      <c r="P426" s="14">
        <f>+'KY_Res by Plant Acct P16(REG)'!P425</f>
        <v>0</v>
      </c>
      <c r="Q426" s="13"/>
      <c r="R426" s="14">
        <f t="shared" si="20"/>
        <v>0</v>
      </c>
    </row>
    <row r="427" spans="1:18" x14ac:dyDescent="0.2">
      <c r="A427" s="3" t="s">
        <v>4014</v>
      </c>
      <c r="B427" s="14">
        <f>+'KY_Res by Plant Acct P16(REG)'!B426</f>
        <v>0</v>
      </c>
      <c r="C427" s="13"/>
      <c r="D427" s="14">
        <f>+'KY_Res by Plant Acct P16(REG)'!D426</f>
        <v>0</v>
      </c>
      <c r="E427" s="13"/>
      <c r="F427" s="14">
        <f>+'KY_Res by Plant Acct P16(REG)'!F426</f>
        <v>0</v>
      </c>
      <c r="G427" s="13"/>
      <c r="H427" s="14">
        <f>+'KY_Res by Plant Acct P16(REG)'!H426</f>
        <v>0</v>
      </c>
      <c r="I427" s="13"/>
      <c r="J427" s="14">
        <f>+'KY_Res by Plant Acct P16(REG)'!J426</f>
        <v>0</v>
      </c>
      <c r="K427" s="13"/>
      <c r="L427" s="14">
        <f>+'KY_Res by Plant Acct P16(REG)'!L426</f>
        <v>0</v>
      </c>
      <c r="M427" s="13"/>
      <c r="N427" s="14">
        <f>+'KY_Res by Plant Acct P16(REG)'!N426</f>
        <v>0</v>
      </c>
      <c r="O427" s="13"/>
      <c r="P427" s="14">
        <f>+'KY_Res by Plant Acct P16(REG)'!P426</f>
        <v>0</v>
      </c>
      <c r="Q427" s="13"/>
      <c r="R427" s="14">
        <f t="shared" si="20"/>
        <v>0</v>
      </c>
    </row>
    <row r="428" spans="1:18" x14ac:dyDescent="0.2">
      <c r="A428" s="3" t="s">
        <v>4015</v>
      </c>
      <c r="B428" s="14">
        <f>+'KY_Res by Plant Acct P16(REG)'!B427+'VA_Res by Plant Acct P17(REG)'!B45</f>
        <v>-5740066.580000001</v>
      </c>
      <c r="C428" s="13"/>
      <c r="D428" s="14">
        <f>+'KY_Res by Plant Acct P16(REG)'!D427+'VA_Res by Plant Acct P17(REG)'!D45</f>
        <v>-453147.23</v>
      </c>
      <c r="E428" s="13"/>
      <c r="F428" s="14">
        <f>+'KY_Res by Plant Acct P16(REG)'!F427+'VA_Res by Plant Acct P17(REG)'!F45</f>
        <v>164734.04999999999</v>
      </c>
      <c r="G428" s="13"/>
      <c r="H428" s="14">
        <f>+'KY_Res by Plant Acct P16(REG)'!H427+'VA_Res by Plant Acct P17(REG)'!H45</f>
        <v>3397.25</v>
      </c>
      <c r="I428" s="13"/>
      <c r="J428" s="14">
        <f>+'KY_Res by Plant Acct P16(REG)'!J427+'VA_Res by Plant Acct P17(REG)'!J45</f>
        <v>0</v>
      </c>
      <c r="K428" s="13"/>
      <c r="L428" s="14">
        <f>+'KY_Res by Plant Acct P16(REG)'!L427+'VA_Res by Plant Acct P17(REG)'!L45</f>
        <v>31447.38</v>
      </c>
      <c r="M428" s="13"/>
      <c r="N428" s="14">
        <f>+'KY_Res by Plant Acct P16(REG)'!N427+'VA_Res by Plant Acct P17(REG)'!N45</f>
        <v>-0.77</v>
      </c>
      <c r="O428" s="13"/>
      <c r="P428" s="14">
        <f>+'KY_Res by Plant Acct P16(REG)'!P427+'VA_Res by Plant Acct P17(REG)'!P45</f>
        <v>0</v>
      </c>
      <c r="Q428" s="13"/>
      <c r="R428" s="14">
        <f t="shared" si="20"/>
        <v>-5993635.9000000004</v>
      </c>
    </row>
    <row r="429" spans="1:18" x14ac:dyDescent="0.2">
      <c r="A429" s="97" t="s">
        <v>4016</v>
      </c>
      <c r="B429" s="14">
        <f>+'KY_Res by Plant Acct P16(REG)'!B428</f>
        <v>-885615.28</v>
      </c>
      <c r="C429" s="13"/>
      <c r="D429" s="14">
        <f>+'KY_Res by Plant Acct P16(REG)'!D428</f>
        <v>-21478.67</v>
      </c>
      <c r="E429" s="13"/>
      <c r="F429" s="14">
        <f>+'KY_Res by Plant Acct P16(REG)'!F428</f>
        <v>8788.85</v>
      </c>
      <c r="G429" s="13"/>
      <c r="H429" s="14">
        <f>+'KY_Res by Plant Acct P16(REG)'!H428</f>
        <v>0</v>
      </c>
      <c r="I429" s="13"/>
      <c r="J429" s="14">
        <f>+'KY_Res by Plant Acct P16(REG)'!J428</f>
        <v>0</v>
      </c>
      <c r="K429" s="13"/>
      <c r="L429" s="14">
        <f>+'KY_Res by Plant Acct P16(REG)'!L428</f>
        <v>29079.42</v>
      </c>
      <c r="M429" s="13"/>
      <c r="N429" s="14">
        <f>+'KY_Res by Plant Acct P16(REG)'!N428</f>
        <v>0</v>
      </c>
      <c r="O429" s="13"/>
      <c r="P429" s="14">
        <f>+'KY_Res by Plant Acct P16(REG)'!P428</f>
        <v>0</v>
      </c>
      <c r="Q429" s="13"/>
      <c r="R429" s="14">
        <f>+'KY_Res by Plant Acct P16(REG)'!R428</f>
        <v>-869225.68</v>
      </c>
    </row>
    <row r="430" spans="1:18" x14ac:dyDescent="0.2">
      <c r="A430" s="3" t="s">
        <v>4017</v>
      </c>
      <c r="B430" s="14">
        <f>+'KY_Res by Plant Acct P16(REG)'!B429</f>
        <v>-71970.150000000009</v>
      </c>
      <c r="C430" s="13"/>
      <c r="D430" s="14">
        <f>+'KY_Res by Plant Acct P16(REG)'!D429</f>
        <v>-3053.04</v>
      </c>
      <c r="E430" s="13"/>
      <c r="F430" s="14">
        <f>+'KY_Res by Plant Acct P16(REG)'!F429</f>
        <v>0</v>
      </c>
      <c r="G430" s="13"/>
      <c r="H430" s="14">
        <f>+'KY_Res by Plant Acct P16(REG)'!H429</f>
        <v>0</v>
      </c>
      <c r="I430" s="13"/>
      <c r="J430" s="14">
        <f>+'KY_Res by Plant Acct P16(REG)'!J429</f>
        <v>0</v>
      </c>
      <c r="K430" s="13"/>
      <c r="L430" s="14">
        <f>+'KY_Res by Plant Acct P16(REG)'!L429</f>
        <v>0</v>
      </c>
      <c r="M430" s="13"/>
      <c r="N430" s="14">
        <f>+'KY_Res by Plant Acct P16(REG)'!N429</f>
        <v>0</v>
      </c>
      <c r="O430" s="13"/>
      <c r="P430" s="14">
        <f>+'KY_Res by Plant Acct P16(REG)'!P429</f>
        <v>0</v>
      </c>
      <c r="Q430" s="13"/>
      <c r="R430" s="14">
        <f t="shared" si="20"/>
        <v>-75023.19</v>
      </c>
    </row>
    <row r="431" spans="1:18" x14ac:dyDescent="0.2">
      <c r="A431" s="3" t="s">
        <v>4018</v>
      </c>
      <c r="B431" s="14">
        <f>+'KY_Res by Plant Acct P16(REG)'!B430</f>
        <v>0</v>
      </c>
      <c r="C431" s="13"/>
      <c r="D431" s="14">
        <f>+'KY_Res by Plant Acct P16(REG)'!D430</f>
        <v>0</v>
      </c>
      <c r="E431" s="13"/>
      <c r="F431" s="14">
        <f>+'KY_Res by Plant Acct P16(REG)'!F430</f>
        <v>0</v>
      </c>
      <c r="G431" s="13"/>
      <c r="H431" s="14">
        <f>+'KY_Res by Plant Acct P16(REG)'!H430</f>
        <v>0</v>
      </c>
      <c r="I431" s="13"/>
      <c r="J431" s="14">
        <f>+'KY_Res by Plant Acct P16(REG)'!J430</f>
        <v>0</v>
      </c>
      <c r="K431" s="13"/>
      <c r="L431" s="14">
        <f>+'KY_Res by Plant Acct P16(REG)'!L430</f>
        <v>0</v>
      </c>
      <c r="M431" s="13"/>
      <c r="N431" s="14">
        <f>+'KY_Res by Plant Acct P16(REG)'!N430</f>
        <v>0</v>
      </c>
      <c r="O431" s="13"/>
      <c r="P431" s="14">
        <f>+'KY_Res by Plant Acct P16(REG)'!P430</f>
        <v>0</v>
      </c>
      <c r="Q431" s="13"/>
      <c r="R431" s="14">
        <f t="shared" si="20"/>
        <v>0</v>
      </c>
    </row>
    <row r="432" spans="1:18" x14ac:dyDescent="0.2">
      <c r="A432" s="3" t="s">
        <v>4019</v>
      </c>
      <c r="B432" s="14">
        <f>+'KY_Res by Plant Acct P16(REG)'!B431+'VA_Res by Plant Acct P17(REG)'!B46</f>
        <v>-68270006.089999974</v>
      </c>
      <c r="C432" s="13"/>
      <c r="D432" s="14">
        <f>+'KY_Res by Plant Acct P16(REG)'!D431+'VA_Res by Plant Acct P17(REG)'!D46</f>
        <v>-4453646.1900000004</v>
      </c>
      <c r="E432" s="13"/>
      <c r="F432" s="14">
        <f>+'KY_Res by Plant Acct P16(REG)'!F431+'VA_Res by Plant Acct P17(REG)'!F46</f>
        <v>2173668.85</v>
      </c>
      <c r="G432" s="13"/>
      <c r="H432" s="14">
        <f>+'KY_Res by Plant Acct P16(REG)'!H431+'VA_Res by Plant Acct P17(REG)'!H46</f>
        <v>-63137.23</v>
      </c>
      <c r="I432" s="13"/>
      <c r="J432" s="14">
        <f>+'KY_Res by Plant Acct P16(REG)'!J431+'VA_Res by Plant Acct P17(REG)'!J46</f>
        <v>0</v>
      </c>
      <c r="K432" s="13"/>
      <c r="L432" s="14">
        <f>+'KY_Res by Plant Acct P16(REG)'!L431+'VA_Res by Plant Acct P17(REG)'!L46</f>
        <v>329138.02</v>
      </c>
      <c r="M432" s="13"/>
      <c r="N432" s="14">
        <f>+'KY_Res by Plant Acct P16(REG)'!N431+'VA_Res by Plant Acct P17(REG)'!N46</f>
        <v>-1119063.8600000001</v>
      </c>
      <c r="O432" s="13"/>
      <c r="P432" s="14">
        <f>+'KY_Res by Plant Acct P16(REG)'!P431+'VA_Res by Plant Acct P17(REG)'!P46</f>
        <v>-663.78</v>
      </c>
      <c r="Q432" s="13"/>
      <c r="R432" s="14">
        <f t="shared" si="20"/>
        <v>-71403710.279999986</v>
      </c>
    </row>
    <row r="433" spans="1:18" x14ac:dyDescent="0.2">
      <c r="A433" s="3" t="s">
        <v>3839</v>
      </c>
      <c r="B433" s="14">
        <f>+'KY_Res by Plant Acct P16(REG)'!B432</f>
        <v>-1.1641532182693481E-10</v>
      </c>
      <c r="C433" s="13"/>
      <c r="D433" s="14">
        <f>+'KY_Res by Plant Acct P16(REG)'!D432</f>
        <v>0</v>
      </c>
      <c r="E433" s="13"/>
      <c r="F433" s="14">
        <f>+'KY_Res by Plant Acct P16(REG)'!F432</f>
        <v>0</v>
      </c>
      <c r="G433" s="13"/>
      <c r="H433" s="14">
        <f>+'KY_Res by Plant Acct P16(REG)'!H432</f>
        <v>0</v>
      </c>
      <c r="I433" s="13"/>
      <c r="J433" s="14">
        <f>+'KY_Res by Plant Acct P16(REG)'!J432</f>
        <v>0</v>
      </c>
      <c r="K433" s="13"/>
      <c r="L433" s="14">
        <f>+'KY_Res by Plant Acct P16(REG)'!L432</f>
        <v>0</v>
      </c>
      <c r="M433" s="13"/>
      <c r="N433" s="14">
        <f>+'KY_Res by Plant Acct P16(REG)'!N432</f>
        <v>0</v>
      </c>
      <c r="O433" s="13"/>
      <c r="P433" s="14">
        <f>+'KY_Res by Plant Acct P16(REG)'!P432</f>
        <v>0</v>
      </c>
      <c r="Q433" s="13"/>
      <c r="R433" s="14">
        <f t="shared" si="20"/>
        <v>-1.1641532182693481E-10</v>
      </c>
    </row>
    <row r="434" spans="1:18" x14ac:dyDescent="0.2">
      <c r="A434" s="3" t="s">
        <v>3840</v>
      </c>
      <c r="B434" s="14">
        <f>+'KY_Res by Plant Acct P16(REG)'!B433</f>
        <v>-9724329.3300000019</v>
      </c>
      <c r="C434" s="13"/>
      <c r="D434" s="14">
        <f>+'KY_Res by Plant Acct P16(REG)'!D433</f>
        <v>0</v>
      </c>
      <c r="E434" s="13"/>
      <c r="F434" s="14">
        <f>+'KY_Res by Plant Acct P16(REG)'!F433</f>
        <v>26900.38</v>
      </c>
      <c r="G434" s="13"/>
      <c r="H434" s="14">
        <f>+'KY_Res by Plant Acct P16(REG)'!H433</f>
        <v>0</v>
      </c>
      <c r="I434" s="13"/>
      <c r="J434" s="14">
        <f>+'KY_Res by Plant Acct P16(REG)'!J433</f>
        <v>0</v>
      </c>
      <c r="K434" s="13"/>
      <c r="L434" s="14">
        <f>+'KY_Res by Plant Acct P16(REG)'!L433</f>
        <v>11256.08</v>
      </c>
      <c r="M434" s="13"/>
      <c r="N434" s="14">
        <f>+'KY_Res by Plant Acct P16(REG)'!N433</f>
        <v>-28.61</v>
      </c>
      <c r="O434" s="13"/>
      <c r="P434" s="14">
        <f>+'KY_Res by Plant Acct P16(REG)'!P433</f>
        <v>0</v>
      </c>
      <c r="Q434" s="13"/>
      <c r="R434" s="14">
        <f t="shared" si="20"/>
        <v>-9686201.4800000004</v>
      </c>
    </row>
    <row r="435" spans="1:18" outlineLevel="1" x14ac:dyDescent="0.2">
      <c r="A435" s="43" t="s">
        <v>4020</v>
      </c>
      <c r="B435" s="14">
        <f>+'KY_Res by Plant Acct P16(REG)'!B434+'VA_Res by Plant Acct P17(REG)'!B47</f>
        <v>-49143732.349999987</v>
      </c>
      <c r="C435" s="13"/>
      <c r="D435" s="14">
        <f>+'KY_Res by Plant Acct P16(REG)'!D434+'VA_Res by Plant Acct P17(REG)'!D47</f>
        <v>-1038952.5399999999</v>
      </c>
      <c r="E435" s="13"/>
      <c r="F435" s="14">
        <f>+'KY_Res by Plant Acct P16(REG)'!F434+'VA_Res by Plant Acct P17(REG)'!F47</f>
        <v>32164.05</v>
      </c>
      <c r="G435" s="13"/>
      <c r="H435" s="14">
        <f>+'KY_Res by Plant Acct P16(REG)'!H434+'VA_Res by Plant Acct P17(REG)'!H47</f>
        <v>0</v>
      </c>
      <c r="I435" s="13"/>
      <c r="J435" s="14">
        <f>+'KY_Res by Plant Acct P16(REG)'!J434+'VA_Res by Plant Acct P17(REG)'!J47</f>
        <v>0</v>
      </c>
      <c r="K435" s="13"/>
      <c r="L435" s="14">
        <f>+'KY_Res by Plant Acct P16(REG)'!L434+'VA_Res by Plant Acct P17(REG)'!L47</f>
        <v>6170.36</v>
      </c>
      <c r="M435" s="13"/>
      <c r="N435" s="14">
        <f>+'KY_Res by Plant Acct P16(REG)'!N434+'VA_Res by Plant Acct P17(REG)'!N47</f>
        <v>-54.47</v>
      </c>
      <c r="O435" s="13"/>
      <c r="P435" s="14">
        <f>+'KY_Res by Plant Acct P16(REG)'!P434+'VA_Res by Plant Acct P17(REG)'!P47</f>
        <v>0</v>
      </c>
      <c r="Q435" s="13"/>
      <c r="R435" s="14">
        <f>SUM(B435:P435)</f>
        <v>-50144404.949999988</v>
      </c>
    </row>
    <row r="436" spans="1:18" outlineLevel="1" x14ac:dyDescent="0.2">
      <c r="A436" s="43" t="s">
        <v>4021</v>
      </c>
      <c r="B436" s="14">
        <f>+'KY_Res by Plant Acct P16(REG)'!B435</f>
        <v>-3.637978807091713E-12</v>
      </c>
      <c r="C436" s="13"/>
      <c r="D436" s="14">
        <f>+'KY_Res by Plant Acct P16(REG)'!D435</f>
        <v>0</v>
      </c>
      <c r="E436" s="13"/>
      <c r="F436" s="14">
        <f>+'KY_Res by Plant Acct P16(REG)'!F435</f>
        <v>0</v>
      </c>
      <c r="G436" s="13"/>
      <c r="H436" s="14">
        <f>+'KY_Res by Plant Acct P16(REG)'!H435</f>
        <v>0</v>
      </c>
      <c r="I436" s="13"/>
      <c r="J436" s="14">
        <f>+'KY_Res by Plant Acct P16(REG)'!J435</f>
        <v>0</v>
      </c>
      <c r="K436" s="13"/>
      <c r="L436" s="14">
        <f>+'KY_Res by Plant Acct P16(REG)'!L435</f>
        <v>0</v>
      </c>
      <c r="M436" s="13"/>
      <c r="N436" s="14">
        <f>+'KY_Res by Plant Acct P16(REG)'!N435</f>
        <v>0</v>
      </c>
      <c r="O436" s="13"/>
      <c r="P436" s="14">
        <f>+'KY_Res by Plant Acct P16(REG)'!P435</f>
        <v>0</v>
      </c>
      <c r="Q436" s="13"/>
      <c r="R436" s="14">
        <f>SUM(B436:P436)</f>
        <v>-3.637978807091713E-12</v>
      </c>
    </row>
    <row r="437" spans="1:18" x14ac:dyDescent="0.2">
      <c r="A437" s="3" t="s">
        <v>4022</v>
      </c>
      <c r="B437" s="14">
        <f>SUM(B435:B436)</f>
        <v>-49143732.349999987</v>
      </c>
      <c r="C437" s="13"/>
      <c r="D437" s="14">
        <f>SUM(D435:D436)</f>
        <v>-1038952.5399999999</v>
      </c>
      <c r="E437" s="13"/>
      <c r="F437" s="14">
        <f>SUM(F435:F436)</f>
        <v>32164.05</v>
      </c>
      <c r="G437" s="13"/>
      <c r="H437" s="14">
        <f>SUM(H435:H436)</f>
        <v>0</v>
      </c>
      <c r="I437" s="13"/>
      <c r="J437" s="14">
        <f>SUM(J435:J436)</f>
        <v>0</v>
      </c>
      <c r="K437" s="13"/>
      <c r="L437" s="14">
        <f>SUM(L435:L436)</f>
        <v>6170.36</v>
      </c>
      <c r="M437" s="13"/>
      <c r="N437" s="14">
        <f>SUM(N435:N436)</f>
        <v>-54.47</v>
      </c>
      <c r="O437" s="13"/>
      <c r="P437" s="14">
        <f>SUM(P435:P436)</f>
        <v>0</v>
      </c>
      <c r="Q437" s="13"/>
      <c r="R437" s="14">
        <f>SUM(R435:R436)</f>
        <v>-50144404.949999988</v>
      </c>
    </row>
    <row r="438" spans="1:18" x14ac:dyDescent="0.2">
      <c r="A438" s="3" t="s">
        <v>4023</v>
      </c>
      <c r="B438" s="14">
        <f>+'KY_Res by Plant Acct P16(REG)'!B437</f>
        <v>0</v>
      </c>
      <c r="C438" s="13"/>
      <c r="D438" s="14">
        <f>+'KY_Res by Plant Acct P16(REG)'!D437</f>
        <v>0</v>
      </c>
      <c r="E438" s="13"/>
      <c r="F438" s="14">
        <f>+'KY_Res by Plant Acct P16(REG)'!F437</f>
        <v>0</v>
      </c>
      <c r="G438" s="13"/>
      <c r="H438" s="14">
        <f>+'KY_Res by Plant Acct P16(REG)'!H437</f>
        <v>0</v>
      </c>
      <c r="I438" s="13"/>
      <c r="J438" s="14">
        <f>+'KY_Res by Plant Acct P16(REG)'!J437</f>
        <v>0</v>
      </c>
      <c r="K438" s="13"/>
      <c r="L438" s="14">
        <f>+'KY_Res by Plant Acct P16(REG)'!L437</f>
        <v>0</v>
      </c>
      <c r="M438" s="13"/>
      <c r="N438" s="14">
        <f>+'KY_Res by Plant Acct P16(REG)'!N437</f>
        <v>0</v>
      </c>
      <c r="O438" s="13"/>
      <c r="P438" s="14">
        <f>+'KY_Res by Plant Acct P16(REG)'!P437</f>
        <v>0</v>
      </c>
      <c r="Q438" s="13"/>
      <c r="R438" s="14">
        <f t="shared" si="20"/>
        <v>0</v>
      </c>
    </row>
    <row r="439" spans="1:18" outlineLevel="1" x14ac:dyDescent="0.2">
      <c r="A439" s="43" t="s">
        <v>4024</v>
      </c>
      <c r="B439" s="14">
        <f>+'KY_Res by Plant Acct P16(REG)'!B438+'VA_Res by Plant Acct P17(REG)'!B48+'TN_Res by Plant Acct P18(REG)'!B25</f>
        <v>-72993219.859999985</v>
      </c>
      <c r="C439" s="13"/>
      <c r="D439" s="14">
        <f>+'KY_Res by Plant Acct P16(REG)'!D438+'VA_Res by Plant Acct P17(REG)'!D48+'TN_Res by Plant Acct P18(REG)'!D25</f>
        <v>-5619417.8700000001</v>
      </c>
      <c r="E439" s="13"/>
      <c r="F439" s="14">
        <f>+'KY_Res by Plant Acct P16(REG)'!F438+'VA_Res by Plant Acct P17(REG)'!F48+'TN_Res by Plant Acct P18(REG)'!F25</f>
        <v>2739978.1199999996</v>
      </c>
      <c r="G439" s="13"/>
      <c r="H439" s="14">
        <f>+'KY_Res by Plant Acct P16(REG)'!H438+'VA_Res by Plant Acct P17(REG)'!H48+'TN_Res by Plant Acct P18(REG)'!H25</f>
        <v>48618.15</v>
      </c>
      <c r="I439" s="13"/>
      <c r="J439" s="14">
        <f>+'KY_Res by Plant Acct P16(REG)'!J438+'VA_Res by Plant Acct P17(REG)'!J48+'TN_Res by Plant Acct P18(REG)'!J25</f>
        <v>0</v>
      </c>
      <c r="K439" s="13"/>
      <c r="L439" s="14">
        <f>+'KY_Res by Plant Acct P16(REG)'!L438+'VA_Res by Plant Acct P17(REG)'!L48+'TN_Res by Plant Acct P18(REG)'!L25</f>
        <v>3908536.67</v>
      </c>
      <c r="M439" s="13"/>
      <c r="N439" s="14">
        <f>+'KY_Res by Plant Acct P16(REG)'!N438+'VA_Res by Plant Acct P17(REG)'!N48+'TN_Res by Plant Acct P18(REG)'!N25</f>
        <v>-7951.56</v>
      </c>
      <c r="O439" s="13"/>
      <c r="P439" s="14">
        <f>+'KY_Res by Plant Acct P16(REG)'!P438+'VA_Res by Plant Acct P17(REG)'!P48+'TN_Res by Plant Acct P18(REG)'!P25</f>
        <v>-161859.84000000003</v>
      </c>
      <c r="Q439" s="13"/>
      <c r="R439" s="14">
        <f>SUM(B439:P439)</f>
        <v>-72085316.189999983</v>
      </c>
    </row>
    <row r="440" spans="1:18" outlineLevel="1" x14ac:dyDescent="0.2">
      <c r="A440" s="43" t="s">
        <v>4025</v>
      </c>
      <c r="B440" s="14">
        <f>+'KY_Res by Plant Acct P16(REG)'!B439</f>
        <v>0</v>
      </c>
      <c r="C440" s="13"/>
      <c r="D440" s="14">
        <f>+'KY_Res by Plant Acct P16(REG)'!D439</f>
        <v>0</v>
      </c>
      <c r="E440" s="13"/>
      <c r="F440" s="14">
        <f>+'KY_Res by Plant Acct P16(REG)'!F439</f>
        <v>0</v>
      </c>
      <c r="G440" s="13"/>
      <c r="H440" s="14">
        <f>+'KY_Res by Plant Acct P16(REG)'!H439</f>
        <v>0</v>
      </c>
      <c r="I440" s="13"/>
      <c r="J440" s="14">
        <f>+'KY_Res by Plant Acct P16(REG)'!J439</f>
        <v>0</v>
      </c>
      <c r="K440" s="13"/>
      <c r="L440" s="14">
        <f>+'KY_Res by Plant Acct P16(REG)'!L439</f>
        <v>0</v>
      </c>
      <c r="M440" s="13"/>
      <c r="N440" s="14">
        <f>+'KY_Res by Plant Acct P16(REG)'!N439</f>
        <v>0</v>
      </c>
      <c r="O440" s="13"/>
      <c r="P440" s="14">
        <f>+'KY_Res by Plant Acct P16(REG)'!P439</f>
        <v>0</v>
      </c>
      <c r="Q440" s="13"/>
      <c r="R440" s="14">
        <f>SUM(B440:P440)</f>
        <v>0</v>
      </c>
    </row>
    <row r="441" spans="1:18" x14ac:dyDescent="0.2">
      <c r="A441" s="3" t="s">
        <v>4026</v>
      </c>
      <c r="B441" s="14">
        <f>SUM(B439:B440)</f>
        <v>-72993219.859999985</v>
      </c>
      <c r="C441" s="13"/>
      <c r="D441" s="14">
        <f>SUM(D439:D440)</f>
        <v>-5619417.8700000001</v>
      </c>
      <c r="E441" s="13"/>
      <c r="F441" s="14">
        <f>SUM(F439:F440)</f>
        <v>2739978.1199999996</v>
      </c>
      <c r="G441" s="13"/>
      <c r="H441" s="14">
        <f>SUM(H439:H440)</f>
        <v>48618.15</v>
      </c>
      <c r="I441" s="13"/>
      <c r="J441" s="14">
        <f>SUM(J439:J440)</f>
        <v>0</v>
      </c>
      <c r="K441" s="13"/>
      <c r="L441" s="14">
        <f>SUM(L439:L440)</f>
        <v>3908536.67</v>
      </c>
      <c r="M441" s="13"/>
      <c r="N441" s="14">
        <f>SUM(N439:N440)</f>
        <v>-7951.56</v>
      </c>
      <c r="O441" s="13"/>
      <c r="P441" s="14">
        <f>SUM(P439:P440)</f>
        <v>-161859.84000000003</v>
      </c>
      <c r="Q441" s="13"/>
      <c r="R441" s="14">
        <f>SUM(R439:R440)</f>
        <v>-72085316.189999983</v>
      </c>
    </row>
    <row r="442" spans="1:18" x14ac:dyDescent="0.2">
      <c r="A442" s="3" t="s">
        <v>4027</v>
      </c>
      <c r="B442" s="14">
        <f>+'KY_Res by Plant Acct P16(REG)'!B441</f>
        <v>0</v>
      </c>
      <c r="C442" s="13"/>
      <c r="D442" s="14">
        <f>+'KY_Res by Plant Acct P16(REG)'!D441</f>
        <v>0</v>
      </c>
      <c r="E442" s="13"/>
      <c r="F442" s="14">
        <f>+'KY_Res by Plant Acct P16(REG)'!F441</f>
        <v>0</v>
      </c>
      <c r="G442" s="13"/>
      <c r="H442" s="14">
        <f>+'KY_Res by Plant Acct P16(REG)'!H441</f>
        <v>0</v>
      </c>
      <c r="I442" s="13"/>
      <c r="J442" s="14">
        <f>+'KY_Res by Plant Acct P16(REG)'!J441</f>
        <v>0</v>
      </c>
      <c r="K442" s="13"/>
      <c r="L442" s="14">
        <f>+'KY_Res by Plant Acct P16(REG)'!L441</f>
        <v>0</v>
      </c>
      <c r="M442" s="13"/>
      <c r="N442" s="14">
        <f>+'KY_Res by Plant Acct P16(REG)'!N441</f>
        <v>0</v>
      </c>
      <c r="O442" s="13"/>
      <c r="P442" s="14">
        <f>+'KY_Res by Plant Acct P16(REG)'!P441</f>
        <v>0</v>
      </c>
      <c r="Q442" s="13"/>
      <c r="R442" s="14">
        <f t="shared" si="20"/>
        <v>0</v>
      </c>
    </row>
    <row r="443" spans="1:18" outlineLevel="1" x14ac:dyDescent="0.2">
      <c r="A443" s="43" t="s">
        <v>4028</v>
      </c>
      <c r="B443" s="14">
        <f>+'KY_Res by Plant Acct P16(REG)'!B442+'VA_Res by Plant Acct P17(REG)'!B49+'TN_Res by Plant Acct P18(REG)'!B26</f>
        <v>-114190317.58</v>
      </c>
      <c r="C443" s="13"/>
      <c r="D443" s="14">
        <f>+'KY_Res by Plant Acct P16(REG)'!D442+'VA_Res by Plant Acct P17(REG)'!D49+'TN_Res by Plant Acct P18(REG)'!D26</f>
        <v>-3497462.45</v>
      </c>
      <c r="E443" s="13"/>
      <c r="F443" s="14">
        <f>+'KY_Res by Plant Acct P16(REG)'!F442+'VA_Res by Plant Acct P17(REG)'!F49+'TN_Res by Plant Acct P18(REG)'!F26</f>
        <v>2153781.9</v>
      </c>
      <c r="G443" s="13"/>
      <c r="H443" s="14">
        <f>+'KY_Res by Plant Acct P16(REG)'!H442+'VA_Res by Plant Acct P17(REG)'!H49+'TN_Res by Plant Acct P18(REG)'!H26</f>
        <v>0</v>
      </c>
      <c r="I443" s="13"/>
      <c r="J443" s="14">
        <f>+'KY_Res by Plant Acct P16(REG)'!J442+'VA_Res by Plant Acct P17(REG)'!J49+'TN_Res by Plant Acct P18(REG)'!J26</f>
        <v>0</v>
      </c>
      <c r="K443" s="13"/>
      <c r="L443" s="14">
        <f>+'KY_Res by Plant Acct P16(REG)'!L442+'VA_Res by Plant Acct P17(REG)'!L49+'TN_Res by Plant Acct P18(REG)'!L26</f>
        <v>2363306.04</v>
      </c>
      <c r="M443" s="13"/>
      <c r="N443" s="14">
        <f>+'KY_Res by Plant Acct P16(REG)'!N442+'VA_Res by Plant Acct P17(REG)'!N49+'TN_Res by Plant Acct P18(REG)'!N26</f>
        <v>-22817.66</v>
      </c>
      <c r="O443" s="13"/>
      <c r="P443" s="14">
        <f>+'KY_Res by Plant Acct P16(REG)'!P442+'VA_Res by Plant Acct P17(REG)'!P49+'TN_Res by Plant Acct P18(REG)'!P26</f>
        <v>-77241.170000000013</v>
      </c>
      <c r="Q443" s="13"/>
      <c r="R443" s="14">
        <f>SUM(B443:P443)</f>
        <v>-113270750.91999999</v>
      </c>
    </row>
    <row r="444" spans="1:18" outlineLevel="1" x14ac:dyDescent="0.2">
      <c r="A444" s="43" t="s">
        <v>4029</v>
      </c>
      <c r="B444" s="14">
        <f>+'KY_Res by Plant Acct P16(REG)'!B443</f>
        <v>0</v>
      </c>
      <c r="C444" s="13"/>
      <c r="D444" s="14">
        <f>+'KY_Res by Plant Acct P16(REG)'!D443</f>
        <v>0</v>
      </c>
      <c r="E444" s="13"/>
      <c r="F444" s="14">
        <f>+'KY_Res by Plant Acct P16(REG)'!F443</f>
        <v>0</v>
      </c>
      <c r="G444" s="13"/>
      <c r="H444" s="14">
        <f>+'KY_Res by Plant Acct P16(REG)'!H443</f>
        <v>0</v>
      </c>
      <c r="I444" s="13"/>
      <c r="J444" s="14">
        <f>+'KY_Res by Plant Acct P16(REG)'!J443</f>
        <v>0</v>
      </c>
      <c r="K444" s="13"/>
      <c r="L444" s="14">
        <f>+'KY_Res by Plant Acct P16(REG)'!L443</f>
        <v>0</v>
      </c>
      <c r="M444" s="13"/>
      <c r="N444" s="14">
        <f>+'KY_Res by Plant Acct P16(REG)'!N443</f>
        <v>0</v>
      </c>
      <c r="O444" s="13"/>
      <c r="P444" s="14">
        <f>+'KY_Res by Plant Acct P16(REG)'!P443</f>
        <v>0</v>
      </c>
      <c r="Q444" s="13"/>
      <c r="R444" s="14">
        <f>SUM(B444:P444)</f>
        <v>0</v>
      </c>
    </row>
    <row r="445" spans="1:18" x14ac:dyDescent="0.2">
      <c r="A445" s="3" t="s">
        <v>4030</v>
      </c>
      <c r="B445" s="14">
        <f>SUM(B443:B444)</f>
        <v>-114190317.58</v>
      </c>
      <c r="C445" s="13"/>
      <c r="D445" s="14">
        <f>SUM(D443:D444)</f>
        <v>-3497462.45</v>
      </c>
      <c r="E445" s="13"/>
      <c r="F445" s="14">
        <f>SUM(F443:F444)</f>
        <v>2153781.9</v>
      </c>
      <c r="G445" s="13"/>
      <c r="H445" s="14">
        <f>SUM(H443:H444)</f>
        <v>0</v>
      </c>
      <c r="I445" s="13"/>
      <c r="J445" s="14">
        <f>SUM(J443:J444)</f>
        <v>0</v>
      </c>
      <c r="K445" s="13"/>
      <c r="L445" s="14">
        <f>SUM(L443:L444)</f>
        <v>2363306.04</v>
      </c>
      <c r="M445" s="13"/>
      <c r="N445" s="14">
        <f>SUM(N443:N444)</f>
        <v>-22817.66</v>
      </c>
      <c r="O445" s="13"/>
      <c r="P445" s="14">
        <f>SUM(P443:P444)</f>
        <v>-77241.170000000013</v>
      </c>
      <c r="Q445" s="13"/>
      <c r="R445" s="14">
        <f>SUM(R443:R444)</f>
        <v>-113270750.91999999</v>
      </c>
    </row>
    <row r="446" spans="1:18" x14ac:dyDescent="0.2">
      <c r="A446" s="3" t="s">
        <v>4031</v>
      </c>
      <c r="B446" s="14">
        <f>+'KY_Res by Plant Acct P16(REG)'!B445+'VA_Res by Plant Acct P17(REG)'!B50</f>
        <v>-229645.78999999998</v>
      </c>
      <c r="C446" s="13"/>
      <c r="D446" s="14">
        <f>+'KY_Res by Plant Acct P16(REG)'!D445+'VA_Res by Plant Acct P17(REG)'!D50</f>
        <v>-10186.799999999999</v>
      </c>
      <c r="E446" s="13"/>
      <c r="F446" s="14">
        <f>+'KY_Res by Plant Acct P16(REG)'!F445+'VA_Res by Plant Acct P17(REG)'!F50</f>
        <v>0</v>
      </c>
      <c r="G446" s="13"/>
      <c r="H446" s="14">
        <f>+'KY_Res by Plant Acct P16(REG)'!H445+'VA_Res by Plant Acct P17(REG)'!H50</f>
        <v>0</v>
      </c>
      <c r="I446" s="13"/>
      <c r="J446" s="14">
        <f>+'KY_Res by Plant Acct P16(REG)'!J445+'VA_Res by Plant Acct P17(REG)'!J50</f>
        <v>0</v>
      </c>
      <c r="K446" s="13"/>
      <c r="L446" s="14">
        <f>+'KY_Res by Plant Acct P16(REG)'!L445+'VA_Res by Plant Acct P17(REG)'!L50</f>
        <v>0</v>
      </c>
      <c r="M446" s="13"/>
      <c r="N446" s="14">
        <f>+'KY_Res by Plant Acct P16(REG)'!N445+'VA_Res by Plant Acct P17(REG)'!N50</f>
        <v>0</v>
      </c>
      <c r="O446" s="13"/>
      <c r="P446" s="14">
        <f>+'KY_Res by Plant Acct P16(REG)'!P445+'VA_Res by Plant Acct P17(REG)'!P50</f>
        <v>0</v>
      </c>
      <c r="Q446" s="13"/>
      <c r="R446" s="14">
        <f t="shared" si="20"/>
        <v>-239832.58999999997</v>
      </c>
    </row>
    <row r="447" spans="1:18" x14ac:dyDescent="0.2">
      <c r="A447" s="3" t="s">
        <v>4032</v>
      </c>
      <c r="B447" s="14">
        <f>+'KY_Res by Plant Acct P16(REG)'!B446+'VA_Res by Plant Acct P17(REG)'!B51</f>
        <v>-966622.64</v>
      </c>
      <c r="C447" s="13"/>
      <c r="D447" s="14">
        <f>+'KY_Res by Plant Acct P16(REG)'!D446+'VA_Res by Plant Acct P17(REG)'!D51</f>
        <v>-11242.38</v>
      </c>
      <c r="E447" s="13"/>
      <c r="F447" s="14">
        <f>+'KY_Res by Plant Acct P16(REG)'!F446+'VA_Res by Plant Acct P17(REG)'!F51</f>
        <v>2412.09</v>
      </c>
      <c r="G447" s="13"/>
      <c r="H447" s="14">
        <f>+'KY_Res by Plant Acct P16(REG)'!H446+'VA_Res by Plant Acct P17(REG)'!H51</f>
        <v>13306</v>
      </c>
      <c r="I447" s="13"/>
      <c r="J447" s="14">
        <f>+'KY_Res by Plant Acct P16(REG)'!J446+'VA_Res by Plant Acct P17(REG)'!J51</f>
        <v>0</v>
      </c>
      <c r="K447" s="13"/>
      <c r="L447" s="14">
        <f>+'KY_Res by Plant Acct P16(REG)'!L446+'VA_Res by Plant Acct P17(REG)'!L51</f>
        <v>389.69</v>
      </c>
      <c r="M447" s="13"/>
      <c r="N447" s="14">
        <f>+'KY_Res by Plant Acct P16(REG)'!N446+'VA_Res by Plant Acct P17(REG)'!N51</f>
        <v>0</v>
      </c>
      <c r="O447" s="13"/>
      <c r="P447" s="14">
        <f>+'KY_Res by Plant Acct P16(REG)'!P446+'VA_Res by Plant Acct P17(REG)'!P51</f>
        <v>0</v>
      </c>
      <c r="Q447" s="13"/>
      <c r="R447" s="14">
        <f t="shared" si="20"/>
        <v>-961757.24000000011</v>
      </c>
    </row>
    <row r="448" spans="1:18" x14ac:dyDescent="0.2">
      <c r="A448" s="3" t="s">
        <v>3854</v>
      </c>
      <c r="B448" s="14">
        <f>+'KY_Res by Plant Acct P16(REG)'!B447</f>
        <v>-4256.04</v>
      </c>
      <c r="C448" s="13"/>
      <c r="D448" s="14">
        <f>+'KY_Res by Plant Acct P16(REG)'!D447</f>
        <v>-638.05999999999995</v>
      </c>
      <c r="E448" s="13"/>
      <c r="F448" s="14">
        <f>+'KY_Res by Plant Acct P16(REG)'!F447</f>
        <v>0</v>
      </c>
      <c r="G448" s="13"/>
      <c r="H448" s="14">
        <f>+'KY_Res by Plant Acct P16(REG)'!H447</f>
        <v>0</v>
      </c>
      <c r="I448" s="13"/>
      <c r="J448" s="14">
        <f>+'KY_Res by Plant Acct P16(REG)'!J447</f>
        <v>0</v>
      </c>
      <c r="K448" s="13"/>
      <c r="L448" s="14">
        <f>+'KY_Res by Plant Acct P16(REG)'!L447</f>
        <v>0</v>
      </c>
      <c r="M448" s="13"/>
      <c r="N448" s="14">
        <f>+'KY_Res by Plant Acct P16(REG)'!N447</f>
        <v>0</v>
      </c>
      <c r="O448" s="13"/>
      <c r="P448" s="14">
        <f>+'KY_Res by Plant Acct P16(REG)'!P447</f>
        <v>0</v>
      </c>
      <c r="Q448" s="13"/>
      <c r="R448" s="14">
        <f t="shared" si="20"/>
        <v>-4894.1000000000004</v>
      </c>
    </row>
    <row r="449" spans="1:18" x14ac:dyDescent="0.2">
      <c r="A449" s="3" t="s">
        <v>3855</v>
      </c>
      <c r="B449" s="16">
        <f>+'KY_Res by Plant Acct P16(REG)'!B448</f>
        <v>-39445.07</v>
      </c>
      <c r="C449" s="13"/>
      <c r="D449" s="16">
        <f>+'KY_Res by Plant Acct P16(REG)'!D448</f>
        <v>-9364.94</v>
      </c>
      <c r="E449" s="13"/>
      <c r="F449" s="16">
        <f>+'KY_Res by Plant Acct P16(REG)'!F448</f>
        <v>0</v>
      </c>
      <c r="G449" s="13"/>
      <c r="H449" s="16">
        <f>+'KY_Res by Plant Acct P16(REG)'!H448</f>
        <v>0</v>
      </c>
      <c r="I449" s="13"/>
      <c r="J449" s="16">
        <f>+'KY_Res by Plant Acct P16(REG)'!J448</f>
        <v>0</v>
      </c>
      <c r="K449" s="13"/>
      <c r="L449" s="16">
        <f>+'KY_Res by Plant Acct P16(REG)'!L448</f>
        <v>0</v>
      </c>
      <c r="M449" s="13"/>
      <c r="N449" s="16">
        <f>+'KY_Res by Plant Acct P16(REG)'!N448</f>
        <v>0</v>
      </c>
      <c r="O449" s="13"/>
      <c r="P449" s="16">
        <f>+'KY_Res by Plant Acct P16(REG)'!P448</f>
        <v>0</v>
      </c>
      <c r="Q449" s="13"/>
      <c r="R449" s="16">
        <f t="shared" si="20"/>
        <v>-48810.01</v>
      </c>
    </row>
    <row r="450" spans="1:18" x14ac:dyDescent="0.2">
      <c r="A450" s="3" t="s">
        <v>3856</v>
      </c>
      <c r="B450" s="17">
        <f>SUM(B424:B434)+SUM(B437:B438)+SUM(B441:B442)+SUM(B445:B449)</f>
        <v>-339303284.73999995</v>
      </c>
      <c r="C450" s="13"/>
      <c r="D450" s="17">
        <f>SUM(D424:D434)+SUM(D437:D438)+SUM(D441:D442)+SUM(D445:D449)</f>
        <v>-15401310.149999999</v>
      </c>
      <c r="E450" s="13"/>
      <c r="F450" s="17">
        <f>SUM(F424:F434)+SUM(F437:F438)+SUM(F441:F442)+SUM(F445:F449)</f>
        <v>7302428.2899999991</v>
      </c>
      <c r="G450" s="13"/>
      <c r="H450" s="17">
        <f>SUM(H424:H434)+SUM(H437:H438)+SUM(H441:H442)+SUM(H445:H449)</f>
        <v>2184.1699999999983</v>
      </c>
      <c r="I450" s="13"/>
      <c r="J450" s="17">
        <f>SUM(J424:J434)+SUM(J437:J438)+SUM(J441:J442)+SUM(J445:J449)</f>
        <v>0</v>
      </c>
      <c r="K450" s="13"/>
      <c r="L450" s="17">
        <f>SUM(L424:L434)+SUM(L437:L438)+SUM(L441:L442)+SUM(L445:L449)</f>
        <v>6679323.6600000001</v>
      </c>
      <c r="M450" s="13"/>
      <c r="N450" s="17">
        <f>SUM(N424:N434)+SUM(N437:N438)+SUM(N441:N442)+SUM(N445:N449)</f>
        <v>-1149916.9300000002</v>
      </c>
      <c r="O450" s="13"/>
      <c r="P450" s="17">
        <f>SUM(P424:P434)+SUM(P437:P438)+SUM(P441:P442)+SUM(P445:P449)</f>
        <v>-239764.79000000004</v>
      </c>
      <c r="Q450" s="13"/>
      <c r="R450" s="17">
        <f>SUM(R424:R434)+SUM(R437:R438)+SUM(R441:R442)+SUM(R445:R449)</f>
        <v>-342110340.49000001</v>
      </c>
    </row>
    <row r="451" spans="1:18" x14ac:dyDescent="0.2">
      <c r="C451" s="13"/>
      <c r="E451" s="13"/>
      <c r="G451" s="13"/>
      <c r="I451" s="13"/>
      <c r="J451" s="17"/>
      <c r="K451" s="13"/>
      <c r="M451" s="13"/>
      <c r="O451" s="13"/>
      <c r="Q451" s="13"/>
    </row>
    <row r="452" spans="1:18" x14ac:dyDescent="0.2">
      <c r="C452" s="13"/>
      <c r="E452" s="13"/>
      <c r="G452" s="13"/>
      <c r="I452" s="13"/>
      <c r="K452" s="13"/>
      <c r="M452" s="13"/>
      <c r="O452" s="13"/>
      <c r="Q452" s="13"/>
    </row>
    <row r="453" spans="1:18" ht="13.5" thickBot="1" x14ac:dyDescent="0.25">
      <c r="A453" s="12" t="s">
        <v>3857</v>
      </c>
      <c r="B453" s="78">
        <f>B450+B421+B219+B93+B82+B33</f>
        <v>-2832060049.8600001</v>
      </c>
      <c r="C453" s="13"/>
      <c r="D453" s="78">
        <f>D450+D421+D219+D93+D82+D33</f>
        <v>-265002392.38</v>
      </c>
      <c r="E453" s="13"/>
      <c r="F453" s="78">
        <f>F450+F421+F219+F93+F82+F33</f>
        <v>55096012.150000006</v>
      </c>
      <c r="G453" s="13"/>
      <c r="H453" s="78">
        <f>H450+H421+H219+H93+H82+H33</f>
        <v>-413976.73000000179</v>
      </c>
      <c r="I453" s="13"/>
      <c r="J453" s="78">
        <f>J450+J421+J219+J93+J82+J33</f>
        <v>0</v>
      </c>
      <c r="K453" s="13"/>
      <c r="L453" s="78">
        <f>L450+L421+L219+L93+L82+L33</f>
        <v>17893169.34</v>
      </c>
      <c r="M453" s="13"/>
      <c r="N453" s="78">
        <f>N450+N421+N219+N93+N82+N33</f>
        <v>-1592793.9700000002</v>
      </c>
      <c r="O453" s="13"/>
      <c r="P453" s="78">
        <f>P450+P421+P219+P93+P82+P33</f>
        <v>-697001.66000000015</v>
      </c>
      <c r="Q453" s="13"/>
      <c r="R453" s="78">
        <f>R450+R421+R219+R93+R82+R33</f>
        <v>-3026777033.1100006</v>
      </c>
    </row>
    <row r="454" spans="1:18" ht="13.5" thickTop="1" x14ac:dyDescent="0.2">
      <c r="C454" s="13"/>
      <c r="E454" s="13"/>
      <c r="G454" s="13"/>
      <c r="I454" s="13"/>
      <c r="K454" s="13"/>
      <c r="M454" s="13"/>
      <c r="O454" s="13"/>
      <c r="Q454" s="13"/>
    </row>
    <row r="455" spans="1:18" x14ac:dyDescent="0.2">
      <c r="C455" s="13"/>
      <c r="E455" s="13"/>
      <c r="G455" s="13"/>
      <c r="I455" s="13"/>
      <c r="K455" s="13"/>
      <c r="M455" s="13"/>
      <c r="O455" s="13"/>
      <c r="Q455" s="13"/>
    </row>
    <row r="456" spans="1:18" x14ac:dyDescent="0.2">
      <c r="A456" s="12" t="s">
        <v>15</v>
      </c>
      <c r="C456" s="13"/>
      <c r="E456" s="13"/>
      <c r="G456" s="13"/>
      <c r="I456" s="13"/>
      <c r="K456" s="13"/>
      <c r="M456" s="13"/>
      <c r="O456" s="13"/>
      <c r="Q456" s="13"/>
    </row>
    <row r="457" spans="1:18" x14ac:dyDescent="0.2">
      <c r="A457" s="3" t="s">
        <v>4033</v>
      </c>
      <c r="B457" s="14">
        <f>+'KY_Res by Plant Acct P16(REG)'!B456</f>
        <v>0</v>
      </c>
      <c r="C457" s="13"/>
      <c r="D457" s="14">
        <f>+'KY_Res by Plant Acct P16(REG)'!D456</f>
        <v>0</v>
      </c>
      <c r="E457" s="13"/>
      <c r="F457" s="14">
        <f>+'KY_Res by Plant Acct P16(REG)'!F456</f>
        <v>0</v>
      </c>
      <c r="G457" s="13"/>
      <c r="H457" s="14">
        <f>+'KY_Res by Plant Acct P16(REG)'!H456</f>
        <v>0</v>
      </c>
      <c r="I457" s="13"/>
      <c r="J457" s="14">
        <f>+'KY_Res by Plant Acct P16(REG)'!J456</f>
        <v>0</v>
      </c>
      <c r="K457" s="13"/>
      <c r="L457" s="14">
        <f>+'KY_Res by Plant Acct P16(REG)'!L456</f>
        <v>0</v>
      </c>
      <c r="M457" s="13"/>
      <c r="N457" s="14">
        <f>+'KY_Res by Plant Acct P16(REG)'!N456</f>
        <v>0</v>
      </c>
      <c r="O457" s="13"/>
      <c r="P457" s="14">
        <f>+'KY_Res by Plant Acct P16(REG)'!P456</f>
        <v>0</v>
      </c>
      <c r="Q457" s="13"/>
      <c r="R457" s="14">
        <f>SUM(B457:P457)</f>
        <v>0</v>
      </c>
    </row>
    <row r="458" spans="1:18" x14ac:dyDescent="0.2">
      <c r="A458" s="3" t="s">
        <v>3859</v>
      </c>
      <c r="B458" s="14">
        <f>+'KY_Res by Plant Acct P16(REG)'!B457</f>
        <v>-66039.23</v>
      </c>
      <c r="C458" s="13"/>
      <c r="D458" s="14">
        <f>+'KY_Res by Plant Acct P16(REG)'!D457</f>
        <v>-10501.56</v>
      </c>
      <c r="E458" s="13"/>
      <c r="F458" s="14">
        <f>+'KY_Res by Plant Acct P16(REG)'!F457</f>
        <v>0</v>
      </c>
      <c r="G458" s="13"/>
      <c r="H458" s="14">
        <f>+'KY_Res by Plant Acct P16(REG)'!H457</f>
        <v>0</v>
      </c>
      <c r="I458" s="13"/>
      <c r="J458" s="14">
        <f>+'KY_Res by Plant Acct P16(REG)'!J457</f>
        <v>0</v>
      </c>
      <c r="K458" s="13"/>
      <c r="L458" s="14">
        <f>+'KY_Res by Plant Acct P16(REG)'!L457</f>
        <v>0</v>
      </c>
      <c r="M458" s="13"/>
      <c r="N458" s="14">
        <f>+'KY_Res by Plant Acct P16(REG)'!N457</f>
        <v>0</v>
      </c>
      <c r="O458" s="13"/>
      <c r="P458" s="14">
        <f>+'KY_Res by Plant Acct P16(REG)'!P457</f>
        <v>0</v>
      </c>
      <c r="Q458" s="13"/>
      <c r="R458" s="14">
        <f>SUM(B458:P458)</f>
        <v>-76540.789999999994</v>
      </c>
    </row>
    <row r="459" spans="1:18" x14ac:dyDescent="0.2">
      <c r="A459" s="3" t="s">
        <v>3860</v>
      </c>
      <c r="B459" s="14">
        <f>+'KY_Res by Plant Acct P16(REG)'!B458</f>
        <v>13461</v>
      </c>
      <c r="C459" s="13"/>
      <c r="D459" s="14">
        <f>+'KY_Res by Plant Acct P16(REG)'!D458</f>
        <v>0</v>
      </c>
      <c r="E459" s="13"/>
      <c r="F459" s="14">
        <f>+'KY_Res by Plant Acct P16(REG)'!F458</f>
        <v>0</v>
      </c>
      <c r="G459" s="13"/>
      <c r="H459" s="14">
        <f>+'KY_Res by Plant Acct P16(REG)'!H458</f>
        <v>0</v>
      </c>
      <c r="I459" s="13"/>
      <c r="J459" s="14">
        <f>+'KY_Res by Plant Acct P16(REG)'!J458</f>
        <v>0</v>
      </c>
      <c r="K459" s="13"/>
      <c r="L459" s="14">
        <f>+'KY_Res by Plant Acct P16(REG)'!L458</f>
        <v>0</v>
      </c>
      <c r="M459" s="13"/>
      <c r="N459" s="14">
        <f>+'KY_Res by Plant Acct P16(REG)'!N458</f>
        <v>0</v>
      </c>
      <c r="O459" s="13"/>
      <c r="P459" s="14">
        <f>+'KY_Res by Plant Acct P16(REG)'!P458</f>
        <v>0</v>
      </c>
      <c r="Q459" s="13"/>
      <c r="R459" s="14">
        <f>SUM(B459:P459)</f>
        <v>13461</v>
      </c>
    </row>
    <row r="460" spans="1:18" x14ac:dyDescent="0.2">
      <c r="A460" s="3" t="s">
        <v>3861</v>
      </c>
      <c r="B460" s="17">
        <f>+'KY_Res by Plant Acct P16(REG)'!B459</f>
        <v>-17788070.079999998</v>
      </c>
      <c r="C460" s="92"/>
      <c r="D460" s="17">
        <f>+'KY_Res by Plant Acct P16(REG)'!D459</f>
        <v>-7874395.7400000002</v>
      </c>
      <c r="E460" s="92"/>
      <c r="F460" s="17">
        <f>+'KY_Res by Plant Acct P16(REG)'!F459</f>
        <v>5795318.9000000004</v>
      </c>
      <c r="G460" s="92"/>
      <c r="H460" s="17">
        <f>+'KY_Res by Plant Acct P16(REG)'!H459</f>
        <v>0</v>
      </c>
      <c r="I460" s="92"/>
      <c r="J460" s="17">
        <f>+'KY_Res by Plant Acct P16(REG)'!J459</f>
        <v>0</v>
      </c>
      <c r="K460" s="92"/>
      <c r="L460" s="17">
        <f>+'KY_Res by Plant Acct P16(REG)'!L459</f>
        <v>0</v>
      </c>
      <c r="M460" s="92"/>
      <c r="N460" s="17">
        <f>+'KY_Res by Plant Acct P16(REG)'!N459</f>
        <v>0</v>
      </c>
      <c r="O460" s="92"/>
      <c r="P460" s="17">
        <f>+'KY_Res by Plant Acct P16(REG)'!P459</f>
        <v>0</v>
      </c>
      <c r="Q460" s="92"/>
      <c r="R460" s="17">
        <f>SUM(B460:P460)</f>
        <v>-19867146.920000002</v>
      </c>
    </row>
    <row r="461" spans="1:18" x14ac:dyDescent="0.2">
      <c r="A461" s="3" t="s">
        <v>3862</v>
      </c>
      <c r="B461" s="16">
        <f>+'KY_Res by Plant Acct P16(REG)'!B460</f>
        <v>-26586875.009999998</v>
      </c>
      <c r="C461" s="13"/>
      <c r="D461" s="16">
        <f>+'KY_Res by Plant Acct P16(REG)'!D460</f>
        <v>-4079922.12</v>
      </c>
      <c r="E461" s="13"/>
      <c r="F461" s="16">
        <f>+'KY_Res by Plant Acct P16(REG)'!F460</f>
        <v>0</v>
      </c>
      <c r="G461" s="13"/>
      <c r="H461" s="16">
        <f>+'KY_Res by Plant Acct P16(REG)'!H460</f>
        <v>0</v>
      </c>
      <c r="I461" s="13"/>
      <c r="J461" s="16">
        <f>+'KY_Res by Plant Acct P16(REG)'!J460</f>
        <v>0</v>
      </c>
      <c r="K461" s="13"/>
      <c r="L461" s="16">
        <f>+'KY_Res by Plant Acct P16(REG)'!L460</f>
        <v>0</v>
      </c>
      <c r="M461" s="13"/>
      <c r="N461" s="16">
        <f>+'KY_Res by Plant Acct P16(REG)'!N460</f>
        <v>0</v>
      </c>
      <c r="O461" s="13"/>
      <c r="P461" s="16">
        <f>+'KY_Res by Plant Acct P16(REG)'!P460</f>
        <v>0</v>
      </c>
      <c r="Q461" s="13"/>
      <c r="R461" s="16">
        <f>SUM(B461:P461)</f>
        <v>-30666797.129999999</v>
      </c>
    </row>
    <row r="462" spans="1:18" x14ac:dyDescent="0.2">
      <c r="A462" s="3" t="s">
        <v>3863</v>
      </c>
      <c r="B462" s="17">
        <f>SUM(B457:B461)</f>
        <v>-44427523.319999993</v>
      </c>
      <c r="C462" s="13"/>
      <c r="D462" s="17">
        <f>SUM(D457:D461)</f>
        <v>-11964819.42</v>
      </c>
      <c r="E462" s="13"/>
      <c r="F462" s="17">
        <f>SUM(F457:F461)</f>
        <v>5795318.9000000004</v>
      </c>
      <c r="G462" s="13"/>
      <c r="H462" s="17">
        <f>SUM(H457:H461)</f>
        <v>0</v>
      </c>
      <c r="I462" s="13"/>
      <c r="J462" s="17">
        <f>SUM(J457:J461)</f>
        <v>0</v>
      </c>
      <c r="K462" s="13"/>
      <c r="L462" s="17">
        <f>SUM(L457:L461)</f>
        <v>0</v>
      </c>
      <c r="M462" s="13"/>
      <c r="N462" s="17">
        <f>SUM(N457:N461)</f>
        <v>0</v>
      </c>
      <c r="O462" s="13"/>
      <c r="P462" s="17">
        <f>SUM(P457:P461)</f>
        <v>0</v>
      </c>
      <c r="Q462" s="13"/>
      <c r="R462" s="17">
        <f>SUM(R457:R461)</f>
        <v>-50597023.840000004</v>
      </c>
    </row>
    <row r="463" spans="1:18" x14ac:dyDescent="0.2">
      <c r="C463" s="13"/>
      <c r="E463" s="13"/>
      <c r="G463" s="13"/>
      <c r="I463" s="13"/>
      <c r="K463" s="13"/>
      <c r="M463" s="13"/>
      <c r="O463" s="13"/>
      <c r="Q463" s="13"/>
    </row>
    <row r="464" spans="1:18" x14ac:dyDescent="0.2">
      <c r="C464" s="13"/>
      <c r="E464" s="13"/>
      <c r="G464" s="13"/>
      <c r="I464" s="13"/>
      <c r="K464" s="13"/>
      <c r="M464" s="13"/>
      <c r="O464" s="13"/>
      <c r="Q464" s="13"/>
    </row>
    <row r="465" spans="1:18" ht="13.5" thickBot="1" x14ac:dyDescent="0.25">
      <c r="A465" s="12" t="s">
        <v>3864</v>
      </c>
      <c r="B465" s="78">
        <f>B462</f>
        <v>-44427523.319999993</v>
      </c>
      <c r="C465" s="13"/>
      <c r="D465" s="78">
        <f>D462</f>
        <v>-11964819.42</v>
      </c>
      <c r="E465" s="13"/>
      <c r="F465" s="78">
        <f>F462</f>
        <v>5795318.9000000004</v>
      </c>
      <c r="G465" s="13"/>
      <c r="H465" s="78">
        <f>H462</f>
        <v>0</v>
      </c>
      <c r="I465" s="13"/>
      <c r="J465" s="78">
        <f>J462</f>
        <v>0</v>
      </c>
      <c r="K465" s="13"/>
      <c r="L465" s="78">
        <f>L462</f>
        <v>0</v>
      </c>
      <c r="M465" s="13"/>
      <c r="N465" s="78">
        <f>N462</f>
        <v>0</v>
      </c>
      <c r="O465" s="13"/>
      <c r="P465" s="78">
        <f>P462</f>
        <v>0</v>
      </c>
      <c r="Q465" s="13"/>
      <c r="R465" s="78">
        <f>R462</f>
        <v>-50597023.840000004</v>
      </c>
    </row>
    <row r="466" spans="1:18" ht="13.5" thickTop="1" x14ac:dyDescent="0.2"/>
  </sheetData>
  <mergeCells count="3">
    <mergeCell ref="A1:R1"/>
    <mergeCell ref="A2:R2"/>
    <mergeCell ref="A3:R3"/>
  </mergeCells>
  <printOptions horizontalCentered="1"/>
  <pageMargins left="0.75" right="0.75" top="1" bottom="1" header="0.5" footer="0.5"/>
  <pageSetup scale="67" fitToHeight="0" orientation="landscape" r:id="rId1"/>
  <headerFooter alignWithMargins="0">
    <oddFooter>&amp;R&amp;"Times New Roman,Bold"&amp;12Case No. 2018-00295
Attachment 6 to Response to US DOD-2 Question No. 7   
Page &amp;P of &amp;N
Garrett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1"/>
  <sheetViews>
    <sheetView zoomScaleNormal="100" workbookViewId="0">
      <selection sqref="A1:R1"/>
    </sheetView>
  </sheetViews>
  <sheetFormatPr defaultRowHeight="12.75" x14ac:dyDescent="0.2"/>
  <cols>
    <col min="1" max="2" width="9.140625" style="3"/>
    <col min="3" max="3" width="14" style="3" bestFit="1" customWidth="1"/>
    <col min="4" max="4" width="2.140625" style="3" customWidth="1"/>
    <col min="5" max="5" width="9.85546875" style="3" bestFit="1" customWidth="1"/>
    <col min="6" max="6" width="1.5703125" style="3" customWidth="1"/>
    <col min="7" max="7" width="13.140625" style="3" bestFit="1" customWidth="1"/>
    <col min="8" max="8" width="2.140625" style="3" customWidth="1"/>
    <col min="9" max="9" width="13.28515625" style="3" bestFit="1" customWidth="1"/>
    <col min="10" max="10" width="1.42578125" style="3" customWidth="1"/>
    <col min="11" max="11" width="12.85546875" style="3" bestFit="1" customWidth="1"/>
    <col min="12" max="12" width="1.7109375" style="3" customWidth="1"/>
    <col min="13" max="13" width="14.5703125" style="3" bestFit="1" customWidth="1"/>
    <col min="14" max="14" width="1.85546875" style="3" customWidth="1"/>
    <col min="15" max="15" width="17" style="3" bestFit="1" customWidth="1"/>
    <col min="16" max="16" width="1.7109375" style="3" customWidth="1"/>
    <col min="17" max="17" width="13.5703125" style="3" bestFit="1" customWidth="1"/>
    <col min="18" max="18" width="1.28515625" style="3" customWidth="1"/>
    <col min="19" max="19" width="14.140625" style="3" bestFit="1" customWidth="1"/>
    <col min="20" max="20" width="2.140625" style="3" customWidth="1"/>
    <col min="21" max="21" width="14" style="3" bestFit="1" customWidth="1"/>
    <col min="22" max="22" width="11.28515625" style="3" bestFit="1" customWidth="1"/>
    <col min="23" max="23" width="18.5703125" style="3" bestFit="1" customWidth="1"/>
    <col min="24" max="16384" width="9.140625" style="3"/>
  </cols>
  <sheetData>
    <row r="1" spans="1:22" x14ac:dyDescent="0.2">
      <c r="A1" s="142" t="s">
        <v>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</row>
    <row r="2" spans="1:22" x14ac:dyDescent="0.2">
      <c r="A2" s="142" t="s">
        <v>60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</row>
    <row r="3" spans="1:22" x14ac:dyDescent="0.2">
      <c r="A3" s="144" t="str">
        <f>'KU_Summary - Cost - P1 (REG)'!A3:N3</f>
        <v>DECEMBER 2016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</row>
    <row r="4" spans="1:22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2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spans="1:22" x14ac:dyDescent="0.2">
      <c r="C6" s="25" t="s">
        <v>2</v>
      </c>
      <c r="E6" s="19"/>
      <c r="G6" s="19"/>
      <c r="I6" s="25" t="s">
        <v>3</v>
      </c>
      <c r="J6" s="25"/>
      <c r="K6" s="25" t="s">
        <v>37</v>
      </c>
      <c r="M6" s="25" t="s">
        <v>38</v>
      </c>
      <c r="O6" s="25"/>
      <c r="Q6" s="25"/>
      <c r="S6" s="25"/>
      <c r="U6" s="25" t="s">
        <v>4</v>
      </c>
    </row>
    <row r="7" spans="1:22" x14ac:dyDescent="0.2">
      <c r="C7" s="10" t="s">
        <v>5</v>
      </c>
      <c r="E7" s="10" t="s">
        <v>39</v>
      </c>
      <c r="G7" s="10" t="s">
        <v>7</v>
      </c>
      <c r="I7" s="10" t="s">
        <v>8</v>
      </c>
      <c r="J7" s="11"/>
      <c r="K7" s="10" t="s">
        <v>40</v>
      </c>
      <c r="M7" s="10" t="s">
        <v>41</v>
      </c>
      <c r="O7" s="10" t="s">
        <v>42</v>
      </c>
      <c r="Q7" s="10" t="s">
        <v>43</v>
      </c>
      <c r="S7" s="10" t="s">
        <v>44</v>
      </c>
      <c r="U7" s="10" t="s">
        <v>5</v>
      </c>
    </row>
    <row r="9" spans="1:22" ht="13.5" customHeight="1" x14ac:dyDescent="0.2">
      <c r="A9" s="12" t="s">
        <v>54</v>
      </c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</row>
    <row r="10" spans="1:22" x14ac:dyDescent="0.2">
      <c r="B10" s="3" t="s">
        <v>11</v>
      </c>
      <c r="C10" s="19">
        <f>'KU_Summary - Reserve - P2 (REG)'!C60</f>
        <v>26635584.070000019</v>
      </c>
      <c r="D10" s="19"/>
      <c r="E10" s="19">
        <v>0</v>
      </c>
      <c r="F10" s="19"/>
      <c r="G10" s="19">
        <v>0</v>
      </c>
      <c r="H10" s="19"/>
      <c r="I10" s="19">
        <f>'KU_Summary - Reserve - P2 (REG)'!I60</f>
        <v>16751.28</v>
      </c>
      <c r="J10" s="19"/>
      <c r="K10" s="19">
        <f>'KU_Summary - Reserve - P2 (REG)'!K60</f>
        <v>-192519.02</v>
      </c>
      <c r="L10" s="19"/>
      <c r="M10" s="19">
        <f>'KU_Summary - Reserve - P2 (REG)'!M60</f>
        <v>-15410854.689999999</v>
      </c>
      <c r="N10" s="19"/>
      <c r="O10" s="19">
        <f>'KU_Summary - Reserve - P2 (REG)'!O60</f>
        <v>17191464.199999999</v>
      </c>
      <c r="P10" s="19"/>
      <c r="Q10" s="19">
        <f>'KU_Summary - Reserve - P2 (REG)'!Q60</f>
        <v>-1582878.48</v>
      </c>
      <c r="R10" s="19"/>
      <c r="S10" s="19">
        <f>'KU_Summary - Reserve - P2 (REG)'!S60</f>
        <v>-481302.58999999997</v>
      </c>
      <c r="T10" s="19"/>
      <c r="U10" s="19">
        <f>S10+Q10+O10+M10+I10+G10+E10+C10+K10</f>
        <v>26176244.770000018</v>
      </c>
      <c r="V10" s="34"/>
    </row>
    <row r="11" spans="1:22" x14ac:dyDescent="0.2">
      <c r="B11" s="20"/>
      <c r="C11" s="31">
        <f>SUM(C10:C10)</f>
        <v>26635584.070000019</v>
      </c>
      <c r="D11" s="19"/>
      <c r="E11" s="31">
        <f>SUM(E10:E10)</f>
        <v>0</v>
      </c>
      <c r="F11" s="19"/>
      <c r="G11" s="31">
        <f>SUM(G10:G10)</f>
        <v>0</v>
      </c>
      <c r="H11" s="19"/>
      <c r="I11" s="31">
        <f>SUM(I10:I10)</f>
        <v>16751.28</v>
      </c>
      <c r="J11" s="26"/>
      <c r="K11" s="31">
        <f>SUM(K10:K10)</f>
        <v>-192519.02</v>
      </c>
      <c r="L11" s="19"/>
      <c r="M11" s="31">
        <f>SUM(M10:M10)</f>
        <v>-15410854.689999999</v>
      </c>
      <c r="N11" s="19"/>
      <c r="O11" s="31">
        <f>SUM(O10:O10)</f>
        <v>17191464.199999999</v>
      </c>
      <c r="P11" s="19"/>
      <c r="Q11" s="31">
        <f>SUM(Q10:Q10)</f>
        <v>-1582878.48</v>
      </c>
      <c r="R11" s="19"/>
      <c r="S11" s="31">
        <f>SUM(S10:S10)</f>
        <v>-481302.58999999997</v>
      </c>
      <c r="T11" s="19"/>
      <c r="U11" s="31">
        <f>SUM(U10:U10)</f>
        <v>26176244.770000018</v>
      </c>
      <c r="V11" s="34"/>
    </row>
    <row r="13" spans="1:22" x14ac:dyDescent="0.2">
      <c r="A13" s="12" t="s">
        <v>61</v>
      </c>
    </row>
    <row r="14" spans="1:22" x14ac:dyDescent="0.2">
      <c r="B14" s="3" t="s">
        <v>11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>
        <f>S14+Q14+O14+M14+I14+G14+E14+C14+K14</f>
        <v>0</v>
      </c>
      <c r="V14" s="34"/>
    </row>
    <row r="15" spans="1:22" x14ac:dyDescent="0.2">
      <c r="B15" s="20"/>
      <c r="C15" s="31">
        <f>SUM(C14:C14)</f>
        <v>0</v>
      </c>
      <c r="D15" s="19"/>
      <c r="E15" s="31">
        <f>SUM(E14:E14)</f>
        <v>0</v>
      </c>
      <c r="F15" s="19"/>
      <c r="G15" s="31">
        <f>SUM(G14:G14)</f>
        <v>0</v>
      </c>
      <c r="H15" s="19"/>
      <c r="I15" s="31">
        <f>SUM(I14:I14)</f>
        <v>0</v>
      </c>
      <c r="J15" s="26"/>
      <c r="K15" s="31">
        <f>SUM(K14:K14)</f>
        <v>0</v>
      </c>
      <c r="L15" s="19"/>
      <c r="M15" s="31">
        <f>SUM(M14:M14)</f>
        <v>0</v>
      </c>
      <c r="N15" s="19"/>
      <c r="O15" s="31">
        <f>SUM(O14:O14)</f>
        <v>0</v>
      </c>
      <c r="P15" s="19"/>
      <c r="Q15" s="31">
        <f>SUM(Q14:Q14)</f>
        <v>0</v>
      </c>
      <c r="R15" s="19"/>
      <c r="S15" s="31">
        <f>SUM(S14:S14)</f>
        <v>0</v>
      </c>
      <c r="T15" s="19"/>
      <c r="U15" s="31">
        <f>SUM(U14:U14)</f>
        <v>0</v>
      </c>
      <c r="V15" s="34"/>
    </row>
    <row r="17" spans="1:23" x14ac:dyDescent="0.2">
      <c r="A17" s="12" t="s">
        <v>62</v>
      </c>
    </row>
    <row r="18" spans="1:23" x14ac:dyDescent="0.2">
      <c r="B18" s="3" t="s">
        <v>11</v>
      </c>
      <c r="C18" s="19">
        <v>1914078.7699999998</v>
      </c>
      <c r="D18" s="19"/>
      <c r="E18" s="19">
        <v>0</v>
      </c>
      <c r="F18" s="19"/>
      <c r="G18" s="19">
        <v>0</v>
      </c>
      <c r="H18" s="19"/>
      <c r="I18" s="19">
        <v>0</v>
      </c>
      <c r="J18" s="19"/>
      <c r="K18" s="19">
        <f>-20000-172519.02</f>
        <v>-192519.02</v>
      </c>
      <c r="L18" s="19"/>
      <c r="M18" s="19">
        <v>0</v>
      </c>
      <c r="N18" s="19"/>
      <c r="O18" s="19">
        <f>92252.28+193763.8+432690.34+587177.34+756407.6+603574.46+25427.41+469670.33-4389228.46-198917.08+140644.11+194129.83+43307.96</f>
        <v>-1049100.08</v>
      </c>
      <c r="P18" s="19"/>
      <c r="Q18" s="19">
        <v>0</v>
      </c>
      <c r="R18" s="19"/>
      <c r="S18" s="19">
        <v>0</v>
      </c>
      <c r="T18" s="19"/>
      <c r="U18" s="19">
        <f>S18+Q18+O18+M18+I18+G18+E18+C18+K18</f>
        <v>672459.66999999969</v>
      </c>
      <c r="V18" s="34"/>
      <c r="W18" s="19">
        <v>0</v>
      </c>
    </row>
    <row r="19" spans="1:23" x14ac:dyDescent="0.2">
      <c r="B19" s="20"/>
      <c r="C19" s="31">
        <f>SUM(C18:C18)</f>
        <v>1914078.7699999998</v>
      </c>
      <c r="D19" s="19"/>
      <c r="E19" s="31">
        <f>SUM(E18:E18)</f>
        <v>0</v>
      </c>
      <c r="F19" s="19"/>
      <c r="G19" s="31">
        <f>SUM(G18:G18)</f>
        <v>0</v>
      </c>
      <c r="H19" s="19"/>
      <c r="I19" s="31">
        <f>SUM(I18:I18)</f>
        <v>0</v>
      </c>
      <c r="J19" s="26"/>
      <c r="K19" s="31">
        <f>SUM(K18:K18)</f>
        <v>-192519.02</v>
      </c>
      <c r="L19" s="19"/>
      <c r="M19" s="31">
        <f>SUM(M18:M18)</f>
        <v>0</v>
      </c>
      <c r="N19" s="19"/>
      <c r="O19" s="31">
        <f>SUM(O18:O18)</f>
        <v>-1049100.08</v>
      </c>
      <c r="P19" s="19"/>
      <c r="Q19" s="31">
        <f>SUM(Q18:Q18)</f>
        <v>0</v>
      </c>
      <c r="R19" s="19"/>
      <c r="S19" s="31">
        <f>SUM(S18:S18)</f>
        <v>0</v>
      </c>
      <c r="T19" s="19"/>
      <c r="U19" s="31">
        <f>SUM(U18:U18)</f>
        <v>672459.66999999969</v>
      </c>
      <c r="V19" s="34"/>
    </row>
    <row r="21" spans="1:23" x14ac:dyDescent="0.2">
      <c r="A21" s="12" t="s">
        <v>63</v>
      </c>
    </row>
    <row r="22" spans="1:23" x14ac:dyDescent="0.2">
      <c r="B22" s="3" t="s">
        <v>11</v>
      </c>
      <c r="C22" s="19">
        <v>24721505.300000004</v>
      </c>
      <c r="D22" s="19"/>
      <c r="E22" s="19">
        <v>0</v>
      </c>
      <c r="F22" s="19"/>
      <c r="G22" s="19">
        <v>0</v>
      </c>
      <c r="H22" s="19"/>
      <c r="I22" s="19">
        <f>16751.28</f>
        <v>16751.28</v>
      </c>
      <c r="J22" s="19"/>
      <c r="K22" s="19">
        <v>0</v>
      </c>
      <c r="L22" s="19"/>
      <c r="M22" s="19">
        <f>-360583.99-162.21-825425.22+143168.98-1434651.21+63716.87-505028.69+18149.98-740338.19+29177.94-1681040.35+3547.76+103618.65-2647624.58+80990.93-2933593.28+68451.16+20000-1813166.66+41253.35-2054966.5+10120.74+172519.02-986554.19+15571.26-1334963.45+1136957.19</f>
        <v>-15410854.689999999</v>
      </c>
      <c r="N22" s="19"/>
      <c r="O22" s="35">
        <f>1305444.43+2394519.46+1148032.61+2121791.97+1468863.01+1905231.09+927002.35+1825486.12+1054803.13+1513022.83+817935.1+1758432.18</f>
        <v>18240564.279999997</v>
      </c>
      <c r="P22" s="19"/>
      <c r="Q22" s="19">
        <f>-6128.5-19721.8-11438.7-10719.72-87366.3+26387.52-17954.52-25441.99-10931.31-59872.13-19436.39-1340254.64</f>
        <v>-1582878.48</v>
      </c>
      <c r="R22" s="19"/>
      <c r="S22" s="19">
        <f>-31909.72-112667.38-113874.95-40837.15-100282.18-66995.93-44899.88-159182.18+81825.03-14742.05-16919.36+139183.16</f>
        <v>-481302.58999999997</v>
      </c>
      <c r="T22" s="19"/>
      <c r="U22" s="19">
        <f>S22+Q22+O22+M22+I22+G22+E22+C22+K22</f>
        <v>25503785.100000001</v>
      </c>
      <c r="V22" s="34"/>
    </row>
    <row r="23" spans="1:23" x14ac:dyDescent="0.2">
      <c r="B23" s="20"/>
      <c r="C23" s="31">
        <f>SUM(C22:C22)</f>
        <v>24721505.300000004</v>
      </c>
      <c r="D23" s="19"/>
      <c r="E23" s="31">
        <f>SUM(E22:E22)</f>
        <v>0</v>
      </c>
      <c r="F23" s="19"/>
      <c r="G23" s="31">
        <f>SUM(G22:G22)</f>
        <v>0</v>
      </c>
      <c r="H23" s="19"/>
      <c r="I23" s="31">
        <f>SUM(I22:I22)</f>
        <v>16751.28</v>
      </c>
      <c r="J23" s="26"/>
      <c r="K23" s="31">
        <f>SUM(K22:K22)</f>
        <v>0</v>
      </c>
      <c r="L23" s="19"/>
      <c r="M23" s="31">
        <f>SUM(M22:M22)</f>
        <v>-15410854.689999999</v>
      </c>
      <c r="N23" s="19"/>
      <c r="O23" s="31">
        <f>SUM(O22:O22)</f>
        <v>18240564.279999997</v>
      </c>
      <c r="P23" s="19"/>
      <c r="Q23" s="31">
        <f>SUM(Q22:Q22)</f>
        <v>-1582878.48</v>
      </c>
      <c r="R23" s="19"/>
      <c r="S23" s="31">
        <f>SUM(S22:S22)</f>
        <v>-481302.58999999997</v>
      </c>
      <c r="T23" s="19"/>
      <c r="U23" s="31">
        <f>SUM(U22:U22)</f>
        <v>25503785.100000001</v>
      </c>
      <c r="V23" s="34"/>
      <c r="W23" s="19">
        <v>0</v>
      </c>
    </row>
    <row r="25" spans="1:23" x14ac:dyDescent="0.2">
      <c r="A25" s="12" t="s">
        <v>64</v>
      </c>
    </row>
    <row r="26" spans="1:23" x14ac:dyDescent="0.2">
      <c r="B26" s="3" t="s">
        <v>11</v>
      </c>
      <c r="C26" s="19">
        <f>+C14+C18+C22</f>
        <v>26635584.070000004</v>
      </c>
      <c r="D26" s="19"/>
      <c r="E26" s="19">
        <f>+E14+E18+E22</f>
        <v>0</v>
      </c>
      <c r="F26" s="19"/>
      <c r="G26" s="19">
        <f>+G14+G18+G22</f>
        <v>0</v>
      </c>
      <c r="H26" s="19"/>
      <c r="I26" s="19">
        <f>+I14+I18+I22</f>
        <v>16751.28</v>
      </c>
      <c r="J26" s="19"/>
      <c r="K26" s="19">
        <f>+K14+K18+K22</f>
        <v>-192519.02</v>
      </c>
      <c r="L26" s="19"/>
      <c r="M26" s="19">
        <f>+M14+M18+M22</f>
        <v>-15410854.689999999</v>
      </c>
      <c r="N26" s="19"/>
      <c r="O26" s="19">
        <f>+O14+O18+O22</f>
        <v>17191464.199999996</v>
      </c>
      <c r="P26" s="19"/>
      <c r="Q26" s="19">
        <f>+Q14+Q18+Q22</f>
        <v>-1582878.48</v>
      </c>
      <c r="R26" s="19"/>
      <c r="S26" s="19">
        <f>+S14+S18+S22</f>
        <v>-481302.58999999997</v>
      </c>
      <c r="T26" s="19"/>
      <c r="U26" s="19">
        <f>S26+Q26+O26+M26+I26+G26+E26+C26+K26</f>
        <v>26176244.77</v>
      </c>
      <c r="V26" s="34"/>
    </row>
    <row r="27" spans="1:23" x14ac:dyDescent="0.2">
      <c r="B27" s="20"/>
      <c r="C27" s="31">
        <f>SUM(C26:C26)</f>
        <v>26635584.070000004</v>
      </c>
      <c r="D27" s="19"/>
      <c r="E27" s="31">
        <f>SUM(E26:E26)</f>
        <v>0</v>
      </c>
      <c r="F27" s="19"/>
      <c r="G27" s="31">
        <f>SUM(G26:G26)</f>
        <v>0</v>
      </c>
      <c r="H27" s="19"/>
      <c r="I27" s="31">
        <f>SUM(I26:I26)</f>
        <v>16751.28</v>
      </c>
      <c r="J27" s="26"/>
      <c r="K27" s="31">
        <f>SUM(K26:K26)</f>
        <v>-192519.02</v>
      </c>
      <c r="L27" s="19"/>
      <c r="M27" s="31">
        <f>SUM(M26:M26)</f>
        <v>-15410854.689999999</v>
      </c>
      <c r="N27" s="19"/>
      <c r="O27" s="31">
        <f>SUM(O26:O26)</f>
        <v>17191464.199999996</v>
      </c>
      <c r="P27" s="19"/>
      <c r="Q27" s="31">
        <f>SUM(Q26:Q26)</f>
        <v>-1582878.48</v>
      </c>
      <c r="R27" s="19"/>
      <c r="S27" s="31">
        <f>SUM(S26:S26)</f>
        <v>-481302.58999999997</v>
      </c>
      <c r="T27" s="19"/>
      <c r="U27" s="31">
        <f>SUM(U26:U26)</f>
        <v>26176244.77</v>
      </c>
      <c r="V27" s="34"/>
    </row>
    <row r="30" spans="1:23" x14ac:dyDescent="0.2">
      <c r="G30" s="3" t="s">
        <v>65</v>
      </c>
      <c r="I30" s="15">
        <f>I27-I11</f>
        <v>0</v>
      </c>
      <c r="K30" s="15">
        <f>K27-K11</f>
        <v>0</v>
      </c>
      <c r="M30" s="15">
        <f>M27-M11</f>
        <v>0</v>
      </c>
      <c r="O30" s="15">
        <f>O27-O11</f>
        <v>0</v>
      </c>
      <c r="Q30" s="15">
        <f>Q27-Q11</f>
        <v>0</v>
      </c>
      <c r="S30" s="15">
        <f>S27-S11</f>
        <v>0</v>
      </c>
      <c r="U30" s="15">
        <f>U27-U11</f>
        <v>0</v>
      </c>
    </row>
    <row r="31" spans="1:23" x14ac:dyDescent="0.2">
      <c r="I31" s="15"/>
      <c r="K31" s="15"/>
      <c r="M31" s="15"/>
      <c r="O31" s="15"/>
      <c r="Q31" s="15"/>
      <c r="S31" s="15"/>
      <c r="U31" s="15"/>
    </row>
  </sheetData>
  <mergeCells count="3">
    <mergeCell ref="A1:U1"/>
    <mergeCell ref="A2:U2"/>
    <mergeCell ref="A3:U3"/>
  </mergeCells>
  <printOptions horizontalCentered="1"/>
  <pageMargins left="0.75" right="0.75" top="1" bottom="1" header="0.5" footer="0.5"/>
  <pageSetup scale="67" orientation="landscape" r:id="rId1"/>
  <headerFooter alignWithMargins="0">
    <oddFooter>&amp;R&amp;"Times New Roman,Bold"&amp;12Case No. 2018-00295
Attachment 6 to Response to US DOD-2 Question No. 7   
Page &amp;P of &amp;N
Garrett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24"/>
  <sheetViews>
    <sheetView zoomScale="80" zoomScaleNormal="80" workbookViewId="0">
      <pane xSplit="5" ySplit="9" topLeftCell="F10" activePane="bottomRight" state="frozen"/>
      <selection sqref="A1:R1"/>
      <selection pane="topRight" sqref="A1:R1"/>
      <selection pane="bottomLeft" sqref="A1:R1"/>
      <selection pane="bottomRight" sqref="A1:R1"/>
    </sheetView>
  </sheetViews>
  <sheetFormatPr defaultRowHeight="12.75" outlineLevelRow="3" outlineLevelCol="1" x14ac:dyDescent="0.2"/>
  <cols>
    <col min="1" max="1" width="5" style="8" customWidth="1"/>
    <col min="2" max="2" width="6.85546875" style="3" customWidth="1"/>
    <col min="3" max="3" width="32.28515625" style="3" customWidth="1"/>
    <col min="4" max="4" width="20" style="3" bestFit="1" customWidth="1"/>
    <col min="5" max="5" width="1.7109375" style="3" customWidth="1"/>
    <col min="6" max="6" width="17.7109375" style="3" customWidth="1" outlineLevel="1"/>
    <col min="7" max="7" width="1.7109375" style="3" customWidth="1" outlineLevel="1"/>
    <col min="8" max="8" width="17.7109375" style="3" customWidth="1" outlineLevel="1"/>
    <col min="9" max="9" width="1.7109375" style="3" customWidth="1" outlineLevel="1"/>
    <col min="10" max="10" width="17.7109375" style="3" customWidth="1" outlineLevel="1"/>
    <col min="11" max="11" width="1.7109375" style="3" customWidth="1" outlineLevel="1"/>
    <col min="12" max="12" width="17.7109375" style="3" customWidth="1" outlineLevel="1"/>
    <col min="13" max="13" width="1.7109375" style="3" customWidth="1" outlineLevel="1"/>
    <col min="14" max="14" width="17.7109375" style="3" customWidth="1" outlineLevel="1"/>
    <col min="15" max="15" width="1.7109375" style="3" customWidth="1" outlineLevel="1"/>
    <col min="16" max="16" width="17.7109375" style="3" customWidth="1" outlineLevel="1"/>
    <col min="17" max="17" width="1.7109375" style="3" customWidth="1" outlineLevel="1"/>
    <col min="18" max="18" width="17.7109375" style="3" customWidth="1" outlineLevel="1"/>
    <col min="19" max="19" width="1.7109375" style="3" customWidth="1" outlineLevel="1"/>
    <col min="20" max="20" width="17.7109375" style="3" customWidth="1" outlineLevel="1"/>
    <col min="21" max="21" width="1.7109375" style="3" customWidth="1" outlineLevel="1"/>
    <col min="22" max="22" width="18.7109375" style="3" bestFit="1" customWidth="1"/>
    <col min="23" max="23" width="1.7109375" style="3" customWidth="1"/>
    <col min="24" max="24" width="17.7109375" style="3" customWidth="1"/>
    <col min="25" max="25" width="14.85546875" style="3" customWidth="1"/>
    <col min="26" max="26" width="15.7109375" style="3" customWidth="1"/>
    <col min="27" max="27" width="17" style="3" bestFit="1" customWidth="1"/>
    <col min="28" max="28" width="15.28515625" style="3" customWidth="1"/>
    <col min="29" max="29" width="18.7109375" style="3" bestFit="1" customWidth="1"/>
    <col min="30" max="30" width="13.28515625" style="3" customWidth="1"/>
    <col min="31" max="31" width="17.140625" style="3" bestFit="1" customWidth="1"/>
    <col min="32" max="32" width="15.7109375" style="3" customWidth="1"/>
    <col min="33" max="33" width="15.140625" style="3" bestFit="1" customWidth="1"/>
    <col min="34" max="34" width="16" style="3" customWidth="1"/>
    <col min="35" max="35" width="15.85546875" style="3" customWidth="1"/>
    <col min="36" max="36" width="17" style="3" bestFit="1" customWidth="1"/>
    <col min="37" max="37" width="14.85546875" style="3" customWidth="1"/>
    <col min="38" max="38" width="14.28515625" style="3" customWidth="1"/>
    <col min="39" max="39" width="18.140625" style="3" customWidth="1"/>
    <col min="40" max="40" width="19.7109375" style="3" customWidth="1"/>
    <col min="41" max="41" width="15.7109375" style="3" customWidth="1"/>
    <col min="42" max="43" width="15.28515625" style="3" customWidth="1"/>
    <col min="44" max="44" width="18.42578125" style="3" customWidth="1"/>
    <col min="45" max="45" width="1.7109375" style="3" customWidth="1"/>
    <col min="46" max="46" width="18.140625" style="3" customWidth="1"/>
    <col min="47" max="47" width="18.7109375" style="3" bestFit="1" customWidth="1"/>
    <col min="48" max="48" width="15.140625" style="3" bestFit="1" customWidth="1"/>
    <col min="49" max="16384" width="9.140625" style="3"/>
  </cols>
  <sheetData>
    <row r="1" spans="1:47" x14ac:dyDescent="0.2">
      <c r="A1" s="142" t="s">
        <v>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  <c r="AI1" s="142"/>
      <c r="AJ1" s="142"/>
      <c r="AK1" s="142"/>
      <c r="AL1" s="142"/>
      <c r="AM1" s="142"/>
      <c r="AN1" s="142"/>
      <c r="AO1" s="142"/>
      <c r="AP1" s="142"/>
      <c r="AQ1" s="142"/>
      <c r="AR1" s="142"/>
      <c r="AS1" s="142"/>
      <c r="AT1" s="142"/>
    </row>
    <row r="2" spans="1:47" x14ac:dyDescent="0.2">
      <c r="A2" s="142" t="s">
        <v>66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2"/>
      <c r="AM2" s="142"/>
      <c r="AN2" s="142"/>
      <c r="AO2" s="142"/>
      <c r="AP2" s="142"/>
      <c r="AQ2" s="142"/>
      <c r="AR2" s="142"/>
      <c r="AS2" s="142"/>
      <c r="AT2" s="142"/>
    </row>
    <row r="3" spans="1:47" x14ac:dyDescent="0.2">
      <c r="A3" s="143" t="s">
        <v>4034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3"/>
      <c r="AF3" s="143"/>
      <c r="AG3" s="143"/>
      <c r="AH3" s="143"/>
      <c r="AI3" s="143"/>
      <c r="AJ3" s="143"/>
      <c r="AK3" s="143"/>
      <c r="AL3" s="143"/>
      <c r="AM3" s="143"/>
      <c r="AN3" s="143"/>
      <c r="AO3" s="143"/>
      <c r="AP3" s="143"/>
      <c r="AQ3" s="143"/>
      <c r="AR3" s="143"/>
      <c r="AS3" s="143"/>
      <c r="AT3" s="143"/>
    </row>
    <row r="4" spans="1:47" x14ac:dyDescent="0.2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AM4" s="19"/>
    </row>
    <row r="5" spans="1:47" x14ac:dyDescent="0.2">
      <c r="A5" s="6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</row>
    <row r="6" spans="1:47" x14ac:dyDescent="0.2">
      <c r="A6" s="6"/>
      <c r="B6" s="5"/>
      <c r="C6" s="5"/>
      <c r="E6" s="7"/>
      <c r="F6" s="7"/>
      <c r="G6" s="7"/>
      <c r="H6" s="7"/>
      <c r="I6" s="7"/>
      <c r="J6" s="25"/>
      <c r="K6" s="25"/>
      <c r="L6" s="25"/>
      <c r="M6" s="25"/>
      <c r="N6" s="25"/>
      <c r="O6" s="25"/>
      <c r="P6" s="25"/>
      <c r="Q6" s="25"/>
      <c r="R6" s="25"/>
      <c r="S6" s="25"/>
      <c r="T6" s="7"/>
      <c r="U6" s="7"/>
      <c r="AJ6" s="15"/>
    </row>
    <row r="7" spans="1:47" x14ac:dyDescent="0.2">
      <c r="D7" s="25"/>
      <c r="E7" s="9"/>
      <c r="F7" s="11"/>
      <c r="G7" s="36"/>
      <c r="H7" s="11"/>
      <c r="I7" s="36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9"/>
      <c r="V7" s="25"/>
      <c r="X7" s="145" t="s">
        <v>67</v>
      </c>
      <c r="Y7" s="145"/>
      <c r="Z7" s="145"/>
      <c r="AA7" s="145"/>
      <c r="AB7" s="145"/>
      <c r="AC7" s="146"/>
      <c r="AD7" s="146"/>
      <c r="AE7" s="146"/>
      <c r="AF7" s="146"/>
      <c r="AG7" s="146"/>
      <c r="AH7" s="146"/>
      <c r="AI7" s="146"/>
      <c r="AJ7" s="146"/>
      <c r="AK7" s="146"/>
      <c r="AL7" s="146"/>
      <c r="AM7" s="146"/>
      <c r="AN7" s="147"/>
      <c r="AO7" s="148" t="s">
        <v>68</v>
      </c>
      <c r="AP7" s="149"/>
      <c r="AQ7" s="146"/>
    </row>
    <row r="8" spans="1:47" ht="229.5" x14ac:dyDescent="0.2">
      <c r="D8" s="139" t="s">
        <v>69</v>
      </c>
      <c r="E8" s="37"/>
      <c r="F8" s="38"/>
      <c r="G8" s="37"/>
      <c r="H8" s="38"/>
      <c r="I8" s="37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7"/>
      <c r="V8" s="139" t="s">
        <v>70</v>
      </c>
      <c r="X8" s="39" t="s">
        <v>71</v>
      </c>
      <c r="Y8" s="39" t="s">
        <v>72</v>
      </c>
      <c r="Z8" s="39" t="s">
        <v>73</v>
      </c>
      <c r="AA8" s="39" t="s">
        <v>74</v>
      </c>
      <c r="AB8" s="39" t="s">
        <v>75</v>
      </c>
      <c r="AC8" s="39" t="s">
        <v>76</v>
      </c>
      <c r="AD8" s="39" t="s">
        <v>77</v>
      </c>
      <c r="AE8" s="39" t="s">
        <v>78</v>
      </c>
      <c r="AF8" s="39" t="s">
        <v>79</v>
      </c>
      <c r="AG8" s="39" t="s">
        <v>80</v>
      </c>
      <c r="AH8" s="39" t="s">
        <v>81</v>
      </c>
      <c r="AI8" s="39" t="s">
        <v>82</v>
      </c>
      <c r="AJ8" s="39" t="s">
        <v>83</v>
      </c>
      <c r="AK8" s="39" t="s">
        <v>84</v>
      </c>
      <c r="AL8" s="39" t="s">
        <v>85</v>
      </c>
      <c r="AM8" s="39" t="s">
        <v>86</v>
      </c>
      <c r="AN8" s="40" t="s">
        <v>87</v>
      </c>
      <c r="AO8" s="39" t="s">
        <v>38</v>
      </c>
      <c r="AP8" s="39" t="s">
        <v>88</v>
      </c>
      <c r="AQ8" s="39" t="s">
        <v>89</v>
      </c>
      <c r="AR8" s="140"/>
      <c r="AS8" s="41" t="s">
        <v>90</v>
      </c>
      <c r="AT8" s="41" t="s">
        <v>91</v>
      </c>
    </row>
    <row r="9" spans="1:47" x14ac:dyDescent="0.2">
      <c r="A9" s="8" t="s">
        <v>92</v>
      </c>
      <c r="D9" s="42"/>
      <c r="E9" s="9"/>
      <c r="F9" s="42"/>
      <c r="G9" s="9"/>
      <c r="H9" s="42"/>
      <c r="I9" s="9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9"/>
      <c r="V9" s="42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4"/>
      <c r="AO9" s="43"/>
      <c r="AP9" s="43"/>
    </row>
    <row r="10" spans="1:47" x14ac:dyDescent="0.2">
      <c r="B10" s="3" t="s">
        <v>93</v>
      </c>
      <c r="D10" s="42">
        <f>8760451255.84+21996159.95-175046.33</f>
        <v>8782272369.460001</v>
      </c>
      <c r="E10" s="9"/>
      <c r="F10" s="42"/>
      <c r="G10" s="9"/>
      <c r="H10" s="42"/>
      <c r="I10" s="9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9"/>
      <c r="V10" s="42">
        <v>9052944397.0599995</v>
      </c>
      <c r="W10" s="43"/>
      <c r="X10" s="15">
        <f>+X88</f>
        <v>0</v>
      </c>
      <c r="Y10" s="15">
        <f>+Y88</f>
        <v>0</v>
      </c>
      <c r="Z10" s="15"/>
      <c r="AA10" s="15"/>
      <c r="AB10" s="15"/>
      <c r="AC10" s="15">
        <f>+AC88</f>
        <v>410169249.14999998</v>
      </c>
      <c r="AD10" s="15">
        <f>+AD88</f>
        <v>0</v>
      </c>
      <c r="AE10" s="15">
        <f>+AE88-AH10-AG10</f>
        <v>-58628758.619999997</v>
      </c>
      <c r="AF10" s="15">
        <f>+AF88</f>
        <v>0</v>
      </c>
      <c r="AG10" s="15">
        <f>-'Land_Vehicle Retire P3A (REG)'!E15</f>
        <v>0</v>
      </c>
      <c r="AH10" s="15">
        <v>-2262572.4300000002</v>
      </c>
      <c r="AI10" s="15">
        <v>-78502271.849999994</v>
      </c>
      <c r="AJ10" s="15">
        <f>-AJ16</f>
        <v>0</v>
      </c>
      <c r="AK10" s="15"/>
      <c r="AL10" s="15">
        <f>+AL88</f>
        <v>0</v>
      </c>
      <c r="AM10" s="15">
        <f>+AM88-AI10-AJ10</f>
        <v>-103618.64999999106</v>
      </c>
      <c r="AN10" s="45">
        <f>+AN88</f>
        <v>0</v>
      </c>
      <c r="AO10" s="15">
        <f>+AO88</f>
        <v>0</v>
      </c>
      <c r="AP10" s="15"/>
      <c r="AQ10" s="15">
        <f>+AQ88</f>
        <v>0</v>
      </c>
      <c r="AR10" s="15"/>
      <c r="AS10" s="15">
        <f t="shared" ref="AS10:AS18" si="0">SUM(X10:AQ10)</f>
        <v>270672027.60000002</v>
      </c>
      <c r="AT10" s="15">
        <f t="shared" ref="AT10:AT18" si="1">+V10-D10-AS10</f>
        <v>-1.5497207641601563E-6</v>
      </c>
    </row>
    <row r="11" spans="1:47" x14ac:dyDescent="0.2">
      <c r="B11" s="3" t="s">
        <v>94</v>
      </c>
      <c r="D11" s="42">
        <v>971313.1</v>
      </c>
      <c r="E11" s="9"/>
      <c r="F11" s="42"/>
      <c r="G11" s="9"/>
      <c r="H11" s="42"/>
      <c r="I11" s="9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9"/>
      <c r="V11" s="42">
        <v>971313.1</v>
      </c>
      <c r="W11" s="43"/>
      <c r="X11" s="15">
        <f>+X98</f>
        <v>0</v>
      </c>
      <c r="Y11" s="15">
        <f>+Y98</f>
        <v>0</v>
      </c>
      <c r="Z11" s="15"/>
      <c r="AA11" s="15"/>
      <c r="AB11" s="15"/>
      <c r="AC11" s="15">
        <f>+AC98</f>
        <v>0</v>
      </c>
      <c r="AD11" s="15"/>
      <c r="AE11" s="15">
        <f>+AE98</f>
        <v>0</v>
      </c>
      <c r="AF11" s="15"/>
      <c r="AG11" s="15">
        <f>+AG98</f>
        <v>0</v>
      </c>
      <c r="AH11" s="15">
        <v>0</v>
      </c>
      <c r="AI11" s="15">
        <v>0</v>
      </c>
      <c r="AJ11" s="15"/>
      <c r="AK11" s="15">
        <f t="shared" ref="AK11:AQ11" si="2">+AK98</f>
        <v>0</v>
      </c>
      <c r="AL11" s="15">
        <f t="shared" si="2"/>
        <v>0</v>
      </c>
      <c r="AM11" s="15">
        <f t="shared" si="2"/>
        <v>0</v>
      </c>
      <c r="AN11" s="45">
        <f t="shared" si="2"/>
        <v>0</v>
      </c>
      <c r="AO11" s="15">
        <f t="shared" si="2"/>
        <v>0</v>
      </c>
      <c r="AP11" s="15"/>
      <c r="AQ11" s="15">
        <f t="shared" si="2"/>
        <v>0</v>
      </c>
      <c r="AR11" s="15"/>
      <c r="AS11" s="15">
        <f t="shared" si="0"/>
        <v>0</v>
      </c>
      <c r="AT11" s="15">
        <f t="shared" si="1"/>
        <v>0</v>
      </c>
    </row>
    <row r="12" spans="1:47" x14ac:dyDescent="0.2">
      <c r="B12" s="3" t="s">
        <v>95</v>
      </c>
      <c r="D12" s="42">
        <v>-2442466225.4400001</v>
      </c>
      <c r="E12" s="9"/>
      <c r="F12" s="42"/>
      <c r="G12" s="9"/>
      <c r="H12" s="42"/>
      <c r="I12" s="9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9"/>
      <c r="V12" s="42">
        <v>-2637548759.0700002</v>
      </c>
      <c r="W12" s="43"/>
      <c r="X12" s="15">
        <f>+X167</f>
        <v>-212697769.82999998</v>
      </c>
      <c r="Y12" s="15">
        <f>+Y167</f>
        <v>0</v>
      </c>
      <c r="Z12" s="15">
        <f>+Z167</f>
        <v>-41078777.000000007</v>
      </c>
      <c r="AA12" s="15">
        <f>+AA167</f>
        <v>0</v>
      </c>
      <c r="AB12" s="15"/>
      <c r="AC12" s="15">
        <f>+AC167</f>
        <v>0</v>
      </c>
      <c r="AD12" s="15"/>
      <c r="AE12" s="15">
        <f>+AE167-AH12-AG12</f>
        <v>58628758.620000005</v>
      </c>
      <c r="AF12" s="15">
        <f>+AF167</f>
        <v>0</v>
      </c>
      <c r="AG12" s="15">
        <f>-AG14</f>
        <v>0</v>
      </c>
      <c r="AH12" s="15">
        <f>-AH10</f>
        <v>2262572.4300000002</v>
      </c>
      <c r="AI12" s="15">
        <v>0</v>
      </c>
      <c r="AJ12" s="15">
        <v>0</v>
      </c>
      <c r="AK12" s="15"/>
      <c r="AL12" s="15">
        <f>+AL167</f>
        <v>0</v>
      </c>
      <c r="AM12" s="15">
        <f>+AM167-AG12</f>
        <v>-413976.73</v>
      </c>
      <c r="AN12" s="45">
        <f>+AN167</f>
        <v>-1783341.12</v>
      </c>
      <c r="AO12" s="15">
        <f>+AO167</f>
        <v>0</v>
      </c>
      <c r="AP12" s="15"/>
      <c r="AQ12" s="15">
        <f>+AQ167</f>
        <v>0</v>
      </c>
      <c r="AR12" s="15"/>
      <c r="AS12" s="15">
        <f t="shared" si="0"/>
        <v>-195082533.62999997</v>
      </c>
      <c r="AT12" s="15">
        <f t="shared" si="1"/>
        <v>0</v>
      </c>
    </row>
    <row r="13" spans="1:47" x14ac:dyDescent="0.2">
      <c r="B13" s="3" t="s">
        <v>96</v>
      </c>
      <c r="D13" s="42">
        <v>267026967.55000001</v>
      </c>
      <c r="E13" s="9"/>
      <c r="F13" s="42"/>
      <c r="G13" s="9"/>
      <c r="H13" s="42"/>
      <c r="I13" s="9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9"/>
      <c r="V13" s="42">
        <v>180793120.27000001</v>
      </c>
      <c r="W13" s="43"/>
      <c r="X13" s="15">
        <f>+X107</f>
        <v>0</v>
      </c>
      <c r="Y13" s="15">
        <f>+Y107</f>
        <v>0</v>
      </c>
      <c r="Z13" s="15"/>
      <c r="AA13" s="15"/>
      <c r="AB13" s="15"/>
      <c r="AC13" s="15">
        <f>-AC10-AC14</f>
        <v>-410270093.52999997</v>
      </c>
      <c r="AD13" s="15">
        <f>+AD107</f>
        <v>0</v>
      </c>
      <c r="AE13" s="15">
        <f>+AE107</f>
        <v>0</v>
      </c>
      <c r="AF13" s="15"/>
      <c r="AG13" s="15">
        <f>+AG107</f>
        <v>0</v>
      </c>
      <c r="AH13" s="15">
        <v>0</v>
      </c>
      <c r="AI13" s="15">
        <v>0</v>
      </c>
      <c r="AJ13" s="15"/>
      <c r="AK13" s="15">
        <f>+AK107</f>
        <v>0</v>
      </c>
      <c r="AL13" s="15">
        <f>+AL107</f>
        <v>0</v>
      </c>
      <c r="AM13" s="15">
        <v>0</v>
      </c>
      <c r="AN13" s="45">
        <f>+AN107</f>
        <v>0</v>
      </c>
      <c r="AO13" s="15">
        <f>+AO107</f>
        <v>0</v>
      </c>
      <c r="AP13" s="15"/>
      <c r="AQ13" s="15">
        <f>+AQ107</f>
        <v>324036246.25</v>
      </c>
      <c r="AR13" s="15"/>
      <c r="AS13" s="15">
        <f t="shared" si="0"/>
        <v>-86233847.279999971</v>
      </c>
      <c r="AT13" s="15">
        <f t="shared" si="1"/>
        <v>0</v>
      </c>
    </row>
    <row r="14" spans="1:47" x14ac:dyDescent="0.2">
      <c r="B14" s="3" t="s">
        <v>97</v>
      </c>
      <c r="D14" s="42">
        <f>13131146.08</f>
        <v>13131146.08</v>
      </c>
      <c r="E14" s="9"/>
      <c r="F14" s="42"/>
      <c r="G14" s="9"/>
      <c r="H14" s="42"/>
      <c r="I14" s="9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9"/>
      <c r="V14" s="42">
        <v>12917050.08</v>
      </c>
      <c r="W14" s="43"/>
      <c r="X14" s="15">
        <f>+X130</f>
        <v>-309752.86</v>
      </c>
      <c r="Y14" s="15">
        <f>+Y130</f>
        <v>0</v>
      </c>
      <c r="Z14" s="15"/>
      <c r="AA14" s="15"/>
      <c r="AB14" s="15"/>
      <c r="AC14" s="15">
        <f>+AC130</f>
        <v>100844.38</v>
      </c>
      <c r="AD14" s="15"/>
      <c r="AE14" s="15">
        <f>+AE130</f>
        <v>0</v>
      </c>
      <c r="AF14" s="15"/>
      <c r="AG14" s="15">
        <v>0</v>
      </c>
      <c r="AH14" s="15">
        <v>0</v>
      </c>
      <c r="AI14" s="15">
        <v>0</v>
      </c>
      <c r="AJ14" s="15"/>
      <c r="AK14" s="15">
        <f>+AK130</f>
        <v>0</v>
      </c>
      <c r="AL14" s="15">
        <f>+AL130</f>
        <v>0</v>
      </c>
      <c r="AM14" s="15">
        <f>-AM15</f>
        <v>-5187.5200000000004</v>
      </c>
      <c r="AN14" s="45">
        <f>+AN130</f>
        <v>0</v>
      </c>
      <c r="AO14" s="15">
        <f>+AO130</f>
        <v>0</v>
      </c>
      <c r="AP14" s="15"/>
      <c r="AQ14" s="15">
        <f>+AQ130</f>
        <v>0</v>
      </c>
      <c r="AR14" s="15"/>
      <c r="AS14" s="15">
        <f t="shared" si="0"/>
        <v>-214095.99999999997</v>
      </c>
      <c r="AT14" s="15">
        <f t="shared" si="1"/>
        <v>0</v>
      </c>
    </row>
    <row r="15" spans="1:47" x14ac:dyDescent="0.2">
      <c r="B15" s="3" t="s">
        <v>98</v>
      </c>
      <c r="D15" s="42">
        <v>-389721424.30000001</v>
      </c>
      <c r="E15" s="9"/>
      <c r="F15" s="42"/>
      <c r="G15" s="9"/>
      <c r="H15" s="42"/>
      <c r="I15" s="9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9"/>
      <c r="V15" s="42">
        <v>-394428154.25999999</v>
      </c>
      <c r="W15" s="43"/>
      <c r="X15" s="15">
        <f>+X210</f>
        <v>-21097570.990000002</v>
      </c>
      <c r="Y15" s="15">
        <f>+Y210</f>
        <v>0</v>
      </c>
      <c r="Z15" s="15">
        <v>0</v>
      </c>
      <c r="AA15" s="15">
        <f>+AA210</f>
        <v>0</v>
      </c>
      <c r="AB15" s="15"/>
      <c r="AC15" s="15">
        <f>+AC210</f>
        <v>0</v>
      </c>
      <c r="AD15" s="15"/>
      <c r="AE15" s="15">
        <f>+AE210</f>
        <v>0</v>
      </c>
      <c r="AF15" s="15"/>
      <c r="AG15" s="15">
        <f>-'Land_Vehicle Retire P3A (REG)'!I15</f>
        <v>16751.28</v>
      </c>
      <c r="AH15" s="46">
        <v>192519.02</v>
      </c>
      <c r="AI15" s="15">
        <v>0</v>
      </c>
      <c r="AJ15" s="15"/>
      <c r="AK15" s="15">
        <f>+AK210</f>
        <v>0</v>
      </c>
      <c r="AL15" s="15">
        <f>+AL210</f>
        <v>0</v>
      </c>
      <c r="AM15" s="15">
        <f>+AM210-AN15</f>
        <v>5187.5200000000004</v>
      </c>
      <c r="AN15" s="45">
        <v>0</v>
      </c>
      <c r="AO15" s="15">
        <f>+AO210</f>
        <v>16176383.209999999</v>
      </c>
      <c r="AP15" s="15"/>
      <c r="AQ15" s="15">
        <f>+AQ210</f>
        <v>0</v>
      </c>
      <c r="AR15" s="15"/>
      <c r="AS15" s="15">
        <f t="shared" si="0"/>
        <v>-4706729.9600000028</v>
      </c>
      <c r="AT15" s="15">
        <f t="shared" si="1"/>
        <v>2.4214386940002441E-8</v>
      </c>
    </row>
    <row r="16" spans="1:47" x14ac:dyDescent="0.2">
      <c r="B16" s="3" t="s">
        <v>99</v>
      </c>
      <c r="D16" s="42">
        <v>85694179.409999996</v>
      </c>
      <c r="E16" s="9"/>
      <c r="F16" s="42"/>
      <c r="G16" s="9"/>
      <c r="H16" s="42"/>
      <c r="I16" s="9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9"/>
      <c r="V16" s="42">
        <v>141499972.34</v>
      </c>
      <c r="W16" s="43"/>
      <c r="X16" s="15"/>
      <c r="Y16" s="15"/>
      <c r="Z16" s="15">
        <f>-Z12</f>
        <v>41078777.000000007</v>
      </c>
      <c r="AA16" s="15"/>
      <c r="AB16" s="15">
        <v>15592619.98</v>
      </c>
      <c r="AC16" s="15"/>
      <c r="AD16" s="15"/>
      <c r="AE16" s="15"/>
      <c r="AF16" s="15"/>
      <c r="AG16" s="15"/>
      <c r="AH16" s="15">
        <v>-2839204.93</v>
      </c>
      <c r="AI16" s="15">
        <v>1973600.88</v>
      </c>
      <c r="AJ16" s="15">
        <v>0</v>
      </c>
      <c r="AK16" s="15"/>
      <c r="AL16" s="15"/>
      <c r="AM16" s="15">
        <f>-AM12-413976.73</f>
        <v>0</v>
      </c>
      <c r="AN16" s="45"/>
      <c r="AO16" s="15"/>
      <c r="AP16" s="15"/>
      <c r="AQ16" s="15"/>
      <c r="AR16" s="15"/>
      <c r="AS16" s="15">
        <f t="shared" si="0"/>
        <v>55805792.930000007</v>
      </c>
      <c r="AT16" s="15">
        <f t="shared" si="1"/>
        <v>0</v>
      </c>
      <c r="AU16" s="42"/>
    </row>
    <row r="17" spans="1:47" x14ac:dyDescent="0.2">
      <c r="B17" s="3" t="s">
        <v>100</v>
      </c>
      <c r="D17" s="42">
        <v>-24829560</v>
      </c>
      <c r="E17" s="9"/>
      <c r="F17" s="42"/>
      <c r="G17" s="9"/>
      <c r="H17" s="42"/>
      <c r="I17" s="9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9"/>
      <c r="V17" s="42">
        <v>-18941920.489999998</v>
      </c>
      <c r="W17" s="43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>
        <v>0</v>
      </c>
      <c r="AL17" s="15"/>
      <c r="AM17" s="15">
        <v>5887639.5100000016</v>
      </c>
      <c r="AN17" s="45">
        <v>0</v>
      </c>
      <c r="AO17" s="15"/>
      <c r="AP17" s="15"/>
      <c r="AQ17" s="15"/>
      <c r="AR17" s="15"/>
      <c r="AS17" s="15">
        <f t="shared" si="0"/>
        <v>5887639.5100000016</v>
      </c>
      <c r="AT17" s="15">
        <f t="shared" si="1"/>
        <v>0</v>
      </c>
      <c r="AU17" s="15"/>
    </row>
    <row r="18" spans="1:47" x14ac:dyDescent="0.2">
      <c r="B18" s="3" t="s">
        <v>101</v>
      </c>
      <c r="D18" s="42">
        <f>-335399785.71</f>
        <v>-335399785.70999998</v>
      </c>
      <c r="E18" s="9"/>
      <c r="F18" s="42"/>
      <c r="G18" s="9"/>
      <c r="H18" s="42"/>
      <c r="I18" s="9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9"/>
      <c r="V18" s="42">
        <v>-269059871.81999999</v>
      </c>
      <c r="W18" s="43"/>
      <c r="X18" s="15"/>
      <c r="Y18" s="15"/>
      <c r="Z18" s="15"/>
      <c r="AA18" s="15"/>
      <c r="AB18" s="15">
        <f>-AB16</f>
        <v>-15592619.98</v>
      </c>
      <c r="AC18" s="15"/>
      <c r="AD18" s="15"/>
      <c r="AE18" s="15"/>
      <c r="AF18" s="15"/>
      <c r="AG18" s="15"/>
      <c r="AH18" s="15">
        <v>2646685.91</v>
      </c>
      <c r="AI18" s="15">
        <v>76528670.969999999</v>
      </c>
      <c r="AJ18" s="15"/>
      <c r="AK18" s="15">
        <v>0</v>
      </c>
      <c r="AL18" s="15"/>
      <c r="AM18" s="46">
        <f>-AM17</f>
        <v>-5887639.5100000016</v>
      </c>
      <c r="AN18" s="45">
        <v>0</v>
      </c>
      <c r="AO18" s="15">
        <f>+P201+R201+T201</f>
        <v>-1049100.08</v>
      </c>
      <c r="AP18" s="15">
        <v>9693916.5800000001</v>
      </c>
      <c r="AQ18" s="15"/>
      <c r="AR18" s="15"/>
      <c r="AS18" s="15">
        <f t="shared" si="0"/>
        <v>66339913.890000001</v>
      </c>
      <c r="AT18" s="15">
        <f t="shared" si="1"/>
        <v>0</v>
      </c>
    </row>
    <row r="19" spans="1:47" x14ac:dyDescent="0.2">
      <c r="D19" s="42"/>
      <c r="E19" s="9"/>
      <c r="F19" s="42"/>
      <c r="G19" s="9"/>
      <c r="H19" s="42"/>
      <c r="I19" s="9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9"/>
      <c r="V19" s="42"/>
      <c r="W19" s="43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47"/>
      <c r="AO19" s="15"/>
      <c r="AP19" s="15"/>
      <c r="AQ19" s="15"/>
      <c r="AR19" s="15"/>
      <c r="AS19" s="15"/>
      <c r="AT19" s="15"/>
    </row>
    <row r="20" spans="1:47" x14ac:dyDescent="0.2">
      <c r="D20" s="42"/>
      <c r="E20" s="9"/>
      <c r="F20" s="42"/>
      <c r="G20" s="9"/>
      <c r="H20" s="42"/>
      <c r="I20" s="9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9"/>
      <c r="W20" s="43"/>
      <c r="X20" s="48">
        <f>SUM(X10:X18)</f>
        <v>-234105093.68000001</v>
      </c>
      <c r="Y20" s="48">
        <f t="shared" ref="Y20:AQ20" si="3">SUM(Y10:Y18)</f>
        <v>0</v>
      </c>
      <c r="Z20" s="48">
        <f t="shared" si="3"/>
        <v>0</v>
      </c>
      <c r="AA20" s="48">
        <f t="shared" si="3"/>
        <v>0</v>
      </c>
      <c r="AB20" s="48">
        <f t="shared" si="3"/>
        <v>0</v>
      </c>
      <c r="AC20" s="48">
        <f t="shared" si="3"/>
        <v>4.7730281949043274E-9</v>
      </c>
      <c r="AD20" s="48">
        <f t="shared" si="3"/>
        <v>0</v>
      </c>
      <c r="AE20" s="48">
        <f t="shared" si="3"/>
        <v>7.4505805969238281E-9</v>
      </c>
      <c r="AF20" s="48">
        <f t="shared" si="3"/>
        <v>0</v>
      </c>
      <c r="AG20" s="48">
        <f>SUM(AG10:AG18)</f>
        <v>16751.28</v>
      </c>
      <c r="AH20" s="48">
        <f t="shared" si="3"/>
        <v>0</v>
      </c>
      <c r="AI20" s="48">
        <f t="shared" si="3"/>
        <v>0</v>
      </c>
      <c r="AJ20" s="48">
        <f t="shared" si="3"/>
        <v>0</v>
      </c>
      <c r="AK20" s="48">
        <f t="shared" si="3"/>
        <v>0</v>
      </c>
      <c r="AL20" s="48">
        <f t="shared" si="3"/>
        <v>0</v>
      </c>
      <c r="AM20" s="48">
        <f>SUM(AM10:AM18)</f>
        <v>-517595.37999999151</v>
      </c>
      <c r="AN20" s="48">
        <f t="shared" si="3"/>
        <v>-1783341.12</v>
      </c>
      <c r="AO20" s="48">
        <f t="shared" si="3"/>
        <v>15127283.129999999</v>
      </c>
      <c r="AP20" s="48"/>
      <c r="AQ20" s="48">
        <f t="shared" si="3"/>
        <v>324036246.25</v>
      </c>
      <c r="AR20" s="15"/>
      <c r="AS20" s="15"/>
      <c r="AT20" s="15"/>
    </row>
    <row r="21" spans="1:47" x14ac:dyDescent="0.2">
      <c r="D21" s="11"/>
      <c r="E21" s="9"/>
      <c r="F21" s="11"/>
      <c r="G21" s="9"/>
      <c r="H21" s="11"/>
      <c r="I21" s="9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9"/>
      <c r="V21" s="11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45"/>
      <c r="AO21" s="15"/>
      <c r="AP21" s="15"/>
      <c r="AQ21" s="15"/>
      <c r="AR21" s="15"/>
      <c r="AS21" s="15"/>
      <c r="AT21" s="15"/>
    </row>
    <row r="22" spans="1:47" x14ac:dyDescent="0.2">
      <c r="D22" s="11"/>
      <c r="E22" s="9"/>
      <c r="F22" s="11"/>
      <c r="G22" s="9"/>
      <c r="H22" s="11"/>
      <c r="I22" s="9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9"/>
      <c r="V22" s="11" t="s">
        <v>102</v>
      </c>
      <c r="X22" s="26">
        <v>-234105093.68000001</v>
      </c>
      <c r="Y22" s="15"/>
      <c r="Z22" s="15">
        <v>0</v>
      </c>
      <c r="AA22" s="15">
        <v>0</v>
      </c>
      <c r="AB22" s="15">
        <v>0</v>
      </c>
      <c r="AC22" s="15">
        <v>0</v>
      </c>
      <c r="AD22" s="15"/>
      <c r="AE22" s="15">
        <v>0</v>
      </c>
      <c r="AF22" s="15"/>
      <c r="AG22" s="15"/>
      <c r="AH22" s="15"/>
      <c r="AI22" s="49"/>
      <c r="AJ22" s="15"/>
      <c r="AK22" s="43"/>
      <c r="AL22" s="15"/>
      <c r="AM22" s="15"/>
      <c r="AN22" s="45"/>
      <c r="AO22" s="15">
        <v>15127283.129999999</v>
      </c>
      <c r="AP22" s="15"/>
      <c r="AQ22" s="15">
        <v>324036246.25</v>
      </c>
      <c r="AR22" s="15"/>
      <c r="AS22" s="15"/>
      <c r="AT22" s="15"/>
    </row>
    <row r="23" spans="1:47" x14ac:dyDescent="0.2">
      <c r="D23" s="11"/>
      <c r="E23" s="9"/>
      <c r="F23" s="11"/>
      <c r="G23" s="9"/>
      <c r="H23" s="11"/>
      <c r="I23" s="9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9"/>
      <c r="V23" s="11"/>
      <c r="X23" s="15">
        <f>+X20-X22+Y20+Z20</f>
        <v>0</v>
      </c>
      <c r="Y23" s="15"/>
      <c r="Z23" s="15"/>
      <c r="AA23" s="15">
        <v>0</v>
      </c>
      <c r="AB23" s="15">
        <f>+AB20-AB22</f>
        <v>0</v>
      </c>
      <c r="AC23" s="15">
        <f>+AC20-AC22</f>
        <v>4.7730281949043274E-9</v>
      </c>
      <c r="AD23" s="15"/>
      <c r="AE23" s="15">
        <f>+AE20-AE22</f>
        <v>7.4505805969238281E-9</v>
      </c>
      <c r="AF23" s="15"/>
      <c r="AG23" s="15"/>
      <c r="AH23" s="15"/>
      <c r="AI23" s="15"/>
      <c r="AJ23" s="15"/>
      <c r="AK23" s="43"/>
      <c r="AO23" s="15">
        <f>+AO20-AO22</f>
        <v>0</v>
      </c>
      <c r="AP23" s="15"/>
      <c r="AQ23" s="15">
        <f>+AQ20-AQ22</f>
        <v>0</v>
      </c>
      <c r="AR23" s="15"/>
      <c r="AT23" s="43"/>
    </row>
    <row r="24" spans="1:47" x14ac:dyDescent="0.2">
      <c r="B24" s="43" t="s">
        <v>103</v>
      </c>
      <c r="C24" s="43" t="s">
        <v>104</v>
      </c>
      <c r="D24" s="11"/>
      <c r="E24" s="9"/>
      <c r="F24" s="11"/>
      <c r="G24" s="9"/>
      <c r="H24" s="11"/>
      <c r="I24" s="9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9"/>
      <c r="V24" s="11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43"/>
      <c r="AM24" s="46"/>
      <c r="AO24" s="15"/>
      <c r="AP24" s="15"/>
      <c r="AQ24" s="15"/>
      <c r="AR24" s="15"/>
      <c r="AT24" s="15"/>
    </row>
    <row r="25" spans="1:47" x14ac:dyDescent="0.2">
      <c r="C25" s="43" t="s">
        <v>105</v>
      </c>
      <c r="D25" s="11"/>
      <c r="E25" s="9"/>
      <c r="F25" s="11"/>
      <c r="G25" s="9"/>
      <c r="H25" s="11"/>
      <c r="I25" s="9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9"/>
      <c r="V25" s="11"/>
      <c r="X25" s="15"/>
      <c r="Y25" s="15"/>
      <c r="Z25" s="50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43"/>
      <c r="AM25" s="15"/>
      <c r="AO25" s="15"/>
      <c r="AP25" s="15"/>
      <c r="AQ25" s="15"/>
      <c r="AR25" s="15"/>
    </row>
    <row r="26" spans="1:47" ht="13.5" thickBot="1" x14ac:dyDescent="0.25">
      <c r="D26" s="11"/>
      <c r="E26" s="9"/>
      <c r="F26" s="11"/>
      <c r="G26" s="9"/>
      <c r="H26" s="11"/>
      <c r="I26" s="9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9"/>
      <c r="V26" s="11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43"/>
      <c r="AO26" s="15"/>
      <c r="AP26" s="15"/>
      <c r="AQ26" s="15"/>
    </row>
    <row r="27" spans="1:47" x14ac:dyDescent="0.2">
      <c r="A27" s="51" t="s">
        <v>106</v>
      </c>
      <c r="B27" s="52"/>
      <c r="C27" s="52"/>
      <c r="D27" s="54"/>
      <c r="E27" s="53"/>
      <c r="F27" s="54"/>
      <c r="G27" s="53"/>
      <c r="H27" s="54"/>
      <c r="I27" s="53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3"/>
      <c r="V27" s="54"/>
      <c r="W27" s="52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6"/>
      <c r="AL27" s="52"/>
      <c r="AM27" s="52"/>
      <c r="AN27" s="52"/>
      <c r="AO27" s="55"/>
      <c r="AP27" s="55"/>
      <c r="AQ27" s="55"/>
      <c r="AR27" s="52"/>
      <c r="AS27" s="52"/>
      <c r="AT27" s="57"/>
    </row>
    <row r="28" spans="1:47" x14ac:dyDescent="0.2">
      <c r="A28" s="58"/>
      <c r="B28" s="59" t="s">
        <v>107</v>
      </c>
      <c r="C28" s="59"/>
      <c r="D28" s="11"/>
      <c r="E28" s="36"/>
      <c r="F28" s="11"/>
      <c r="G28" s="36"/>
      <c r="H28" s="11"/>
      <c r="I28" s="36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36"/>
      <c r="V28" s="11"/>
      <c r="W28" s="59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1"/>
      <c r="AL28" s="59"/>
      <c r="AM28" s="59"/>
      <c r="AN28" s="60">
        <v>1026871.12</v>
      </c>
      <c r="AO28" s="60"/>
      <c r="AP28" s="60"/>
      <c r="AQ28" s="60"/>
      <c r="AR28" s="59"/>
      <c r="AS28" s="59"/>
      <c r="AT28" s="62"/>
    </row>
    <row r="29" spans="1:47" x14ac:dyDescent="0.2">
      <c r="A29" s="58"/>
      <c r="B29" s="59" t="s">
        <v>108</v>
      </c>
      <c r="C29" s="59"/>
      <c r="D29" s="11"/>
      <c r="E29" s="36"/>
      <c r="F29" s="11"/>
      <c r="G29" s="36"/>
      <c r="H29" s="11"/>
      <c r="I29" s="36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36"/>
      <c r="V29" s="11"/>
      <c r="W29" s="59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1"/>
      <c r="AL29" s="59"/>
      <c r="AM29" s="59"/>
      <c r="AN29" s="60">
        <v>756470</v>
      </c>
      <c r="AO29" s="60"/>
      <c r="AP29" s="60"/>
      <c r="AQ29" s="60"/>
      <c r="AR29" s="59"/>
      <c r="AS29" s="59"/>
      <c r="AT29" s="62"/>
    </row>
    <row r="30" spans="1:47" x14ac:dyDescent="0.2">
      <c r="A30" s="58"/>
      <c r="B30" s="61" t="s">
        <v>109</v>
      </c>
      <c r="C30" s="59"/>
      <c r="D30" s="11"/>
      <c r="E30" s="36"/>
      <c r="F30" s="11"/>
      <c r="G30" s="36"/>
      <c r="H30" s="11"/>
      <c r="I30" s="36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36"/>
      <c r="V30" s="11"/>
      <c r="W30" s="59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1"/>
      <c r="AL30" s="59"/>
      <c r="AM30" s="59"/>
      <c r="AN30" s="60">
        <f>+AN15</f>
        <v>0</v>
      </c>
      <c r="AO30" s="60"/>
      <c r="AP30" s="60"/>
      <c r="AQ30" s="60"/>
      <c r="AR30" s="59"/>
      <c r="AS30" s="59"/>
      <c r="AT30" s="62"/>
    </row>
    <row r="31" spans="1:47" ht="13.5" thickBot="1" x14ac:dyDescent="0.25">
      <c r="A31" s="58"/>
      <c r="B31" s="59"/>
      <c r="C31" s="59"/>
      <c r="D31" s="11"/>
      <c r="E31" s="36"/>
      <c r="F31" s="11"/>
      <c r="G31" s="36"/>
      <c r="H31" s="11"/>
      <c r="I31" s="36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36"/>
      <c r="V31" s="11"/>
      <c r="W31" s="59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1"/>
      <c r="AL31" s="59"/>
      <c r="AM31" s="59"/>
      <c r="AN31" s="63">
        <f>SUM(AN20:AN29)</f>
        <v>0</v>
      </c>
      <c r="AO31" s="59" t="s">
        <v>110</v>
      </c>
      <c r="AP31" s="59"/>
      <c r="AQ31" s="60"/>
      <c r="AR31" s="59"/>
      <c r="AS31" s="59"/>
      <c r="AT31" s="62"/>
    </row>
    <row r="32" spans="1:47" ht="13.5" thickTop="1" x14ac:dyDescent="0.2">
      <c r="A32" s="58"/>
      <c r="B32" s="59"/>
      <c r="C32" s="59"/>
      <c r="D32" s="11"/>
      <c r="E32" s="36"/>
      <c r="F32" s="11"/>
      <c r="G32" s="36"/>
      <c r="H32" s="11"/>
      <c r="I32" s="36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36"/>
      <c r="V32" s="11"/>
      <c r="W32" s="59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1"/>
      <c r="AL32" s="59"/>
      <c r="AM32" s="59"/>
      <c r="AN32" s="60"/>
      <c r="AO32" s="59"/>
      <c r="AP32" s="59"/>
      <c r="AQ32" s="60"/>
      <c r="AR32" s="59"/>
      <c r="AS32" s="59"/>
      <c r="AT32" s="62"/>
    </row>
    <row r="33" spans="1:46" ht="13.5" thickBot="1" x14ac:dyDescent="0.25">
      <c r="A33" s="64"/>
      <c r="B33" s="65"/>
      <c r="C33" s="65"/>
      <c r="D33" s="67"/>
      <c r="E33" s="66"/>
      <c r="F33" s="67"/>
      <c r="G33" s="66"/>
      <c r="H33" s="67"/>
      <c r="I33" s="66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6"/>
      <c r="V33" s="67"/>
      <c r="W33" s="65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9"/>
      <c r="AL33" s="65"/>
      <c r="AM33" s="65"/>
      <c r="AN33" s="68"/>
      <c r="AO33" s="65"/>
      <c r="AP33" s="65"/>
      <c r="AQ33" s="68"/>
      <c r="AR33" s="65"/>
      <c r="AS33" s="65"/>
      <c r="AT33" s="70"/>
    </row>
    <row r="34" spans="1:46" x14ac:dyDescent="0.2">
      <c r="D34" s="11"/>
      <c r="E34" s="9"/>
      <c r="F34" s="11"/>
      <c r="G34" s="9"/>
      <c r="H34" s="11"/>
      <c r="I34" s="9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9"/>
      <c r="V34" s="11"/>
      <c r="X34" s="15"/>
      <c r="Y34" s="15"/>
      <c r="AL34" s="15"/>
      <c r="AN34" s="15"/>
    </row>
    <row r="35" spans="1:46" outlineLevel="1" x14ac:dyDescent="0.2">
      <c r="D35" s="11"/>
      <c r="E35" s="9"/>
      <c r="F35" s="11"/>
      <c r="G35" s="9"/>
      <c r="H35" s="11"/>
      <c r="I35" s="9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9"/>
      <c r="V35" s="11"/>
      <c r="AM35" s="15"/>
    </row>
    <row r="36" spans="1:46" outlineLevel="1" x14ac:dyDescent="0.2">
      <c r="D36" s="25" t="s">
        <v>2</v>
      </c>
      <c r="E36" s="7"/>
      <c r="F36" s="7"/>
      <c r="G36" s="7"/>
      <c r="H36" s="7"/>
      <c r="I36" s="7"/>
      <c r="J36" s="25" t="s">
        <v>3</v>
      </c>
      <c r="K36" s="25"/>
      <c r="L36" s="25"/>
      <c r="M36" s="25"/>
      <c r="N36" s="25"/>
      <c r="O36" s="25"/>
      <c r="P36" s="25"/>
      <c r="Q36" s="25"/>
      <c r="R36" s="25"/>
      <c r="S36" s="25"/>
      <c r="T36" s="7"/>
      <c r="U36" s="7"/>
      <c r="V36" s="25" t="s">
        <v>4</v>
      </c>
      <c r="X36" s="15"/>
      <c r="Y36" s="15"/>
    </row>
    <row r="37" spans="1:46" outlineLevel="1" x14ac:dyDescent="0.2">
      <c r="D37" s="10" t="s">
        <v>5</v>
      </c>
      <c r="E37" s="9"/>
      <c r="F37" s="10" t="s">
        <v>6</v>
      </c>
      <c r="G37" s="9"/>
      <c r="H37" s="10" t="s">
        <v>7</v>
      </c>
      <c r="I37" s="9"/>
      <c r="J37" s="10" t="s">
        <v>8</v>
      </c>
      <c r="K37" s="11"/>
      <c r="L37" s="11"/>
      <c r="M37" s="11"/>
      <c r="N37" s="11"/>
      <c r="O37" s="11"/>
      <c r="P37" s="11"/>
      <c r="Q37" s="11"/>
      <c r="R37" s="11"/>
      <c r="S37" s="11"/>
      <c r="T37" s="10" t="s">
        <v>9</v>
      </c>
      <c r="U37" s="9"/>
      <c r="V37" s="10" t="s">
        <v>5</v>
      </c>
    </row>
    <row r="38" spans="1:46" outlineLevel="2" x14ac:dyDescent="0.2">
      <c r="A38" s="8">
        <v>101</v>
      </c>
      <c r="B38" s="12" t="s">
        <v>10</v>
      </c>
      <c r="Z38" s="15"/>
      <c r="AA38" s="15"/>
    </row>
    <row r="39" spans="1:46" outlineLevel="2" x14ac:dyDescent="0.2">
      <c r="B39" s="12" t="s">
        <v>11</v>
      </c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</row>
    <row r="40" spans="1:46" outlineLevel="2" x14ac:dyDescent="0.2">
      <c r="C40" s="3" t="s">
        <v>12</v>
      </c>
      <c r="D40" s="17">
        <f>+'KU_Summary - Cost - P1 (REG)'!D11</f>
        <v>1631643754.1099997</v>
      </c>
      <c r="E40" s="14"/>
      <c r="F40" s="17">
        <f>+'KU_Summary - Cost - P1 (REG)'!F11</f>
        <v>73635573.340000004</v>
      </c>
      <c r="G40" s="14"/>
      <c r="H40" s="17">
        <f>+'KU_Summary - Cost - P1 (REG)'!H11</f>
        <v>-20421266.370000001</v>
      </c>
      <c r="I40" s="14"/>
      <c r="J40" s="17">
        <f>+'KU_Summary - Cost - P1 (REG)'!J11</f>
        <v>-340117.45000000007</v>
      </c>
      <c r="K40" s="14"/>
      <c r="L40" s="14"/>
      <c r="M40" s="14"/>
      <c r="N40" s="14"/>
      <c r="O40" s="14"/>
      <c r="P40" s="14"/>
      <c r="Q40" s="14"/>
      <c r="R40" s="14"/>
      <c r="S40" s="14"/>
      <c r="T40" s="14">
        <f>F40+H40+J40</f>
        <v>52874189.519999996</v>
      </c>
      <c r="U40" s="14"/>
      <c r="V40" s="14">
        <f>D40+T40</f>
        <v>1684517943.6299996</v>
      </c>
    </row>
    <row r="41" spans="1:46" outlineLevel="2" x14ac:dyDescent="0.2">
      <c r="C41" s="3" t="s">
        <v>13</v>
      </c>
      <c r="D41" s="17">
        <f>+'KU_Summary - Cost - P1 (REG)'!D12</f>
        <v>164086135.28</v>
      </c>
      <c r="E41" s="14"/>
      <c r="F41" s="17">
        <f>+'KU_Summary - Cost - P1 (REG)'!F12</f>
        <v>19621030.739999998</v>
      </c>
      <c r="G41" s="14"/>
      <c r="H41" s="17">
        <f>+'KU_Summary - Cost - P1 (REG)'!H12</f>
        <v>-11527163.23</v>
      </c>
      <c r="I41" s="14"/>
      <c r="J41" s="17">
        <f>+'KU_Summary - Cost - P1 (REG)'!J12</f>
        <v>0</v>
      </c>
      <c r="K41" s="14"/>
      <c r="L41" s="14"/>
      <c r="M41" s="14"/>
      <c r="N41" s="14"/>
      <c r="O41" s="14"/>
      <c r="P41" s="14"/>
      <c r="Q41" s="14"/>
      <c r="R41" s="14"/>
      <c r="S41" s="14"/>
      <c r="T41" s="14">
        <f t="shared" ref="T41:T46" si="4">F41+H41+J41</f>
        <v>8093867.5099999979</v>
      </c>
      <c r="U41" s="14"/>
      <c r="V41" s="14">
        <f t="shared" ref="V41:V46" si="5">D41+T41</f>
        <v>172180002.78999999</v>
      </c>
    </row>
    <row r="42" spans="1:46" outlineLevel="2" x14ac:dyDescent="0.2">
      <c r="C42" s="3" t="s">
        <v>14</v>
      </c>
      <c r="D42" s="17">
        <f>+'KU_Summary - Cost - P1 (REG)'!D13</f>
        <v>39428753.649999999</v>
      </c>
      <c r="E42" s="14"/>
      <c r="F42" s="17">
        <f>+'KU_Summary - Cost - P1 (REG)'!F13</f>
        <v>2585883.31</v>
      </c>
      <c r="G42" s="14"/>
      <c r="H42" s="17">
        <f>+'KU_Summary - Cost - P1 (REG)'!H13</f>
        <v>-101678.14</v>
      </c>
      <c r="I42" s="14"/>
      <c r="J42" s="17">
        <f>+'KU_Summary - Cost - P1 (REG)'!J13</f>
        <v>457959.79</v>
      </c>
      <c r="K42" s="14"/>
      <c r="L42" s="14"/>
      <c r="M42" s="14"/>
      <c r="N42" s="14"/>
      <c r="O42" s="14"/>
      <c r="P42" s="14"/>
      <c r="Q42" s="14"/>
      <c r="R42" s="14"/>
      <c r="S42" s="14"/>
      <c r="T42" s="14">
        <f t="shared" si="4"/>
        <v>2942164.96</v>
      </c>
      <c r="U42" s="14"/>
      <c r="V42" s="14">
        <f t="shared" si="5"/>
        <v>42370918.609999999</v>
      </c>
    </row>
    <row r="43" spans="1:46" outlineLevel="2" x14ac:dyDescent="0.2">
      <c r="C43" s="3" t="s">
        <v>15</v>
      </c>
      <c r="D43" s="17">
        <f>+'KU_Summary - Cost - P1 (REG)'!D14</f>
        <v>81667345.599999994</v>
      </c>
      <c r="E43" s="14"/>
      <c r="F43" s="17">
        <f>+'KU_Summary - Cost - P1 (REG)'!F14</f>
        <v>14107204.210000001</v>
      </c>
      <c r="G43" s="14"/>
      <c r="H43" s="17">
        <f>+'KU_Summary - Cost - P1 (REG)'!H14</f>
        <v>-5795318.9000000004</v>
      </c>
      <c r="I43" s="14"/>
      <c r="J43" s="17">
        <f>+'KU_Summary - Cost - P1 (REG)'!J14</f>
        <v>0</v>
      </c>
      <c r="K43" s="14"/>
      <c r="L43" s="14"/>
      <c r="M43" s="14"/>
      <c r="N43" s="14"/>
      <c r="O43" s="14"/>
      <c r="P43" s="14"/>
      <c r="Q43" s="14"/>
      <c r="R43" s="14"/>
      <c r="S43" s="14"/>
      <c r="T43" s="14">
        <f t="shared" si="4"/>
        <v>8311885.3100000005</v>
      </c>
      <c r="U43" s="14"/>
      <c r="V43" s="14">
        <f t="shared" si="5"/>
        <v>89979230.909999996</v>
      </c>
    </row>
    <row r="44" spans="1:46" outlineLevel="2" x14ac:dyDescent="0.2">
      <c r="C44" s="3" t="s">
        <v>16</v>
      </c>
      <c r="D44" s="17">
        <f>+'KU_Summary - Cost - P1 (REG)'!D15</f>
        <v>549016839.75</v>
      </c>
      <c r="E44" s="14"/>
      <c r="F44" s="17">
        <f>+'KU_Summary - Cost - P1 (REG)'!F15</f>
        <v>421666841.66000003</v>
      </c>
      <c r="G44" s="14"/>
      <c r="H44" s="17">
        <f>+'KU_Summary - Cost - P1 (REG)'!H15</f>
        <v>-844434.41</v>
      </c>
      <c r="I44" s="14"/>
      <c r="J44" s="17">
        <f>+'KU_Summary - Cost - P1 (REG)'!J15</f>
        <v>162070.19</v>
      </c>
      <c r="K44" s="14"/>
      <c r="L44" s="14"/>
      <c r="M44" s="14"/>
      <c r="N44" s="14"/>
      <c r="O44" s="14"/>
      <c r="P44" s="14"/>
      <c r="Q44" s="14"/>
      <c r="R44" s="14"/>
      <c r="S44" s="14"/>
      <c r="T44" s="14">
        <f t="shared" si="4"/>
        <v>420984477.44</v>
      </c>
      <c r="U44" s="14"/>
      <c r="V44" s="14">
        <f t="shared" si="5"/>
        <v>970001317.19000006</v>
      </c>
    </row>
    <row r="45" spans="1:46" outlineLevel="2" x14ac:dyDescent="0.2">
      <c r="C45" s="3" t="s">
        <v>17</v>
      </c>
      <c r="D45" s="17">
        <f>+'KU_Summary - Cost - P1 (REG)'!D16</f>
        <v>3993148614.1700001</v>
      </c>
      <c r="E45" s="14"/>
      <c r="F45" s="17">
        <f>+'KU_Summary - Cost - P1 (REG)'!F16</f>
        <v>65440296.609999985</v>
      </c>
      <c r="G45" s="14"/>
      <c r="H45" s="17">
        <f>+'KU_Summary - Cost - P1 (REG)'!H16</f>
        <v>-14899041.709999999</v>
      </c>
      <c r="I45" s="14"/>
      <c r="J45" s="17">
        <f>+'KU_Summary - Cost - P1 (REG)'!J16</f>
        <v>-79169657.889999986</v>
      </c>
      <c r="K45" s="14"/>
      <c r="L45" s="14"/>
      <c r="M45" s="14"/>
      <c r="N45" s="14"/>
      <c r="O45" s="14"/>
      <c r="P45" s="14"/>
      <c r="Q45" s="14"/>
      <c r="R45" s="14"/>
      <c r="S45" s="14"/>
      <c r="T45" s="14">
        <f t="shared" si="4"/>
        <v>-28628402.990000002</v>
      </c>
      <c r="U45" s="14"/>
      <c r="V45" s="14">
        <f t="shared" si="5"/>
        <v>3964520211.1800003</v>
      </c>
    </row>
    <row r="46" spans="1:46" outlineLevel="2" x14ac:dyDescent="0.2">
      <c r="C46" s="3" t="s">
        <v>18</v>
      </c>
      <c r="D46" s="17">
        <f>+'KU_Summary - Cost - P1 (REG)'!D17</f>
        <v>773600301.37999976</v>
      </c>
      <c r="E46" s="14"/>
      <c r="F46" s="17">
        <f>+'KU_Summary - Cost - P1 (REG)'!F17</f>
        <v>49543706.390000001</v>
      </c>
      <c r="G46" s="14"/>
      <c r="H46" s="17">
        <f>+'KU_Summary - Cost - P1 (REG)'!H17</f>
        <v>-7302428.29</v>
      </c>
      <c r="I46" s="14"/>
      <c r="J46" s="17">
        <f>+'KU_Summary - Cost - P1 (REG)'!J17</f>
        <v>169972.61000000002</v>
      </c>
      <c r="K46" s="17"/>
      <c r="L46" s="17"/>
      <c r="M46" s="17"/>
      <c r="N46" s="17"/>
      <c r="O46" s="17"/>
      <c r="P46" s="17"/>
      <c r="Q46" s="17"/>
      <c r="R46" s="17"/>
      <c r="S46" s="17"/>
      <c r="T46" s="16">
        <f t="shared" si="4"/>
        <v>42411250.710000001</v>
      </c>
      <c r="U46" s="14"/>
      <c r="V46" s="16">
        <f t="shared" si="5"/>
        <v>816011552.08999979</v>
      </c>
    </row>
    <row r="47" spans="1:46" outlineLevel="2" x14ac:dyDescent="0.2">
      <c r="D47" s="18"/>
      <c r="E47" s="14"/>
      <c r="F47" s="18"/>
      <c r="G47" s="14"/>
      <c r="H47" s="18"/>
      <c r="I47" s="14"/>
      <c r="J47" s="18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</row>
    <row r="48" spans="1:46" outlineLevel="2" x14ac:dyDescent="0.2">
      <c r="C48" s="12" t="s">
        <v>19</v>
      </c>
      <c r="D48" s="16">
        <f>SUM(D40:D46)</f>
        <v>7232591743.9399996</v>
      </c>
      <c r="E48" s="14"/>
      <c r="F48" s="16">
        <f>SUM(F40:F46)</f>
        <v>646600536.25999999</v>
      </c>
      <c r="G48" s="14"/>
      <c r="H48" s="16">
        <f>SUM(H40:H46)</f>
        <v>-60891331.049999997</v>
      </c>
      <c r="I48" s="14"/>
      <c r="J48" s="16">
        <f>SUM(J40:J46)</f>
        <v>-78719772.749999985</v>
      </c>
      <c r="K48" s="17"/>
      <c r="L48" s="17"/>
      <c r="M48" s="17"/>
      <c r="N48" s="17"/>
      <c r="O48" s="17"/>
      <c r="P48" s="17"/>
      <c r="Q48" s="17"/>
      <c r="R48" s="17"/>
      <c r="S48" s="17"/>
      <c r="T48" s="16">
        <f>SUM(T40:T46)</f>
        <v>506989432.45999998</v>
      </c>
      <c r="U48" s="14"/>
      <c r="V48" s="16">
        <f>SUM(V40:V46)</f>
        <v>7739581176.3999996</v>
      </c>
    </row>
    <row r="49" spans="1:22" outlineLevel="2" x14ac:dyDescent="0.2">
      <c r="C49" s="12"/>
      <c r="D49" s="17"/>
      <c r="E49" s="14"/>
      <c r="F49" s="17"/>
      <c r="G49" s="14"/>
      <c r="H49" s="17"/>
      <c r="I49" s="14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4"/>
      <c r="V49" s="17"/>
    </row>
    <row r="50" spans="1:22" outlineLevel="2" x14ac:dyDescent="0.2">
      <c r="C50" s="12"/>
      <c r="D50" s="17"/>
      <c r="E50" s="14"/>
      <c r="F50" s="17"/>
      <c r="G50" s="14"/>
      <c r="H50" s="17"/>
      <c r="I50" s="14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4"/>
      <c r="V50" s="17"/>
    </row>
    <row r="51" spans="1:22" outlineLevel="2" x14ac:dyDescent="0.2">
      <c r="A51" s="8">
        <v>102</v>
      </c>
      <c r="B51" s="12" t="s">
        <v>20</v>
      </c>
      <c r="C51" s="12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</row>
    <row r="52" spans="1:22" outlineLevel="2" x14ac:dyDescent="0.2">
      <c r="B52" s="12" t="s">
        <v>11</v>
      </c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</row>
    <row r="53" spans="1:22" outlineLevel="2" x14ac:dyDescent="0.2">
      <c r="B53" s="12"/>
      <c r="C53" s="3" t="s">
        <v>13</v>
      </c>
      <c r="D53" s="17">
        <f>+'KU_Summary - Cost - P1 (REG)'!D24</f>
        <v>0</v>
      </c>
      <c r="E53" s="14"/>
      <c r="F53" s="17">
        <f>+'KU_Summary - Cost - P1 (REG)'!F24</f>
        <v>0</v>
      </c>
      <c r="G53" s="14"/>
      <c r="H53" s="17">
        <f>+'KU_Summary - Cost - P1 (REG)'!H24</f>
        <v>0</v>
      </c>
      <c r="I53" s="14"/>
      <c r="J53" s="17">
        <f>+'KU_Summary - Cost - P1 (REG)'!J24</f>
        <v>0</v>
      </c>
      <c r="K53" s="14"/>
      <c r="L53" s="14"/>
      <c r="M53" s="14"/>
      <c r="N53" s="14"/>
      <c r="O53" s="14"/>
      <c r="P53" s="14"/>
      <c r="Q53" s="14"/>
      <c r="R53" s="14"/>
      <c r="S53" s="14"/>
      <c r="T53" s="17">
        <f>F53+H53+J53</f>
        <v>0</v>
      </c>
      <c r="U53" s="17"/>
      <c r="V53" s="17">
        <f>D53+T53</f>
        <v>0</v>
      </c>
    </row>
    <row r="54" spans="1:22" outlineLevel="2" x14ac:dyDescent="0.2">
      <c r="C54" s="3" t="s">
        <v>21</v>
      </c>
      <c r="D54" s="16">
        <f>+'KU_Summary - Cost - P1 (REG)'!D25</f>
        <v>0</v>
      </c>
      <c r="E54" s="14"/>
      <c r="F54" s="17">
        <f>+'KU_Summary - Cost - P1 (REG)'!F25</f>
        <v>0</v>
      </c>
      <c r="G54" s="14"/>
      <c r="H54" s="17">
        <f>+'KU_Summary - Cost - P1 (REG)'!H25</f>
        <v>0</v>
      </c>
      <c r="I54" s="14"/>
      <c r="J54" s="17">
        <f>+'KU_Summary - Cost - P1 (REG)'!J25</f>
        <v>0</v>
      </c>
      <c r="K54" s="17"/>
      <c r="L54" s="17"/>
      <c r="M54" s="17"/>
      <c r="N54" s="17"/>
      <c r="O54" s="17"/>
      <c r="P54" s="17"/>
      <c r="Q54" s="17"/>
      <c r="R54" s="17"/>
      <c r="S54" s="17"/>
      <c r="T54" s="16">
        <f>F54+H54+J54</f>
        <v>0</v>
      </c>
      <c r="U54" s="14"/>
      <c r="V54" s="16">
        <f>D54+T54</f>
        <v>0</v>
      </c>
    </row>
    <row r="55" spans="1:22" outlineLevel="2" x14ac:dyDescent="0.2">
      <c r="D55" s="14"/>
      <c r="E55" s="14"/>
      <c r="F55" s="18"/>
      <c r="G55" s="14"/>
      <c r="H55" s="18"/>
      <c r="I55" s="14"/>
      <c r="J55" s="18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</row>
    <row r="56" spans="1:22" outlineLevel="2" x14ac:dyDescent="0.2">
      <c r="C56" s="12" t="s">
        <v>22</v>
      </c>
      <c r="D56" s="16">
        <f>SUM(D53:D54)</f>
        <v>0</v>
      </c>
      <c r="E56" s="14"/>
      <c r="F56" s="16">
        <f>SUM(F53:F54)</f>
        <v>0</v>
      </c>
      <c r="G56" s="14"/>
      <c r="H56" s="16">
        <f>SUM(H53:H54)</f>
        <v>0</v>
      </c>
      <c r="I56" s="14"/>
      <c r="J56" s="16">
        <f>SUM(J53:J54)</f>
        <v>0</v>
      </c>
      <c r="K56" s="17"/>
      <c r="L56" s="17"/>
      <c r="M56" s="17"/>
      <c r="N56" s="17"/>
      <c r="O56" s="17"/>
      <c r="P56" s="17"/>
      <c r="Q56" s="17"/>
      <c r="R56" s="17"/>
      <c r="S56" s="17"/>
      <c r="T56" s="16">
        <f>SUM(T53:T54)</f>
        <v>0</v>
      </c>
      <c r="U56" s="14"/>
      <c r="V56" s="16">
        <f>SUM(V53:V54)</f>
        <v>0</v>
      </c>
    </row>
    <row r="57" spans="1:22" outlineLevel="2" x14ac:dyDescent="0.2">
      <c r="C57" s="12"/>
      <c r="D57" s="17"/>
      <c r="E57" s="14"/>
      <c r="F57" s="17"/>
      <c r="G57" s="14"/>
      <c r="H57" s="17"/>
      <c r="I57" s="14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4"/>
      <c r="V57" s="17"/>
    </row>
    <row r="58" spans="1:22" outlineLevel="2" x14ac:dyDescent="0.2"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</row>
    <row r="59" spans="1:22" outlineLevel="2" x14ac:dyDescent="0.2">
      <c r="A59" s="8">
        <v>105</v>
      </c>
      <c r="B59" s="12" t="s">
        <v>23</v>
      </c>
      <c r="C59" s="12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</row>
    <row r="60" spans="1:22" outlineLevel="2" x14ac:dyDescent="0.2">
      <c r="B60" s="12" t="s">
        <v>11</v>
      </c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</row>
    <row r="61" spans="1:22" outlineLevel="2" x14ac:dyDescent="0.2">
      <c r="B61" s="12"/>
      <c r="C61" s="3" t="s">
        <v>12</v>
      </c>
      <c r="D61" s="14">
        <f>+'KU_Summary - Cost - P1 (REG)'!D32</f>
        <v>324087.84000000003</v>
      </c>
      <c r="E61" s="14"/>
      <c r="F61" s="14">
        <f>+'KU_Summary - Cost - P1 (REG)'!F32</f>
        <v>0</v>
      </c>
      <c r="G61" s="14"/>
      <c r="H61" s="14">
        <f>+'KU_Summary - Cost - P1 (REG)'!H32</f>
        <v>0</v>
      </c>
      <c r="I61" s="14"/>
      <c r="J61" s="14">
        <f>+'KU_Summary - Cost - P1 (REG)'!J32</f>
        <v>113882.25</v>
      </c>
      <c r="K61" s="14"/>
      <c r="L61" s="14"/>
      <c r="M61" s="14"/>
      <c r="N61" s="14"/>
      <c r="O61" s="14"/>
      <c r="P61" s="14"/>
      <c r="Q61" s="14"/>
      <c r="R61" s="14"/>
      <c r="S61" s="14"/>
      <c r="T61" s="14">
        <f>F61+H61+J61</f>
        <v>113882.25</v>
      </c>
      <c r="U61" s="14"/>
      <c r="V61" s="14">
        <f>D61+T61</f>
        <v>437970.09</v>
      </c>
    </row>
    <row r="62" spans="1:22" outlineLevel="2" x14ac:dyDescent="0.2">
      <c r="B62" s="12"/>
      <c r="C62" s="43" t="s">
        <v>16</v>
      </c>
      <c r="D62" s="14">
        <f>+'KU_Summary - Cost - P1 (REG)'!D33</f>
        <v>309540.84999999998</v>
      </c>
      <c r="E62" s="14"/>
      <c r="F62" s="14">
        <f>+'KU_Summary - Cost - P1 (REG)'!F33</f>
        <v>0</v>
      </c>
      <c r="G62" s="14"/>
      <c r="H62" s="14">
        <f>+'KU_Summary - Cost - P1 (REG)'!H33</f>
        <v>0</v>
      </c>
      <c r="I62" s="14"/>
      <c r="J62" s="14">
        <f>+'KU_Summary - Cost - P1 (REG)'!J33</f>
        <v>0</v>
      </c>
      <c r="K62" s="14"/>
      <c r="L62" s="14"/>
      <c r="M62" s="14"/>
      <c r="N62" s="14"/>
      <c r="O62" s="14"/>
      <c r="P62" s="14"/>
      <c r="Q62" s="14"/>
      <c r="R62" s="14"/>
      <c r="S62" s="14"/>
      <c r="T62" s="14">
        <f>F62+H62+J62</f>
        <v>0</v>
      </c>
      <c r="U62" s="14"/>
      <c r="V62" s="14">
        <f>D62+T62</f>
        <v>309540.84999999998</v>
      </c>
    </row>
    <row r="63" spans="1:22" outlineLevel="2" x14ac:dyDescent="0.2">
      <c r="C63" s="3" t="s">
        <v>21</v>
      </c>
      <c r="D63" s="16">
        <f>+'KU_Summary - Cost - P1 (REG)'!D34</f>
        <v>0</v>
      </c>
      <c r="E63" s="14"/>
      <c r="F63" s="14">
        <f>+'KU_Summary - Cost - P1 (REG)'!F34</f>
        <v>0</v>
      </c>
      <c r="G63" s="14"/>
      <c r="H63" s="14">
        <f>+'KU_Summary - Cost - P1 (REG)'!H34</f>
        <v>0</v>
      </c>
      <c r="I63" s="14"/>
      <c r="J63" s="14">
        <f>+'KU_Summary - Cost - P1 (REG)'!J34</f>
        <v>0</v>
      </c>
      <c r="K63" s="17"/>
      <c r="L63" s="17"/>
      <c r="M63" s="17"/>
      <c r="N63" s="17"/>
      <c r="O63" s="17"/>
      <c r="P63" s="17"/>
      <c r="Q63" s="17"/>
      <c r="R63" s="17"/>
      <c r="S63" s="17"/>
      <c r="T63" s="16">
        <f>F63+H63+J63</f>
        <v>0</v>
      </c>
      <c r="U63" s="14"/>
      <c r="V63" s="16">
        <f>D63+T63</f>
        <v>0</v>
      </c>
    </row>
    <row r="64" spans="1:22" outlineLevel="2" x14ac:dyDescent="0.2">
      <c r="D64" s="14"/>
      <c r="E64" s="14"/>
      <c r="F64" s="18"/>
      <c r="G64" s="14"/>
      <c r="H64" s="18"/>
      <c r="I64" s="14"/>
      <c r="J64" s="18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</row>
    <row r="65" spans="1:22" outlineLevel="2" x14ac:dyDescent="0.2">
      <c r="C65" s="12" t="s">
        <v>24</v>
      </c>
      <c r="D65" s="16">
        <f>SUM(D61:D64)</f>
        <v>633628.68999999994</v>
      </c>
      <c r="E65" s="14"/>
      <c r="F65" s="16">
        <f>SUM(F61:F64)</f>
        <v>0</v>
      </c>
      <c r="G65" s="14"/>
      <c r="H65" s="16">
        <f>SUM(H61:H64)</f>
        <v>0</v>
      </c>
      <c r="I65" s="14"/>
      <c r="J65" s="16">
        <f>SUM(J61:J64)</f>
        <v>113882.25</v>
      </c>
      <c r="K65" s="17"/>
      <c r="L65" s="17"/>
      <c r="M65" s="17"/>
      <c r="N65" s="17"/>
      <c r="O65" s="17"/>
      <c r="P65" s="17"/>
      <c r="Q65" s="17"/>
      <c r="R65" s="17"/>
      <c r="S65" s="17"/>
      <c r="T65" s="16">
        <f>SUM(T61:T64)</f>
        <v>113882.25</v>
      </c>
      <c r="U65" s="14"/>
      <c r="V65" s="16">
        <f>SUM(V61:V64)</f>
        <v>747510.94</v>
      </c>
    </row>
    <row r="66" spans="1:22" outlineLevel="2" x14ac:dyDescent="0.2">
      <c r="C66" s="12"/>
      <c r="D66" s="17"/>
      <c r="E66" s="14"/>
      <c r="F66" s="17"/>
      <c r="G66" s="14"/>
      <c r="H66" s="17"/>
      <c r="I66" s="14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4"/>
      <c r="V66" s="17"/>
    </row>
    <row r="67" spans="1:22" outlineLevel="2" x14ac:dyDescent="0.2"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</row>
    <row r="68" spans="1:22" outlineLevel="2" x14ac:dyDescent="0.2">
      <c r="A68" s="8">
        <v>106</v>
      </c>
      <c r="B68" s="12" t="s">
        <v>25</v>
      </c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</row>
    <row r="69" spans="1:22" outlineLevel="2" x14ac:dyDescent="0.2">
      <c r="B69" s="12" t="s">
        <v>11</v>
      </c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</row>
    <row r="70" spans="1:22" outlineLevel="2" x14ac:dyDescent="0.2">
      <c r="C70" s="3" t="s">
        <v>12</v>
      </c>
      <c r="D70" s="14">
        <f>+'KU_Summary - Cost - P1 (REG)'!D41</f>
        <v>30543077.310000032</v>
      </c>
      <c r="E70" s="14"/>
      <c r="F70" s="14">
        <f>+'KU_Summary - Cost - P1 (REG)'!F41</f>
        <v>31479745.140000001</v>
      </c>
      <c r="G70" s="14"/>
      <c r="H70" s="14">
        <f>+'KU_Summary - Cost - P1 (REG)'!H41</f>
        <v>0</v>
      </c>
      <c r="I70" s="14"/>
      <c r="J70" s="14">
        <f>+'KU_Summary - Cost - P1 (REG)'!J41</f>
        <v>0</v>
      </c>
      <c r="K70" s="14"/>
      <c r="L70" s="14"/>
      <c r="M70" s="14"/>
      <c r="N70" s="14"/>
      <c r="O70" s="14"/>
      <c r="P70" s="14"/>
      <c r="Q70" s="14"/>
      <c r="R70" s="14"/>
      <c r="S70" s="14"/>
      <c r="T70" s="14">
        <f t="shared" ref="T70:T76" si="6">F70+H70+J70</f>
        <v>31479745.140000001</v>
      </c>
      <c r="U70" s="14"/>
      <c r="V70" s="14">
        <f t="shared" ref="V70:V76" si="7">D70+T70</f>
        <v>62022822.450000033</v>
      </c>
    </row>
    <row r="71" spans="1:22" outlineLevel="2" x14ac:dyDescent="0.2">
      <c r="C71" s="3" t="s">
        <v>13</v>
      </c>
      <c r="D71" s="14">
        <f>+'KU_Summary - Cost - P1 (REG)'!D42</f>
        <v>13632687.509999998</v>
      </c>
      <c r="E71" s="14"/>
      <c r="F71" s="14">
        <f>+'KU_Summary - Cost - P1 (REG)'!F42</f>
        <v>-2935697.24</v>
      </c>
      <c r="G71" s="14"/>
      <c r="H71" s="14">
        <f>+'KU_Summary - Cost - P1 (REG)'!H42</f>
        <v>0</v>
      </c>
      <c r="I71" s="14"/>
      <c r="J71" s="14">
        <f>+'KU_Summary - Cost - P1 (REG)'!J42</f>
        <v>0</v>
      </c>
      <c r="K71" s="14"/>
      <c r="L71" s="14"/>
      <c r="M71" s="14"/>
      <c r="N71" s="14"/>
      <c r="O71" s="14"/>
      <c r="P71" s="14"/>
      <c r="Q71" s="14"/>
      <c r="R71" s="14"/>
      <c r="S71" s="14"/>
      <c r="T71" s="14">
        <f t="shared" si="6"/>
        <v>-2935697.24</v>
      </c>
      <c r="U71" s="14"/>
      <c r="V71" s="14">
        <f t="shared" si="7"/>
        <v>10696990.269999998</v>
      </c>
    </row>
    <row r="72" spans="1:22" outlineLevel="2" x14ac:dyDescent="0.2">
      <c r="C72" s="3" t="s">
        <v>14</v>
      </c>
      <c r="D72" s="14">
        <f>+'KU_Summary - Cost - P1 (REG)'!D43</f>
        <v>370158.33000000101</v>
      </c>
      <c r="E72" s="14"/>
      <c r="F72" s="14">
        <f>+'KU_Summary - Cost - P1 (REG)'!F43</f>
        <v>-370158.33</v>
      </c>
      <c r="G72" s="14"/>
      <c r="H72" s="14">
        <f>+'KU_Summary - Cost - P1 (REG)'!H43</f>
        <v>0</v>
      </c>
      <c r="I72" s="14"/>
      <c r="J72" s="14">
        <f>+'KU_Summary - Cost - P1 (REG)'!J43</f>
        <v>0</v>
      </c>
      <c r="K72" s="14"/>
      <c r="L72" s="14"/>
      <c r="M72" s="14"/>
      <c r="N72" s="14"/>
      <c r="O72" s="14"/>
      <c r="P72" s="14"/>
      <c r="Q72" s="14"/>
      <c r="R72" s="14"/>
      <c r="S72" s="14"/>
      <c r="T72" s="14">
        <f t="shared" si="6"/>
        <v>-370158.33</v>
      </c>
      <c r="U72" s="14"/>
      <c r="V72" s="14">
        <f t="shared" si="7"/>
        <v>9.8953023552894592E-10</v>
      </c>
    </row>
    <row r="73" spans="1:22" outlineLevel="2" x14ac:dyDescent="0.2">
      <c r="C73" s="3" t="s">
        <v>15</v>
      </c>
      <c r="D73" s="14">
        <f>+'KU_Summary - Cost - P1 (REG)'!D44</f>
        <v>10687955.300000001</v>
      </c>
      <c r="E73" s="14"/>
      <c r="F73" s="14">
        <f>+'KU_Summary - Cost - P1 (REG)'!F44</f>
        <v>-2400761.4500000002</v>
      </c>
      <c r="G73" s="14"/>
      <c r="H73" s="14">
        <f>+'KU_Summary - Cost - P1 (REG)'!H44</f>
        <v>0</v>
      </c>
      <c r="I73" s="14"/>
      <c r="J73" s="14">
        <f>+'KU_Summary - Cost - P1 (REG)'!J44</f>
        <v>0</v>
      </c>
      <c r="K73" s="14"/>
      <c r="L73" s="14"/>
      <c r="M73" s="14"/>
      <c r="N73" s="14"/>
      <c r="O73" s="14"/>
      <c r="P73" s="14"/>
      <c r="Q73" s="14"/>
      <c r="R73" s="14"/>
      <c r="S73" s="14"/>
      <c r="T73" s="14">
        <f t="shared" si="6"/>
        <v>-2400761.4500000002</v>
      </c>
      <c r="U73" s="14"/>
      <c r="V73" s="14">
        <f t="shared" si="7"/>
        <v>8287193.8500000006</v>
      </c>
    </row>
    <row r="74" spans="1:22" outlineLevel="2" x14ac:dyDescent="0.2">
      <c r="C74" s="3" t="s">
        <v>16</v>
      </c>
      <c r="D74" s="14">
        <f>+'KU_Summary - Cost - P1 (REG)'!D45</f>
        <v>420341785.69300002</v>
      </c>
      <c r="E74" s="14"/>
      <c r="F74" s="14">
        <f>+'KU_Summary - Cost - P1 (REG)'!F45</f>
        <v>-393268415.72000003</v>
      </c>
      <c r="G74" s="14"/>
      <c r="H74" s="14">
        <f>+'KU_Summary - Cost - P1 (REG)'!H45</f>
        <v>0</v>
      </c>
      <c r="I74" s="14"/>
      <c r="J74" s="14">
        <f>+'KU_Summary - Cost - P1 (REG)'!J45</f>
        <v>0</v>
      </c>
      <c r="K74" s="14"/>
      <c r="L74" s="14"/>
      <c r="M74" s="14"/>
      <c r="N74" s="14"/>
      <c r="O74" s="14"/>
      <c r="P74" s="14"/>
      <c r="Q74" s="14"/>
      <c r="R74" s="14"/>
      <c r="S74" s="14"/>
      <c r="T74" s="14">
        <f t="shared" si="6"/>
        <v>-393268415.72000003</v>
      </c>
      <c r="U74" s="14"/>
      <c r="V74" s="14">
        <f t="shared" si="7"/>
        <v>27073369.97299999</v>
      </c>
    </row>
    <row r="75" spans="1:22" outlineLevel="2" x14ac:dyDescent="0.2">
      <c r="C75" s="3" t="s">
        <v>17</v>
      </c>
      <c r="D75" s="14">
        <f>+'KU_Summary - Cost - P1 (REG)'!D46</f>
        <v>1072399172.74</v>
      </c>
      <c r="E75" s="14"/>
      <c r="F75" s="14">
        <f>+'KU_Summary - Cost - P1 (REG)'!F46</f>
        <v>106040039.31</v>
      </c>
      <c r="G75" s="14"/>
      <c r="H75" s="14">
        <f>+'KU_Summary - Cost - P1 (REG)'!H46</f>
        <v>0</v>
      </c>
      <c r="I75" s="14"/>
      <c r="J75" s="14">
        <f>+'KU_Summary - Cost - P1 (REG)'!J46</f>
        <v>0</v>
      </c>
      <c r="K75" s="14"/>
      <c r="L75" s="14"/>
      <c r="M75" s="14"/>
      <c r="N75" s="14"/>
      <c r="O75" s="14"/>
      <c r="P75" s="14"/>
      <c r="Q75" s="14"/>
      <c r="R75" s="14"/>
      <c r="S75" s="14"/>
      <c r="T75" s="14">
        <f t="shared" si="6"/>
        <v>106040039.31</v>
      </c>
      <c r="U75" s="14"/>
      <c r="V75" s="14">
        <f t="shared" si="7"/>
        <v>1178439212.05</v>
      </c>
    </row>
    <row r="76" spans="1:22" outlineLevel="2" x14ac:dyDescent="0.2">
      <c r="C76" s="3" t="s">
        <v>18</v>
      </c>
      <c r="D76" s="14">
        <f>+'KU_Summary - Cost - P1 (REG)'!D47</f>
        <v>33781724.170000009</v>
      </c>
      <c r="E76" s="14"/>
      <c r="F76" s="14">
        <f>+'KU_Summary - Cost - P1 (REG)'!F47</f>
        <v>25124805.559999999</v>
      </c>
      <c r="G76" s="14"/>
      <c r="H76" s="14">
        <f>+'KU_Summary - Cost - P1 (REG)'!H47</f>
        <v>0</v>
      </c>
      <c r="I76" s="14"/>
      <c r="J76" s="17">
        <v>0</v>
      </c>
      <c r="K76" s="17"/>
      <c r="L76" s="17"/>
      <c r="M76" s="17"/>
      <c r="N76" s="17"/>
      <c r="O76" s="17"/>
      <c r="P76" s="17"/>
      <c r="Q76" s="17"/>
      <c r="R76" s="17"/>
      <c r="S76" s="17"/>
      <c r="T76" s="16">
        <f t="shared" si="6"/>
        <v>25124805.559999999</v>
      </c>
      <c r="U76" s="14"/>
      <c r="V76" s="16">
        <f t="shared" si="7"/>
        <v>58906529.730000004</v>
      </c>
    </row>
    <row r="77" spans="1:22" outlineLevel="2" x14ac:dyDescent="0.2">
      <c r="D77" s="18"/>
      <c r="E77" s="14"/>
      <c r="F77" s="18"/>
      <c r="G77" s="14"/>
      <c r="H77" s="18"/>
      <c r="I77" s="14"/>
      <c r="J77" s="18"/>
      <c r="K77" s="14"/>
      <c r="L77" s="18"/>
      <c r="M77" s="14"/>
      <c r="N77" s="18"/>
      <c r="O77" s="14"/>
      <c r="P77" s="18"/>
      <c r="Q77" s="14"/>
      <c r="R77" s="18"/>
      <c r="S77" s="14"/>
      <c r="T77" s="14"/>
      <c r="U77" s="14"/>
      <c r="V77" s="14"/>
    </row>
    <row r="78" spans="1:22" outlineLevel="2" x14ac:dyDescent="0.2">
      <c r="C78" s="12" t="s">
        <v>26</v>
      </c>
      <c r="D78" s="16">
        <f>SUM(D70:D76)</f>
        <v>1581756561.0530002</v>
      </c>
      <c r="E78" s="14"/>
      <c r="F78" s="16">
        <f>SUM(F70:F76)</f>
        <v>-236330442.73000002</v>
      </c>
      <c r="G78" s="14"/>
      <c r="H78" s="16">
        <f>SUM(H70:H76)</f>
        <v>0</v>
      </c>
      <c r="I78" s="14"/>
      <c r="J78" s="16">
        <f>SUM(J70:J76)</f>
        <v>0</v>
      </c>
      <c r="K78" s="17"/>
      <c r="L78" s="17"/>
      <c r="M78" s="17"/>
      <c r="N78" s="17"/>
      <c r="O78" s="17"/>
      <c r="P78" s="17"/>
      <c r="Q78" s="17"/>
      <c r="R78" s="17"/>
      <c r="S78" s="17"/>
      <c r="T78" s="16">
        <f>SUM(T70:T76)</f>
        <v>-236330442.73000002</v>
      </c>
      <c r="U78" s="14"/>
      <c r="V78" s="16">
        <f>SUM(V70:V76)</f>
        <v>1345426118.323</v>
      </c>
    </row>
    <row r="79" spans="1:22" outlineLevel="2" x14ac:dyDescent="0.2">
      <c r="C79" s="12"/>
      <c r="D79" s="17"/>
      <c r="E79" s="14"/>
      <c r="F79" s="17"/>
      <c r="G79" s="14"/>
      <c r="H79" s="17"/>
      <c r="I79" s="14"/>
      <c r="J79" s="17"/>
      <c r="K79" s="17"/>
      <c r="L79" s="18"/>
      <c r="M79" s="17"/>
      <c r="N79" s="18"/>
      <c r="O79" s="17"/>
      <c r="P79" s="18"/>
      <c r="Q79" s="17"/>
      <c r="R79" s="18"/>
      <c r="S79" s="17"/>
      <c r="T79" s="17"/>
      <c r="U79" s="14"/>
      <c r="V79" s="17"/>
    </row>
    <row r="80" spans="1:22" outlineLevel="2" x14ac:dyDescent="0.2">
      <c r="A80" s="71" t="s">
        <v>111</v>
      </c>
      <c r="C80" s="12"/>
      <c r="D80" s="17"/>
      <c r="E80" s="14"/>
      <c r="F80" s="17"/>
      <c r="G80" s="14"/>
      <c r="H80" s="17"/>
      <c r="I80" s="14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4"/>
      <c r="V80" s="17"/>
    </row>
    <row r="81" spans="1:46" outlineLevel="2" x14ac:dyDescent="0.2">
      <c r="A81" s="96" t="s">
        <v>112</v>
      </c>
      <c r="C81" s="43" t="s">
        <v>113</v>
      </c>
      <c r="D81" s="17">
        <f>+D115</f>
        <v>879311.47</v>
      </c>
      <c r="E81" s="14"/>
      <c r="F81" s="17">
        <f>+F115</f>
        <v>0</v>
      </c>
      <c r="G81" s="14"/>
      <c r="H81" s="17">
        <f>+H115</f>
        <v>0</v>
      </c>
      <c r="I81" s="14"/>
      <c r="J81" s="17">
        <f>+J115</f>
        <v>0</v>
      </c>
      <c r="K81" s="17"/>
      <c r="L81" s="17">
        <f>+L115</f>
        <v>0</v>
      </c>
      <c r="M81" s="17"/>
      <c r="N81" s="17">
        <f>+N115</f>
        <v>0</v>
      </c>
      <c r="O81" s="17"/>
      <c r="P81" s="17">
        <f>+P115</f>
        <v>0</v>
      </c>
      <c r="Q81" s="17"/>
      <c r="R81" s="17">
        <f>+R115</f>
        <v>0</v>
      </c>
      <c r="S81" s="17"/>
      <c r="T81" s="17">
        <f>+T115</f>
        <v>0</v>
      </c>
      <c r="U81" s="14"/>
      <c r="V81" s="17">
        <f>+V115</f>
        <v>879311.47</v>
      </c>
    </row>
    <row r="82" spans="1:46" outlineLevel="2" x14ac:dyDescent="0.2">
      <c r="A82" s="96" t="s">
        <v>114</v>
      </c>
      <c r="C82" s="43" t="s">
        <v>113</v>
      </c>
      <c r="D82" s="17">
        <f t="shared" ref="D82:F84" si="8">+D116</f>
        <v>176409.31</v>
      </c>
      <c r="E82" s="14"/>
      <c r="F82" s="17">
        <f t="shared" si="8"/>
        <v>0</v>
      </c>
      <c r="G82" s="14"/>
      <c r="H82" s="17">
        <f>+H116</f>
        <v>0</v>
      </c>
      <c r="I82" s="14"/>
      <c r="J82" s="17">
        <f>+J116</f>
        <v>0</v>
      </c>
      <c r="K82" s="17"/>
      <c r="L82" s="17">
        <f>+L116</f>
        <v>0</v>
      </c>
      <c r="M82" s="17"/>
      <c r="N82" s="17">
        <f>+N116</f>
        <v>0</v>
      </c>
      <c r="O82" s="17"/>
      <c r="P82" s="17">
        <f>+P116</f>
        <v>0</v>
      </c>
      <c r="Q82" s="17"/>
      <c r="R82" s="17">
        <f>+R116</f>
        <v>0</v>
      </c>
      <c r="S82" s="17"/>
      <c r="T82" s="17">
        <f>+T116</f>
        <v>0</v>
      </c>
      <c r="U82" s="14"/>
      <c r="V82" s="17">
        <f>+V116</f>
        <v>176409.31</v>
      </c>
    </row>
    <row r="83" spans="1:46" outlineLevel="2" x14ac:dyDescent="0.2">
      <c r="A83" s="96" t="s">
        <v>115</v>
      </c>
      <c r="C83" s="43" t="s">
        <v>113</v>
      </c>
      <c r="D83" s="17">
        <f>+D117</f>
        <v>29428995.299999997</v>
      </c>
      <c r="E83" s="14"/>
      <c r="F83" s="17">
        <f t="shared" si="8"/>
        <v>100844.38</v>
      </c>
      <c r="G83" s="14"/>
      <c r="H83" s="17">
        <f>+H117</f>
        <v>0</v>
      </c>
      <c r="I83" s="14"/>
      <c r="J83" s="17">
        <f>+J117</f>
        <v>0</v>
      </c>
      <c r="K83" s="17"/>
      <c r="L83" s="17">
        <f>+L117</f>
        <v>0</v>
      </c>
      <c r="M83" s="17"/>
      <c r="N83" s="17">
        <f>+N117</f>
        <v>0</v>
      </c>
      <c r="O83" s="17"/>
      <c r="P83" s="17">
        <f>+P117</f>
        <v>0</v>
      </c>
      <c r="Q83" s="17"/>
      <c r="R83" s="17">
        <f>+R117</f>
        <v>0</v>
      </c>
      <c r="S83" s="17"/>
      <c r="T83" s="17">
        <f>+T117</f>
        <v>0</v>
      </c>
      <c r="U83" s="14"/>
      <c r="V83" s="17">
        <f>+V117</f>
        <v>29529839.679999996</v>
      </c>
    </row>
    <row r="84" spans="1:46" outlineLevel="2" x14ac:dyDescent="0.2">
      <c r="A84" s="96" t="s">
        <v>116</v>
      </c>
      <c r="C84" s="43" t="s">
        <v>113</v>
      </c>
      <c r="D84" s="17">
        <f t="shared" si="8"/>
        <v>2168929.31</v>
      </c>
      <c r="E84" s="14"/>
      <c r="F84" s="17">
        <f t="shared" si="8"/>
        <v>0</v>
      </c>
      <c r="G84" s="14"/>
      <c r="H84" s="17">
        <f>+H118</f>
        <v>0</v>
      </c>
      <c r="I84" s="14"/>
      <c r="J84" s="17">
        <f>+J118</f>
        <v>0</v>
      </c>
      <c r="K84" s="17"/>
      <c r="L84" s="17">
        <f>+L118</f>
        <v>0</v>
      </c>
      <c r="M84" s="17"/>
      <c r="N84" s="17">
        <f>+N118</f>
        <v>0</v>
      </c>
      <c r="O84" s="17"/>
      <c r="P84" s="17">
        <f>+P118</f>
        <v>0</v>
      </c>
      <c r="Q84" s="17"/>
      <c r="R84" s="17">
        <f>+R118</f>
        <v>0</v>
      </c>
      <c r="S84" s="17"/>
      <c r="T84" s="17">
        <f>+T118</f>
        <v>0</v>
      </c>
      <c r="U84" s="14"/>
      <c r="V84" s="17">
        <f>+V118</f>
        <v>2168929.31</v>
      </c>
    </row>
    <row r="85" spans="1:46" outlineLevel="2" x14ac:dyDescent="0.2">
      <c r="A85" s="96" t="s">
        <v>117</v>
      </c>
      <c r="C85" s="43" t="s">
        <v>118</v>
      </c>
      <c r="D85" s="17">
        <f>+D119</f>
        <v>55918.829999999994</v>
      </c>
      <c r="E85" s="14"/>
      <c r="F85" s="17">
        <f>+F119</f>
        <v>0</v>
      </c>
      <c r="G85" s="14"/>
      <c r="H85" s="17">
        <f>+H119</f>
        <v>0</v>
      </c>
      <c r="I85" s="14"/>
      <c r="J85" s="17">
        <f>+J119</f>
        <v>0</v>
      </c>
      <c r="K85" s="17"/>
      <c r="L85" s="17">
        <f>+L119</f>
        <v>0</v>
      </c>
      <c r="M85" s="17"/>
      <c r="N85" s="17">
        <f>+N119</f>
        <v>0</v>
      </c>
      <c r="O85" s="17"/>
      <c r="P85" s="17">
        <f>+P119</f>
        <v>0</v>
      </c>
      <c r="Q85" s="17"/>
      <c r="R85" s="17">
        <f>+R119</f>
        <v>0</v>
      </c>
      <c r="S85" s="17"/>
      <c r="T85" s="17">
        <f>+T119</f>
        <v>0</v>
      </c>
      <c r="U85" s="14"/>
      <c r="V85" s="17">
        <f>+V119</f>
        <v>55918.829999999994</v>
      </c>
    </row>
    <row r="86" spans="1:46" outlineLevel="2" x14ac:dyDescent="0.2">
      <c r="C86" s="12" t="s">
        <v>119</v>
      </c>
      <c r="D86" s="141">
        <f>SUM(D81:D85)</f>
        <v>32709564.219999995</v>
      </c>
      <c r="E86" s="14"/>
      <c r="F86" s="141">
        <f>SUM(F80:F85)</f>
        <v>100844.38</v>
      </c>
      <c r="G86" s="14"/>
      <c r="H86" s="141">
        <f>SUM(H80:H85)</f>
        <v>0</v>
      </c>
      <c r="I86" s="14"/>
      <c r="J86" s="141">
        <f>SUM(J80:J85)</f>
        <v>0</v>
      </c>
      <c r="K86" s="17"/>
      <c r="L86" s="141">
        <f>SUM(L80:L85)</f>
        <v>0</v>
      </c>
      <c r="M86" s="17"/>
      <c r="N86" s="141">
        <f>SUM(N80:N85)</f>
        <v>0</v>
      </c>
      <c r="O86" s="17"/>
      <c r="P86" s="141">
        <f>SUM(P80:P85)</f>
        <v>0</v>
      </c>
      <c r="Q86" s="17"/>
      <c r="R86" s="141">
        <f>SUM(R80:R85)</f>
        <v>0</v>
      </c>
      <c r="S86" s="17"/>
      <c r="T86" s="141">
        <f>SUM(T80:T85)</f>
        <v>0</v>
      </c>
      <c r="U86" s="14"/>
      <c r="V86" s="141">
        <f>SUM(V80:V85)</f>
        <v>32810408.599999994</v>
      </c>
    </row>
    <row r="87" spans="1:46" outlineLevel="2" x14ac:dyDescent="0.2">
      <c r="C87" s="12"/>
      <c r="D87" s="17"/>
      <c r="E87" s="14"/>
      <c r="F87" s="17"/>
      <c r="G87" s="14"/>
      <c r="H87" s="17"/>
      <c r="I87" s="14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4"/>
      <c r="V87" s="17"/>
    </row>
    <row r="88" spans="1:46" outlineLevel="1" x14ac:dyDescent="0.2">
      <c r="B88" s="3" t="s">
        <v>93</v>
      </c>
      <c r="D88" s="14">
        <f>+D48+D56+D65+D78-D86</f>
        <v>8782272369.4629993</v>
      </c>
      <c r="E88" s="14"/>
      <c r="F88" s="14">
        <f>+F48+F56+F65+F78-F86</f>
        <v>410169249.14999998</v>
      </c>
      <c r="G88" s="14"/>
      <c r="H88" s="14">
        <f>+H48+H56+H65+H78-H86</f>
        <v>-60891331.049999997</v>
      </c>
      <c r="I88" s="14"/>
      <c r="J88" s="14">
        <f>+J48+J56+J65+J78-J86</f>
        <v>-78605890.499999985</v>
      </c>
      <c r="K88" s="14"/>
      <c r="L88" s="14">
        <f>+L48+L56+L65+L78-L86</f>
        <v>0</v>
      </c>
      <c r="M88" s="14"/>
      <c r="N88" s="14">
        <f>+N48+N56+N65+N78-N86</f>
        <v>0</v>
      </c>
      <c r="O88" s="14"/>
      <c r="P88" s="14">
        <f>+P48+P56+P65+P78-P86</f>
        <v>0</v>
      </c>
      <c r="Q88" s="14"/>
      <c r="R88" s="14">
        <f>+R48+R56+R65+R78-R86</f>
        <v>0</v>
      </c>
      <c r="S88" s="14"/>
      <c r="T88" s="14">
        <f>+T48+T56+T65+T78-T86</f>
        <v>270772871.97999996</v>
      </c>
      <c r="U88" s="14"/>
      <c r="V88" s="14">
        <f>+V48+V56+V65+V78-V86</f>
        <v>9052944397.0629978</v>
      </c>
      <c r="AC88" s="15">
        <f>+F88-AD88</f>
        <v>410169249.14999998</v>
      </c>
      <c r="AD88" s="15">
        <v>0</v>
      </c>
      <c r="AE88" s="15">
        <f>+H88</f>
        <v>-60891331.049999997</v>
      </c>
      <c r="AF88" s="15">
        <v>0</v>
      </c>
      <c r="AG88" s="15"/>
      <c r="AH88" s="15"/>
      <c r="AI88" s="15"/>
      <c r="AJ88" s="15"/>
      <c r="AK88" s="15">
        <v>0</v>
      </c>
      <c r="AL88" s="15"/>
      <c r="AM88" s="15">
        <f>+J88-AG88-AK88-AL88</f>
        <v>-78605890.499999985</v>
      </c>
      <c r="AS88" s="15">
        <f>SUM(X88:AQ88)</f>
        <v>270672027.59999996</v>
      </c>
      <c r="AT88" s="15">
        <f>+V88-D88-AS88</f>
        <v>-1.4901161193847656E-6</v>
      </c>
    </row>
    <row r="89" spans="1:46" outlineLevel="1" x14ac:dyDescent="0.2">
      <c r="D89" s="14">
        <f>+D88-D10</f>
        <v>2.99835205078125E-3</v>
      </c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>
        <f>+V88-V10</f>
        <v>2.99835205078125E-3</v>
      </c>
    </row>
    <row r="90" spans="1:46" outlineLevel="1" x14ac:dyDescent="0.2"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>
        <f>+V88-D88-F88-H88-J88-L88-N88-P88-R88</f>
        <v>-1.5199184417724609E-6</v>
      </c>
    </row>
    <row r="91" spans="1:46" outlineLevel="1" x14ac:dyDescent="0.2"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</row>
    <row r="92" spans="1:46" outlineLevel="3" x14ac:dyDescent="0.2">
      <c r="A92" s="8">
        <v>121</v>
      </c>
      <c r="B92" s="12" t="s">
        <v>27</v>
      </c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</row>
    <row r="93" spans="1:46" outlineLevel="3" x14ac:dyDescent="0.2">
      <c r="B93" s="12" t="s">
        <v>28</v>
      </c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</row>
    <row r="94" spans="1:46" outlineLevel="3" x14ac:dyDescent="0.2">
      <c r="C94" s="3" t="s">
        <v>29</v>
      </c>
      <c r="D94" s="16">
        <f>+'KU_Summary - Cost - P1 (REG)'!D54</f>
        <v>971313.09999999986</v>
      </c>
      <c r="E94" s="14"/>
      <c r="F94" s="16">
        <f>+'KU_Summary - Cost - P1 (REG)'!F54</f>
        <v>0</v>
      </c>
      <c r="G94" s="14"/>
      <c r="H94" s="16">
        <f>+'KU_Summary - Cost - P1 (REG)'!H54</f>
        <v>0</v>
      </c>
      <c r="I94" s="14"/>
      <c r="J94" s="16">
        <f>+'KU_Summary - Cost - P1 (REG)'!J54</f>
        <v>0</v>
      </c>
      <c r="K94" s="17"/>
      <c r="L94" s="17"/>
      <c r="M94" s="17"/>
      <c r="N94" s="17"/>
      <c r="O94" s="17"/>
      <c r="P94" s="17"/>
      <c r="Q94" s="17"/>
      <c r="R94" s="17"/>
      <c r="S94" s="17"/>
      <c r="T94" s="16">
        <f>F94+H94+J94</f>
        <v>0</v>
      </c>
      <c r="U94" s="14"/>
      <c r="V94" s="16">
        <f>D94+T94</f>
        <v>971313.09999999986</v>
      </c>
    </row>
    <row r="95" spans="1:46" outlineLevel="3" x14ac:dyDescent="0.2"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7"/>
    </row>
    <row r="96" spans="1:46" outlineLevel="3" x14ac:dyDescent="0.2">
      <c r="C96" s="12" t="s">
        <v>30</v>
      </c>
      <c r="D96" s="16">
        <f>SUM(D94)</f>
        <v>971313.09999999986</v>
      </c>
      <c r="E96" s="14"/>
      <c r="F96" s="16">
        <f>SUM(F94)</f>
        <v>0</v>
      </c>
      <c r="G96" s="14"/>
      <c r="H96" s="16">
        <f>SUM(H94)</f>
        <v>0</v>
      </c>
      <c r="I96" s="14"/>
      <c r="J96" s="16">
        <f>SUM(J94)</f>
        <v>0</v>
      </c>
      <c r="K96" s="17"/>
      <c r="L96" s="17"/>
      <c r="M96" s="17"/>
      <c r="N96" s="17"/>
      <c r="O96" s="17"/>
      <c r="P96" s="17"/>
      <c r="Q96" s="17"/>
      <c r="R96" s="17"/>
      <c r="S96" s="17"/>
      <c r="T96" s="16">
        <f>SUM(T94)</f>
        <v>0</v>
      </c>
      <c r="U96" s="14"/>
      <c r="V96" s="16">
        <f>SUM(V94)</f>
        <v>971313.09999999986</v>
      </c>
    </row>
    <row r="97" spans="1:46" outlineLevel="3" x14ac:dyDescent="0.2">
      <c r="C97" s="12"/>
      <c r="D97" s="17"/>
      <c r="E97" s="14"/>
      <c r="F97" s="17"/>
      <c r="G97" s="14"/>
      <c r="H97" s="17"/>
      <c r="I97" s="14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4"/>
      <c r="V97" s="17"/>
    </row>
    <row r="98" spans="1:46" outlineLevel="1" x14ac:dyDescent="0.2">
      <c r="B98" s="43" t="s">
        <v>94</v>
      </c>
      <c r="C98" s="12"/>
      <c r="D98" s="17">
        <f>+D96</f>
        <v>971313.09999999986</v>
      </c>
      <c r="E98" s="14"/>
      <c r="F98" s="17">
        <f>+F96</f>
        <v>0</v>
      </c>
      <c r="G98" s="14"/>
      <c r="H98" s="17">
        <f>+H96</f>
        <v>0</v>
      </c>
      <c r="I98" s="14"/>
      <c r="J98" s="17">
        <f>+J96</f>
        <v>0</v>
      </c>
      <c r="K98" s="17"/>
      <c r="L98" s="17">
        <f>+L96</f>
        <v>0</v>
      </c>
      <c r="M98" s="17"/>
      <c r="N98" s="17">
        <f>+N96</f>
        <v>0</v>
      </c>
      <c r="O98" s="17"/>
      <c r="P98" s="17">
        <f>+P96</f>
        <v>0</v>
      </c>
      <c r="Q98" s="17"/>
      <c r="R98" s="17">
        <f>+R96</f>
        <v>0</v>
      </c>
      <c r="S98" s="17"/>
      <c r="T98" s="17">
        <f>+T96</f>
        <v>0</v>
      </c>
      <c r="U98" s="14"/>
      <c r="V98" s="17">
        <f>+V96</f>
        <v>971313.09999999986</v>
      </c>
      <c r="AC98" s="15">
        <f>+F98</f>
        <v>0</v>
      </c>
      <c r="AD98" s="15"/>
      <c r="AE98" s="15">
        <f>+G98</f>
        <v>0</v>
      </c>
      <c r="AF98" s="15"/>
      <c r="AG98" s="15"/>
      <c r="AH98" s="15"/>
      <c r="AI98" s="15"/>
      <c r="AJ98" s="15"/>
      <c r="AK98" s="15"/>
      <c r="AL98" s="15"/>
      <c r="AM98" s="15">
        <f>+J98</f>
        <v>0</v>
      </c>
      <c r="AN98" s="15">
        <f>+I98</f>
        <v>0</v>
      </c>
      <c r="AO98" s="15"/>
      <c r="AP98" s="15"/>
      <c r="AQ98" s="15">
        <f>+K98</f>
        <v>0</v>
      </c>
      <c r="AS98" s="15">
        <f>SUM(X98:AQ98)</f>
        <v>0</v>
      </c>
      <c r="AT98" s="15">
        <f>+V98-D98-AS98</f>
        <v>0</v>
      </c>
    </row>
    <row r="99" spans="1:46" outlineLevel="1" x14ac:dyDescent="0.2">
      <c r="B99" s="43"/>
      <c r="C99" s="12"/>
      <c r="D99" s="17">
        <f>+D98-D11</f>
        <v>0</v>
      </c>
      <c r="E99" s="14"/>
      <c r="F99" s="17"/>
      <c r="G99" s="14"/>
      <c r="H99" s="17"/>
      <c r="I99" s="14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4"/>
      <c r="V99" s="17">
        <f>+V98-V11</f>
        <v>0</v>
      </c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S99" s="15"/>
      <c r="AT99" s="15"/>
    </row>
    <row r="100" spans="1:46" outlineLevel="1" x14ac:dyDescent="0.2"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</row>
    <row r="101" spans="1:46" outlineLevel="3" x14ac:dyDescent="0.2">
      <c r="A101" s="8">
        <v>107</v>
      </c>
      <c r="B101" s="12" t="s">
        <v>31</v>
      </c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</row>
    <row r="102" spans="1:46" outlineLevel="3" x14ac:dyDescent="0.2">
      <c r="B102" s="12" t="s">
        <v>11</v>
      </c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</row>
    <row r="103" spans="1:46" outlineLevel="3" x14ac:dyDescent="0.2">
      <c r="C103" s="3" t="s">
        <v>11</v>
      </c>
      <c r="D103" s="16">
        <f>+'KU_Summary - Cost - P1 (REG)'!D61</f>
        <v>267026967.55000007</v>
      </c>
      <c r="E103" s="14"/>
      <c r="F103" s="16">
        <f>+'KU_Summary - Cost - P1 (REG)'!F61</f>
        <v>-86233847.280000001</v>
      </c>
      <c r="G103" s="14"/>
      <c r="H103" s="16">
        <f>+'KU_Summary - Cost - P1 (REG)'!H61</f>
        <v>0</v>
      </c>
      <c r="I103" s="14"/>
      <c r="J103" s="16">
        <f>+'KU_Summary - Cost - P1 (REG)'!J61</f>
        <v>0</v>
      </c>
      <c r="K103" s="17"/>
      <c r="L103" s="17"/>
      <c r="M103" s="17"/>
      <c r="N103" s="17"/>
      <c r="O103" s="17"/>
      <c r="P103" s="17"/>
      <c r="Q103" s="17"/>
      <c r="R103" s="17"/>
      <c r="S103" s="17"/>
      <c r="T103" s="16">
        <f>F103+H103+J103</f>
        <v>-86233847.280000001</v>
      </c>
      <c r="U103" s="14"/>
      <c r="V103" s="16">
        <f>D103+T103</f>
        <v>180793120.27000007</v>
      </c>
    </row>
    <row r="104" spans="1:46" outlineLevel="3" x14ac:dyDescent="0.2">
      <c r="C104" s="20"/>
      <c r="D104" s="17"/>
      <c r="E104" s="14"/>
      <c r="F104" s="17"/>
      <c r="G104" s="14"/>
      <c r="H104" s="17"/>
      <c r="I104" s="14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4"/>
      <c r="V104" s="17"/>
    </row>
    <row r="105" spans="1:46" outlineLevel="3" x14ac:dyDescent="0.2">
      <c r="C105" s="12" t="s">
        <v>32</v>
      </c>
      <c r="D105" s="16">
        <f>SUM(D103)</f>
        <v>267026967.55000007</v>
      </c>
      <c r="E105" s="14"/>
      <c r="F105" s="16">
        <f>SUM(F103)</f>
        <v>-86233847.280000001</v>
      </c>
      <c r="G105" s="14"/>
      <c r="H105" s="16">
        <f>SUM(H103)</f>
        <v>0</v>
      </c>
      <c r="I105" s="14"/>
      <c r="J105" s="16">
        <f>SUM(J103)</f>
        <v>0</v>
      </c>
      <c r="K105" s="17"/>
      <c r="L105" s="17"/>
      <c r="M105" s="17"/>
      <c r="N105" s="17"/>
      <c r="O105" s="17"/>
      <c r="P105" s="17"/>
      <c r="Q105" s="17"/>
      <c r="R105" s="17"/>
      <c r="S105" s="17"/>
      <c r="T105" s="16">
        <f>SUM(T103)</f>
        <v>-86233847.280000001</v>
      </c>
      <c r="U105" s="14"/>
      <c r="V105" s="16">
        <f>SUM(V103)</f>
        <v>180793120.27000007</v>
      </c>
    </row>
    <row r="106" spans="1:46" outlineLevel="3" x14ac:dyDescent="0.2">
      <c r="C106" s="12"/>
      <c r="D106" s="17"/>
      <c r="E106" s="14"/>
      <c r="F106" s="17"/>
      <c r="G106" s="14"/>
      <c r="H106" s="17"/>
      <c r="I106" s="14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4"/>
      <c r="V106" s="17"/>
    </row>
    <row r="107" spans="1:46" outlineLevel="1" x14ac:dyDescent="0.2">
      <c r="B107" s="3" t="s">
        <v>96</v>
      </c>
      <c r="C107" s="12"/>
      <c r="D107" s="17">
        <f>+D105</f>
        <v>267026967.55000007</v>
      </c>
      <c r="E107" s="14"/>
      <c r="F107" s="17">
        <f>+F105</f>
        <v>-86233847.280000001</v>
      </c>
      <c r="G107" s="14"/>
      <c r="H107" s="17">
        <f>+H105</f>
        <v>0</v>
      </c>
      <c r="I107" s="14"/>
      <c r="J107" s="17">
        <f>+J105</f>
        <v>0</v>
      </c>
      <c r="K107" s="17"/>
      <c r="L107" s="17">
        <f>+L105</f>
        <v>0</v>
      </c>
      <c r="M107" s="17"/>
      <c r="N107" s="17">
        <f>+N105</f>
        <v>0</v>
      </c>
      <c r="O107" s="17"/>
      <c r="P107" s="17">
        <f>+P105</f>
        <v>0</v>
      </c>
      <c r="Q107" s="17"/>
      <c r="R107" s="17">
        <f>+R105</f>
        <v>0</v>
      </c>
      <c r="S107" s="17"/>
      <c r="T107" s="17">
        <f>+T105</f>
        <v>-86233847.280000001</v>
      </c>
      <c r="U107" s="14"/>
      <c r="V107" s="17">
        <f>+V105</f>
        <v>180793120.27000007</v>
      </c>
      <c r="AC107" s="15">
        <f>-F88-AC130</f>
        <v>-410270093.52999997</v>
      </c>
      <c r="AD107" s="15">
        <v>0</v>
      </c>
      <c r="AQ107" s="15">
        <f>+'KU_Summary - Cost - P1 (REG)'!F73</f>
        <v>324036246.25</v>
      </c>
      <c r="AS107" s="15">
        <f>SUM(X107:AQ107)</f>
        <v>-86233847.279999971</v>
      </c>
      <c r="AT107" s="15">
        <f>+V107-D107-AS107</f>
        <v>0</v>
      </c>
    </row>
    <row r="108" spans="1:46" outlineLevel="1" x14ac:dyDescent="0.2">
      <c r="D108" s="14">
        <f>+D107-D13</f>
        <v>0</v>
      </c>
      <c r="E108" s="14"/>
      <c r="F108" s="14"/>
      <c r="G108" s="14"/>
      <c r="H108" s="14"/>
      <c r="I108" s="14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4"/>
      <c r="U108" s="14"/>
      <c r="V108" s="14">
        <f>+V107-V13</f>
        <v>0</v>
      </c>
    </row>
    <row r="109" spans="1:46" outlineLevel="1" x14ac:dyDescent="0.2"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</row>
    <row r="110" spans="1:46" outlineLevel="2" x14ac:dyDescent="0.2"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</row>
    <row r="111" spans="1:46" outlineLevel="2" x14ac:dyDescent="0.2">
      <c r="D111" s="25" t="s">
        <v>2</v>
      </c>
      <c r="F111" s="19"/>
      <c r="H111" s="19"/>
      <c r="J111" s="25" t="s">
        <v>3</v>
      </c>
      <c r="K111" s="25"/>
      <c r="L111" s="25" t="s">
        <v>37</v>
      </c>
      <c r="N111" s="25" t="s">
        <v>38</v>
      </c>
      <c r="P111" s="25"/>
      <c r="R111" s="25"/>
      <c r="T111" s="25"/>
      <c r="V111" s="25" t="s">
        <v>4</v>
      </c>
      <c r="W111" s="13"/>
    </row>
    <row r="112" spans="1:46" outlineLevel="2" x14ac:dyDescent="0.2">
      <c r="D112" s="10" t="s">
        <v>5</v>
      </c>
      <c r="F112" s="10" t="s">
        <v>39</v>
      </c>
      <c r="H112" s="10" t="s">
        <v>7</v>
      </c>
      <c r="J112" s="10" t="s">
        <v>8</v>
      </c>
      <c r="K112" s="11"/>
      <c r="L112" s="10" t="s">
        <v>40</v>
      </c>
      <c r="N112" s="10" t="s">
        <v>41</v>
      </c>
      <c r="P112" s="10" t="s">
        <v>42</v>
      </c>
      <c r="R112" s="10" t="s">
        <v>43</v>
      </c>
      <c r="T112" s="10" t="s">
        <v>44</v>
      </c>
      <c r="V112" s="10" t="s">
        <v>5</v>
      </c>
      <c r="W112" s="13"/>
    </row>
    <row r="113" spans="1:30" outlineLevel="2" x14ac:dyDescent="0.2"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</row>
    <row r="114" spans="1:30" outlineLevel="2" x14ac:dyDescent="0.2">
      <c r="A114" s="71" t="s">
        <v>120</v>
      </c>
      <c r="C114" s="12"/>
      <c r="D114" s="17"/>
      <c r="E114" s="14"/>
      <c r="F114" s="17"/>
      <c r="G114" s="14"/>
      <c r="H114" s="17"/>
      <c r="I114" s="14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4"/>
      <c r="V114" s="17"/>
    </row>
    <row r="115" spans="1:30" outlineLevel="2" x14ac:dyDescent="0.2">
      <c r="A115" s="96" t="s">
        <v>112</v>
      </c>
      <c r="C115" s="43" t="s">
        <v>113</v>
      </c>
      <c r="D115" s="17">
        <f>+'TOTAL_PIS NVB P5 (REG)'!B50</f>
        <v>879311.47</v>
      </c>
      <c r="E115" s="14"/>
      <c r="F115" s="17">
        <f>+'TOTAL_PIS NVB P5 (REG)'!D50</f>
        <v>0</v>
      </c>
      <c r="G115" s="14"/>
      <c r="H115" s="17">
        <f>+'TOTAL_PIS NVB P5 (REG)'!F50</f>
        <v>0</v>
      </c>
      <c r="I115" s="14"/>
      <c r="J115" s="17">
        <f>+'TOTAL_PIS NVB P5 (REG)'!H50</f>
        <v>0</v>
      </c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4"/>
      <c r="V115" s="17">
        <f>SUM(D115:T115)</f>
        <v>879311.47</v>
      </c>
    </row>
    <row r="116" spans="1:30" outlineLevel="2" x14ac:dyDescent="0.2">
      <c r="A116" s="96" t="s">
        <v>114</v>
      </c>
      <c r="C116" s="43" t="s">
        <v>113</v>
      </c>
      <c r="D116" s="17">
        <f>+'TOTAL_PIS COST SPLITS-P6 (REG)'!B67</f>
        <v>176409.31</v>
      </c>
      <c r="E116" s="14"/>
      <c r="F116" s="17">
        <f>+'TOTAL_PIS COST SPLITS-P6 (REG)'!D67</f>
        <v>0</v>
      </c>
      <c r="G116" s="14"/>
      <c r="H116" s="17">
        <f>+'TOTAL_PIS COST SPLITS-P6 (REG)'!F67</f>
        <v>0</v>
      </c>
      <c r="I116" s="14"/>
      <c r="J116" s="17">
        <f>+'TOTAL_PIS COST SPLITS-P6 (REG)'!H67</f>
        <v>0</v>
      </c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4"/>
      <c r="V116" s="17">
        <f>SUM(D116:T116)</f>
        <v>176409.31</v>
      </c>
    </row>
    <row r="117" spans="1:30" outlineLevel="2" x14ac:dyDescent="0.2">
      <c r="A117" s="96" t="s">
        <v>115</v>
      </c>
      <c r="C117" s="43" t="s">
        <v>113</v>
      </c>
      <c r="D117" s="17">
        <f>+'TOTAL_PIS COST SPLITS-P6 (REG)'!B96+'TOTAL_PIS COST SPLITS-P6 (REG)'!B179</f>
        <v>29428995.299999997</v>
      </c>
      <c r="E117" s="14"/>
      <c r="F117" s="17">
        <f>+'TOTAL_PIS COST SPLITS-P6 (REG)'!D96+'TOTAL_PIS COST SPLITS-P6 (REG)'!D179</f>
        <v>100844.38</v>
      </c>
      <c r="G117" s="14"/>
      <c r="H117" s="17">
        <f>+'TOTAL_PIS COST SPLITS-P6 (REG)'!F96+'TOTAL_PIS COST SPLITS-P6 (REG)'!F179</f>
        <v>0</v>
      </c>
      <c r="I117" s="14"/>
      <c r="J117" s="17">
        <f>+'TOTAL_PIS COST SPLITS-P6 (REG)'!H96+'TOTAL_PIS COST SPLITS-P6 (REG)'!H179</f>
        <v>0</v>
      </c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4"/>
      <c r="V117" s="17">
        <f>SUM(D117:T117)</f>
        <v>29529839.679999996</v>
      </c>
    </row>
    <row r="118" spans="1:30" outlineLevel="2" x14ac:dyDescent="0.2">
      <c r="A118" s="96" t="s">
        <v>116</v>
      </c>
      <c r="C118" s="43" t="s">
        <v>113</v>
      </c>
      <c r="D118" s="17">
        <f>+'TOTAL_PIS COST SPLITS-P6 (REG)'!B10</f>
        <v>2168929.31</v>
      </c>
      <c r="E118" s="14"/>
      <c r="F118" s="17">
        <f>+'TOTAL_PIS COST SPLITS-P6 (REG)'!D10</f>
        <v>0</v>
      </c>
      <c r="G118" s="14"/>
      <c r="H118" s="17">
        <f>+'TOTAL_PIS COST SPLITS-P6 (REG)'!F10</f>
        <v>0</v>
      </c>
      <c r="I118" s="14"/>
      <c r="J118" s="17">
        <f>+'TOTAL_PIS COST SPLITS-P6 (REG)'!H10</f>
        <v>0</v>
      </c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4"/>
      <c r="V118" s="17">
        <f>SUM(D118:T118)</f>
        <v>2168929.31</v>
      </c>
    </row>
    <row r="119" spans="1:30" outlineLevel="2" x14ac:dyDescent="0.2">
      <c r="A119" s="96" t="s">
        <v>117</v>
      </c>
      <c r="C119" s="43" t="s">
        <v>118</v>
      </c>
      <c r="D119" s="17">
        <f>+'TOTAL_PIS COST SPLITS-P6 (REG)'!B61</f>
        <v>55918.829999999994</v>
      </c>
      <c r="E119" s="14"/>
      <c r="F119" s="17">
        <f>+'TOTAL_PIS COST SPLITS-P6 (REG)'!D61</f>
        <v>0</v>
      </c>
      <c r="G119" s="14"/>
      <c r="H119" s="17">
        <f>+'TOTAL_PIS COST SPLITS-P6 (REG)'!F61</f>
        <v>0</v>
      </c>
      <c r="I119" s="14"/>
      <c r="J119" s="17">
        <f>+'TOTAL_PIS COST SPLITS-P6 (REG)'!H61</f>
        <v>0</v>
      </c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4"/>
      <c r="V119" s="17">
        <f>SUM(D119:T119)</f>
        <v>55918.829999999994</v>
      </c>
    </row>
    <row r="120" spans="1:30" outlineLevel="2" x14ac:dyDescent="0.2">
      <c r="C120" s="12"/>
      <c r="D120" s="141">
        <f>SUM(D114:D119)</f>
        <v>32709564.219999995</v>
      </c>
      <c r="E120" s="14"/>
      <c r="F120" s="141">
        <f>SUM(F114:F119)</f>
        <v>100844.38</v>
      </c>
      <c r="G120" s="14"/>
      <c r="H120" s="141">
        <f>SUM(H114:H119)</f>
        <v>0</v>
      </c>
      <c r="I120" s="14"/>
      <c r="J120" s="141">
        <f>SUM(J114:J119)</f>
        <v>0</v>
      </c>
      <c r="K120" s="17"/>
      <c r="L120" s="141">
        <f>SUM(L114:L119)</f>
        <v>0</v>
      </c>
      <c r="M120" s="17"/>
      <c r="N120" s="141">
        <f>SUM(N114:N119)</f>
        <v>0</v>
      </c>
      <c r="O120" s="17"/>
      <c r="P120" s="141">
        <f>SUM(P114:P119)</f>
        <v>0</v>
      </c>
      <c r="Q120" s="17"/>
      <c r="R120" s="141">
        <f>SUM(R114:R119)</f>
        <v>0</v>
      </c>
      <c r="S120" s="17"/>
      <c r="T120" s="141">
        <f>SUM(T114:T119)</f>
        <v>0</v>
      </c>
      <c r="U120" s="14"/>
      <c r="V120" s="141">
        <f>SUM(V114:V119)</f>
        <v>32810408.599999994</v>
      </c>
      <c r="AC120" s="15"/>
      <c r="AD120" s="15"/>
    </row>
    <row r="121" spans="1:30" outlineLevel="2" x14ac:dyDescent="0.2">
      <c r="C121" s="12"/>
      <c r="D121" s="17"/>
      <c r="E121" s="14"/>
      <c r="F121" s="17"/>
      <c r="G121" s="14"/>
      <c r="H121" s="17"/>
      <c r="I121" s="14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4"/>
      <c r="V121" s="17"/>
    </row>
    <row r="122" spans="1:30" outlineLevel="2" x14ac:dyDescent="0.2">
      <c r="A122" s="71" t="s">
        <v>121</v>
      </c>
      <c r="C122" s="12"/>
      <c r="D122" s="17"/>
      <c r="E122" s="14"/>
      <c r="F122" s="17"/>
      <c r="G122" s="14"/>
      <c r="H122" s="17"/>
      <c r="I122" s="14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4"/>
      <c r="V122" s="17"/>
    </row>
    <row r="123" spans="1:30" outlineLevel="2" x14ac:dyDescent="0.2">
      <c r="A123" s="96" t="s">
        <v>112</v>
      </c>
      <c r="C123" s="43" t="s">
        <v>113</v>
      </c>
      <c r="D123" s="17">
        <f>+D160</f>
        <v>-934776.4</v>
      </c>
      <c r="E123" s="14"/>
      <c r="F123" s="17">
        <f>+F160</f>
        <v>0</v>
      </c>
      <c r="G123" s="14"/>
      <c r="H123" s="17">
        <f>+H160</f>
        <v>0</v>
      </c>
      <c r="I123" s="14"/>
      <c r="J123" s="17">
        <f>+J160</f>
        <v>0</v>
      </c>
      <c r="K123" s="17"/>
      <c r="L123" s="17">
        <f>+L160</f>
        <v>0</v>
      </c>
      <c r="M123" s="17"/>
      <c r="N123" s="17">
        <f>+N160</f>
        <v>0</v>
      </c>
      <c r="O123" s="17"/>
      <c r="P123" s="17">
        <f>+P160</f>
        <v>0</v>
      </c>
      <c r="Q123" s="17"/>
      <c r="R123" s="17">
        <f>+R160</f>
        <v>0</v>
      </c>
      <c r="S123" s="17"/>
      <c r="T123" s="17">
        <f>+T160</f>
        <v>0</v>
      </c>
      <c r="U123" s="14"/>
      <c r="V123" s="17">
        <f>+V160</f>
        <v>-934776.4</v>
      </c>
    </row>
    <row r="124" spans="1:30" outlineLevel="2" x14ac:dyDescent="0.2">
      <c r="A124" s="96" t="s">
        <v>114</v>
      </c>
      <c r="C124" s="43" t="s">
        <v>113</v>
      </c>
      <c r="D124" s="17">
        <f>+D161</f>
        <v>-116532.40000000002</v>
      </c>
      <c r="E124" s="14"/>
      <c r="F124" s="17">
        <f>+F161</f>
        <v>-3951.6</v>
      </c>
      <c r="G124" s="14"/>
      <c r="H124" s="17">
        <f>+H161</f>
        <v>0</v>
      </c>
      <c r="I124" s="14"/>
      <c r="J124" s="17">
        <f>+J161</f>
        <v>0</v>
      </c>
      <c r="K124" s="17"/>
      <c r="L124" s="17">
        <f>+L161</f>
        <v>0</v>
      </c>
      <c r="M124" s="17"/>
      <c r="N124" s="17">
        <f>+N161</f>
        <v>0</v>
      </c>
      <c r="O124" s="17"/>
      <c r="P124" s="17">
        <f>+P161</f>
        <v>0</v>
      </c>
      <c r="Q124" s="17"/>
      <c r="R124" s="17">
        <f>+R161</f>
        <v>0</v>
      </c>
      <c r="S124" s="17"/>
      <c r="T124" s="17">
        <f>+T161</f>
        <v>0</v>
      </c>
      <c r="U124" s="14"/>
      <c r="V124" s="17">
        <f>+V161</f>
        <v>-120484.00000000003</v>
      </c>
    </row>
    <row r="125" spans="1:30" outlineLevel="2" x14ac:dyDescent="0.2">
      <c r="A125" s="96" t="s">
        <v>115</v>
      </c>
      <c r="C125" s="43" t="s">
        <v>113</v>
      </c>
      <c r="D125" s="17">
        <f>+D162</f>
        <v>-17021613.329999998</v>
      </c>
      <c r="E125" s="14"/>
      <c r="F125" s="17">
        <f t="shared" ref="D125:F127" si="9">+F162</f>
        <v>-282719.98000000004</v>
      </c>
      <c r="G125" s="14"/>
      <c r="H125" s="17">
        <f>+H162</f>
        <v>0</v>
      </c>
      <c r="I125" s="14"/>
      <c r="J125" s="17">
        <f>+J162</f>
        <v>0</v>
      </c>
      <c r="K125" s="17"/>
      <c r="L125" s="17">
        <f>+L162</f>
        <v>0</v>
      </c>
      <c r="M125" s="17"/>
      <c r="N125" s="17">
        <f>+N162</f>
        <v>0</v>
      </c>
      <c r="O125" s="17"/>
      <c r="P125" s="17">
        <f>+P162</f>
        <v>0</v>
      </c>
      <c r="Q125" s="17"/>
      <c r="R125" s="17">
        <f>+R162</f>
        <v>0</v>
      </c>
      <c r="S125" s="17"/>
      <c r="T125" s="17">
        <f>+T162</f>
        <v>0</v>
      </c>
      <c r="U125" s="14"/>
      <c r="V125" s="17">
        <f>+V162</f>
        <v>-17304333.309999999</v>
      </c>
    </row>
    <row r="126" spans="1:30" outlineLevel="2" x14ac:dyDescent="0.2">
      <c r="A126" s="96" t="s">
        <v>116</v>
      </c>
      <c r="C126" s="43" t="s">
        <v>113</v>
      </c>
      <c r="D126" s="17">
        <f>+D163</f>
        <v>-1452917.7799999998</v>
      </c>
      <c r="E126" s="14"/>
      <c r="F126" s="17">
        <f t="shared" si="9"/>
        <v>-12579.72</v>
      </c>
      <c r="G126" s="14"/>
      <c r="H126" s="17">
        <f>+H163</f>
        <v>0</v>
      </c>
      <c r="I126" s="14"/>
      <c r="J126" s="17">
        <f>+J163</f>
        <v>-5187.5200000000004</v>
      </c>
      <c r="K126" s="17"/>
      <c r="L126" s="17">
        <f>+L163</f>
        <v>0</v>
      </c>
      <c r="M126" s="17"/>
      <c r="N126" s="17">
        <f>+N163</f>
        <v>0</v>
      </c>
      <c r="O126" s="17">
        <f>+O163</f>
        <v>0</v>
      </c>
      <c r="P126" s="17">
        <f>+P163</f>
        <v>0</v>
      </c>
      <c r="Q126" s="17"/>
      <c r="R126" s="17">
        <f>+R163</f>
        <v>0</v>
      </c>
      <c r="S126" s="17"/>
      <c r="T126" s="17">
        <f>+T163</f>
        <v>0</v>
      </c>
      <c r="U126" s="14"/>
      <c r="V126" s="17">
        <f>+V163</f>
        <v>-1470685.0199999998</v>
      </c>
    </row>
    <row r="127" spans="1:30" outlineLevel="2" x14ac:dyDescent="0.2">
      <c r="A127" s="96" t="s">
        <v>117</v>
      </c>
      <c r="C127" s="43" t="s">
        <v>118</v>
      </c>
      <c r="D127" s="17">
        <f t="shared" si="9"/>
        <v>-52578.229999999996</v>
      </c>
      <c r="E127" s="14"/>
      <c r="F127" s="17">
        <f t="shared" si="9"/>
        <v>-10501.56</v>
      </c>
      <c r="G127" s="14"/>
      <c r="H127" s="17">
        <f>+H164</f>
        <v>0</v>
      </c>
      <c r="I127" s="14"/>
      <c r="J127" s="17">
        <f>+J164</f>
        <v>0</v>
      </c>
      <c r="K127" s="17"/>
      <c r="L127" s="17">
        <f>+L164</f>
        <v>0</v>
      </c>
      <c r="M127" s="17"/>
      <c r="N127" s="17">
        <f>+N164</f>
        <v>0</v>
      </c>
      <c r="O127" s="17"/>
      <c r="P127" s="17">
        <f>+P164</f>
        <v>0</v>
      </c>
      <c r="Q127" s="17"/>
      <c r="R127" s="17">
        <f>+R164</f>
        <v>0</v>
      </c>
      <c r="S127" s="17"/>
      <c r="T127" s="17">
        <f>+T164</f>
        <v>0</v>
      </c>
      <c r="U127" s="14"/>
      <c r="V127" s="17">
        <f>+V164</f>
        <v>-63079.789999999994</v>
      </c>
    </row>
    <row r="128" spans="1:30" outlineLevel="2" x14ac:dyDescent="0.2">
      <c r="C128" s="12"/>
      <c r="D128" s="141">
        <f>SUM(D122:D127)</f>
        <v>-19578418.140000001</v>
      </c>
      <c r="E128" s="14"/>
      <c r="F128" s="141">
        <f>SUM(F122:F127)</f>
        <v>-309752.86</v>
      </c>
      <c r="G128" s="14"/>
      <c r="H128" s="141">
        <f>SUM(H122:H127)</f>
        <v>0</v>
      </c>
      <c r="I128" s="14"/>
      <c r="J128" s="141">
        <f>SUM(J122:J127)</f>
        <v>-5187.5200000000004</v>
      </c>
      <c r="K128" s="17"/>
      <c r="L128" s="141">
        <f>SUM(L122:L127)</f>
        <v>0</v>
      </c>
      <c r="M128" s="17"/>
      <c r="N128" s="141">
        <f>SUM(N122:N127)</f>
        <v>0</v>
      </c>
      <c r="O128" s="17"/>
      <c r="P128" s="141">
        <f>SUM(P122:P127)</f>
        <v>0</v>
      </c>
      <c r="Q128" s="17"/>
      <c r="R128" s="141">
        <f>SUM(R122:R127)</f>
        <v>0</v>
      </c>
      <c r="S128" s="17"/>
      <c r="T128" s="141">
        <f>SUM(T122:T127)</f>
        <v>0</v>
      </c>
      <c r="U128" s="14"/>
      <c r="V128" s="141">
        <f>SUM(V122:V127)</f>
        <v>-19893358.519999996</v>
      </c>
    </row>
    <row r="129" spans="2:46" outlineLevel="2" x14ac:dyDescent="0.2"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</row>
    <row r="130" spans="2:46" outlineLevel="1" x14ac:dyDescent="0.2">
      <c r="B130" s="3" t="s">
        <v>97</v>
      </c>
      <c r="D130" s="13">
        <f>+D120+D128</f>
        <v>13131146.079999994</v>
      </c>
      <c r="E130" s="13"/>
      <c r="F130" s="13">
        <f>+F120+F128</f>
        <v>-208908.47999999998</v>
      </c>
      <c r="G130" s="13"/>
      <c r="H130" s="13">
        <f>+H120+H128</f>
        <v>0</v>
      </c>
      <c r="I130" s="13"/>
      <c r="J130" s="13">
        <f>+J120+J128</f>
        <v>-5187.5200000000004</v>
      </c>
      <c r="K130" s="13"/>
      <c r="L130" s="13">
        <f>+L120+L128</f>
        <v>0</v>
      </c>
      <c r="M130" s="13"/>
      <c r="N130" s="13">
        <f>+N120+N128</f>
        <v>0</v>
      </c>
      <c r="O130" s="13"/>
      <c r="P130" s="13">
        <f>+P120+P128</f>
        <v>0</v>
      </c>
      <c r="Q130" s="13"/>
      <c r="R130" s="13">
        <f>+R120+R128</f>
        <v>0</v>
      </c>
      <c r="S130" s="13"/>
      <c r="T130" s="13">
        <f>+T120+T128</f>
        <v>0</v>
      </c>
      <c r="U130" s="13"/>
      <c r="V130" s="13">
        <f>+V120+V128</f>
        <v>12917050.079999998</v>
      </c>
      <c r="W130" s="13"/>
      <c r="X130" s="34">
        <f>+F128</f>
        <v>-309752.86</v>
      </c>
      <c r="Y130" s="34"/>
      <c r="Z130" s="34"/>
      <c r="AA130" s="34"/>
      <c r="AB130" s="34"/>
      <c r="AC130" s="15">
        <f>+F120</f>
        <v>100844.38</v>
      </c>
      <c r="AD130" s="15"/>
      <c r="AE130" s="34">
        <f>+H130</f>
        <v>0</v>
      </c>
      <c r="AL130" s="15">
        <v>0</v>
      </c>
      <c r="AM130" s="34">
        <f>+J130</f>
        <v>-5187.5200000000004</v>
      </c>
      <c r="AS130" s="15">
        <f>SUM(X130:AQ130)</f>
        <v>-214095.99999999997</v>
      </c>
      <c r="AT130" s="15">
        <f>+V130-D130-AS130</f>
        <v>3.6961864680051804E-9</v>
      </c>
    </row>
    <row r="131" spans="2:46" outlineLevel="1" x14ac:dyDescent="0.2">
      <c r="D131" s="13">
        <f>+D14-D130</f>
        <v>0</v>
      </c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>
        <f>+V14-V130</f>
        <v>0</v>
      </c>
      <c r="W131" s="13"/>
    </row>
    <row r="132" spans="2:46" outlineLevel="1" x14ac:dyDescent="0.2"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</row>
    <row r="133" spans="2:46" outlineLevel="1" x14ac:dyDescent="0.2">
      <c r="D133" s="25" t="s">
        <v>2</v>
      </c>
      <c r="F133" s="19"/>
      <c r="H133" s="19"/>
      <c r="J133" s="25" t="s">
        <v>3</v>
      </c>
      <c r="K133" s="25"/>
      <c r="L133" s="25" t="s">
        <v>37</v>
      </c>
      <c r="N133" s="25" t="s">
        <v>38</v>
      </c>
      <c r="P133" s="25"/>
      <c r="R133" s="25"/>
      <c r="T133" s="25"/>
      <c r="V133" s="25" t="s">
        <v>4</v>
      </c>
      <c r="W133" s="13"/>
    </row>
    <row r="134" spans="2:46" outlineLevel="1" x14ac:dyDescent="0.2">
      <c r="D134" s="10" t="s">
        <v>5</v>
      </c>
      <c r="F134" s="10" t="s">
        <v>39</v>
      </c>
      <c r="H134" s="10" t="s">
        <v>7</v>
      </c>
      <c r="J134" s="10" t="s">
        <v>8</v>
      </c>
      <c r="K134" s="11"/>
      <c r="L134" s="10" t="s">
        <v>40</v>
      </c>
      <c r="N134" s="10" t="s">
        <v>41</v>
      </c>
      <c r="P134" s="10" t="s">
        <v>42</v>
      </c>
      <c r="R134" s="10" t="s">
        <v>43</v>
      </c>
      <c r="T134" s="10" t="s">
        <v>44</v>
      </c>
      <c r="V134" s="10" t="s">
        <v>5</v>
      </c>
      <c r="W134" s="13"/>
    </row>
    <row r="135" spans="2:46" outlineLevel="1" x14ac:dyDescent="0.2">
      <c r="D135" s="11"/>
      <c r="F135" s="11"/>
      <c r="H135" s="11"/>
      <c r="J135" s="11"/>
      <c r="K135" s="11"/>
      <c r="L135" s="11"/>
      <c r="N135" s="11"/>
      <c r="P135" s="11"/>
      <c r="R135" s="11"/>
      <c r="T135" s="11"/>
      <c r="V135" s="11"/>
      <c r="W135" s="13"/>
    </row>
    <row r="136" spans="2:46" outlineLevel="3" x14ac:dyDescent="0.2">
      <c r="B136" s="12" t="s">
        <v>45</v>
      </c>
      <c r="D136" s="11"/>
      <c r="F136" s="11"/>
      <c r="H136" s="11"/>
      <c r="J136" s="11"/>
      <c r="K136" s="11"/>
      <c r="L136" s="11"/>
      <c r="N136" s="11"/>
      <c r="P136" s="11"/>
      <c r="R136" s="11"/>
      <c r="T136" s="11"/>
      <c r="V136" s="11"/>
      <c r="W136" s="13"/>
    </row>
    <row r="137" spans="2:46" outlineLevel="3" x14ac:dyDescent="0.2">
      <c r="C137" s="3" t="s">
        <v>12</v>
      </c>
      <c r="D137" s="14">
        <f>+'KU_Summary - Reserve - P2 (REG)'!C10</f>
        <v>-476527287.24000001</v>
      </c>
      <c r="E137" s="14"/>
      <c r="F137" s="14">
        <f>+'KU_Summary - Reserve - P2 (REG)'!E10</f>
        <v>-34555294.909999996</v>
      </c>
      <c r="G137" s="14"/>
      <c r="H137" s="14">
        <f>+'KU_Summary - Reserve - P2 (REG)'!G10</f>
        <v>20418467.84</v>
      </c>
      <c r="I137" s="14"/>
      <c r="J137" s="14">
        <f>+'KU_Summary - Reserve - P2 (REG)'!I10</f>
        <v>-8393.59</v>
      </c>
      <c r="K137" s="14"/>
      <c r="L137" s="14">
        <f>+'KU_Summary - Reserve - P2 (REG)'!K10</f>
        <v>0</v>
      </c>
      <c r="M137" s="14"/>
      <c r="N137" s="14">
        <f>+'KU_Summary - Reserve - P2 (REG)'!M10</f>
        <v>0</v>
      </c>
      <c r="O137" s="14"/>
      <c r="P137" s="14">
        <f>+'KU_Summary - Reserve - P2 (REG)'!O10</f>
        <v>0</v>
      </c>
      <c r="Q137" s="14"/>
      <c r="R137" s="14">
        <f>+'KU_Summary - Reserve - P2 (REG)'!Q10</f>
        <v>0</v>
      </c>
      <c r="S137" s="19"/>
      <c r="T137" s="14">
        <f>+'KU_Summary - Reserve - P2 (REG)'!S10</f>
        <v>0</v>
      </c>
      <c r="U137" s="19"/>
      <c r="V137" s="19">
        <f>SUM(D137:T137)</f>
        <v>-490672507.89999998</v>
      </c>
      <c r="W137" s="13"/>
    </row>
    <row r="138" spans="2:46" outlineLevel="3" x14ac:dyDescent="0.2">
      <c r="C138" s="3" t="s">
        <v>46</v>
      </c>
      <c r="D138" s="14">
        <f>+'KU_Summary - Reserve - P2 (REG)'!C11</f>
        <v>-103531.49999999996</v>
      </c>
      <c r="E138" s="14"/>
      <c r="F138" s="14">
        <f>+'KU_Summary - Reserve - P2 (REG)'!E11</f>
        <v>-23764.83</v>
      </c>
      <c r="G138" s="14"/>
      <c r="H138" s="14">
        <f>+'KU_Summary - Reserve - P2 (REG)'!G11</f>
        <v>2798.53</v>
      </c>
      <c r="I138" s="14"/>
      <c r="J138" s="14">
        <f>+'KU_Summary - Reserve - P2 (REG)'!I11</f>
        <v>0</v>
      </c>
      <c r="K138" s="14"/>
      <c r="L138" s="14">
        <f>+'KU_Summary - Reserve - P2 (REG)'!K11</f>
        <v>0</v>
      </c>
      <c r="M138" s="14"/>
      <c r="N138" s="14">
        <f>+'KU_Summary - Reserve - P2 (REG)'!M11</f>
        <v>0</v>
      </c>
      <c r="O138" s="14"/>
      <c r="P138" s="14">
        <f>+'KU_Summary - Reserve - P2 (REG)'!O11</f>
        <v>0</v>
      </c>
      <c r="Q138" s="14"/>
      <c r="R138" s="14">
        <f>+'KU_Summary - Reserve - P2 (REG)'!Q11</f>
        <v>0</v>
      </c>
      <c r="S138" s="19"/>
      <c r="T138" s="14">
        <f>+'KU_Summary - Reserve - P2 (REG)'!S11</f>
        <v>0</v>
      </c>
      <c r="U138" s="19"/>
      <c r="V138" s="19">
        <f t="shared" ref="V138:V148" si="10">SUM(D138:T138)</f>
        <v>-124497.79999999996</v>
      </c>
      <c r="W138" s="13"/>
    </row>
    <row r="139" spans="2:46" outlineLevel="3" x14ac:dyDescent="0.2">
      <c r="C139" s="3" t="s">
        <v>13</v>
      </c>
      <c r="D139" s="14">
        <f>+'KU_Summary - Reserve - P2 (REG)'!C12</f>
        <v>-60276698.080000006</v>
      </c>
      <c r="E139" s="14"/>
      <c r="F139" s="14">
        <f>+'KU_Summary - Reserve - P2 (REG)'!E12</f>
        <v>-11703589.289999999</v>
      </c>
      <c r="G139" s="14"/>
      <c r="H139" s="14">
        <f>+'KU_Summary - Reserve - P2 (REG)'!G12</f>
        <v>11527163.23</v>
      </c>
      <c r="I139" s="14"/>
      <c r="J139" s="14">
        <f>+'KU_Summary - Reserve - P2 (REG)'!I12</f>
        <v>-419164.25</v>
      </c>
      <c r="K139" s="14"/>
      <c r="L139" s="14">
        <f>+'KU_Summary - Reserve - P2 (REG)'!K12</f>
        <v>0</v>
      </c>
      <c r="M139" s="14"/>
      <c r="N139" s="14">
        <f>+'KU_Summary - Reserve - P2 (REG)'!M12</f>
        <v>0</v>
      </c>
      <c r="O139" s="14"/>
      <c r="P139" s="14">
        <f>+'KU_Summary - Reserve - P2 (REG)'!O12</f>
        <v>0</v>
      </c>
      <c r="Q139" s="14"/>
      <c r="R139" s="14">
        <f>+'KU_Summary - Reserve - P2 (REG)'!Q12</f>
        <v>0</v>
      </c>
      <c r="S139" s="19"/>
      <c r="T139" s="14">
        <f>+'KU_Summary - Reserve - P2 (REG)'!S12</f>
        <v>0</v>
      </c>
      <c r="U139" s="19"/>
      <c r="V139" s="19">
        <f t="shared" si="10"/>
        <v>-60872288.390000001</v>
      </c>
      <c r="W139" s="13"/>
    </row>
    <row r="140" spans="2:46" outlineLevel="3" x14ac:dyDescent="0.2">
      <c r="C140" s="3" t="s">
        <v>14</v>
      </c>
      <c r="D140" s="14">
        <f>+'KU_Summary - Reserve - P2 (REG)'!C13</f>
        <v>-11039152.630000001</v>
      </c>
      <c r="E140" s="14"/>
      <c r="F140" s="14">
        <f>+'KU_Summary - Reserve - P2 (REG)'!E13</f>
        <v>-1138303.06</v>
      </c>
      <c r="G140" s="14"/>
      <c r="H140" s="14">
        <f>+'KU_Summary - Reserve - P2 (REG)'!G13</f>
        <v>15195.8</v>
      </c>
      <c r="I140" s="14"/>
      <c r="J140" s="14">
        <f>+'KU_Summary - Reserve - P2 (REG)'!I13</f>
        <v>0</v>
      </c>
      <c r="K140" s="35"/>
      <c r="L140" s="14">
        <f>+'KU_Summary - Reserve - P2 (REG)'!K13</f>
        <v>0</v>
      </c>
      <c r="M140" s="14"/>
      <c r="N140" s="14">
        <f>+'KU_Summary - Reserve - P2 (REG)'!M13</f>
        <v>0</v>
      </c>
      <c r="O140" s="14"/>
      <c r="P140" s="14">
        <f>+'KU_Summary - Reserve - P2 (REG)'!O13</f>
        <v>0</v>
      </c>
      <c r="Q140" s="14"/>
      <c r="R140" s="14">
        <f>+'KU_Summary - Reserve - P2 (REG)'!Q13</f>
        <v>0</v>
      </c>
      <c r="S140" s="19"/>
      <c r="T140" s="14">
        <f>+'KU_Summary - Reserve - P2 (REG)'!S13</f>
        <v>0</v>
      </c>
      <c r="U140" s="19"/>
      <c r="V140" s="19">
        <f t="shared" si="10"/>
        <v>-12162259.890000001</v>
      </c>
      <c r="W140" s="13"/>
    </row>
    <row r="141" spans="2:46" outlineLevel="3" x14ac:dyDescent="0.2">
      <c r="C141" s="3" t="s">
        <v>47</v>
      </c>
      <c r="D141" s="14">
        <f>+'KU_Summary - Reserve - P2 (REG)'!C14</f>
        <v>-27454.46</v>
      </c>
      <c r="E141" s="14"/>
      <c r="F141" s="14">
        <f>+'KU_Summary - Reserve - P2 (REG)'!E14</f>
        <v>-78729.67</v>
      </c>
      <c r="G141" s="14"/>
      <c r="H141" s="14">
        <f>+'KU_Summary - Reserve - P2 (REG)'!G14</f>
        <v>86482.34</v>
      </c>
      <c r="I141" s="14"/>
      <c r="J141" s="14">
        <f>+'KU_Summary - Reserve - P2 (REG)'!I14</f>
        <v>0</v>
      </c>
      <c r="K141" s="14"/>
      <c r="L141" s="14">
        <f>+'KU_Summary - Reserve - P2 (REG)'!K14</f>
        <v>0</v>
      </c>
      <c r="M141" s="14"/>
      <c r="N141" s="14">
        <f>+'KU_Summary - Reserve - P2 (REG)'!M14</f>
        <v>0</v>
      </c>
      <c r="O141" s="14"/>
      <c r="P141" s="14">
        <f>+'KU_Summary - Reserve - P2 (REG)'!O14</f>
        <v>0</v>
      </c>
      <c r="Q141" s="14"/>
      <c r="R141" s="14">
        <f>+'KU_Summary - Reserve - P2 (REG)'!Q14</f>
        <v>0</v>
      </c>
      <c r="S141" s="19"/>
      <c r="T141" s="14">
        <f>+'KU_Summary - Reserve - P2 (REG)'!S14</f>
        <v>0</v>
      </c>
      <c r="U141" s="19"/>
      <c r="V141" s="19">
        <f t="shared" si="10"/>
        <v>-19701.790000000008</v>
      </c>
      <c r="W141" s="13"/>
    </row>
    <row r="142" spans="2:46" outlineLevel="3" x14ac:dyDescent="0.2">
      <c r="C142" s="3" t="s">
        <v>16</v>
      </c>
      <c r="D142" s="14">
        <f>+'KU_Summary - Reserve - P2 (REG)'!C15</f>
        <v>-244434203.74000001</v>
      </c>
      <c r="E142" s="14"/>
      <c r="F142" s="14">
        <f>+'KU_Summary - Reserve - P2 (REG)'!E15</f>
        <v>-33257521.23</v>
      </c>
      <c r="G142" s="14"/>
      <c r="H142" s="14">
        <f>+'KU_Summary - Reserve - P2 (REG)'!G15</f>
        <v>844434.41</v>
      </c>
      <c r="I142" s="14"/>
      <c r="J142" s="14">
        <f>+'KU_Summary - Reserve - P2 (REG)'!I15</f>
        <v>0</v>
      </c>
      <c r="K142" s="14"/>
      <c r="L142" s="14">
        <f>+'KU_Summary - Reserve - P2 (REG)'!K15</f>
        <v>0</v>
      </c>
      <c r="M142" s="14"/>
      <c r="N142" s="14">
        <f>+'KU_Summary - Reserve - P2 (REG)'!M15</f>
        <v>0</v>
      </c>
      <c r="O142" s="14"/>
      <c r="P142" s="14">
        <f>+'KU_Summary - Reserve - P2 (REG)'!O15</f>
        <v>0</v>
      </c>
      <c r="Q142" s="14"/>
      <c r="R142" s="14">
        <f>+'KU_Summary - Reserve - P2 (REG)'!Q15</f>
        <v>0</v>
      </c>
      <c r="S142" s="19"/>
      <c r="T142" s="14">
        <f>+'KU_Summary - Reserve - P2 (REG)'!S15</f>
        <v>0</v>
      </c>
      <c r="U142" s="19"/>
      <c r="V142" s="19">
        <f t="shared" si="10"/>
        <v>-276847290.56</v>
      </c>
      <c r="W142" s="13"/>
    </row>
    <row r="143" spans="2:46" outlineLevel="3" x14ac:dyDescent="0.2">
      <c r="C143" s="3" t="s">
        <v>48</v>
      </c>
      <c r="D143" s="14">
        <f>+'KU_Summary - Reserve - P2 (REG)'!C16</f>
        <v>-12147.939999999995</v>
      </c>
      <c r="E143" s="14"/>
      <c r="F143" s="14">
        <f>+'KU_Summary - Reserve - P2 (REG)'!E16</f>
        <v>-20825.04</v>
      </c>
      <c r="G143" s="14"/>
      <c r="H143" s="14">
        <f>+'KU_Summary - Reserve - P2 (REG)'!G16</f>
        <v>0</v>
      </c>
      <c r="I143" s="14"/>
      <c r="J143" s="14">
        <f>+'KU_Summary - Reserve - P2 (REG)'!I16</f>
        <v>0</v>
      </c>
      <c r="K143" s="14"/>
      <c r="L143" s="14">
        <f>+'KU_Summary - Reserve - P2 (REG)'!K16</f>
        <v>0</v>
      </c>
      <c r="M143" s="14"/>
      <c r="N143" s="14">
        <f>+'KU_Summary - Reserve - P2 (REG)'!M16</f>
        <v>0</v>
      </c>
      <c r="O143" s="14"/>
      <c r="P143" s="14">
        <f>+'KU_Summary - Reserve - P2 (REG)'!O16</f>
        <v>0</v>
      </c>
      <c r="Q143" s="14"/>
      <c r="R143" s="14">
        <f>+'KU_Summary - Reserve - P2 (REG)'!Q16</f>
        <v>0</v>
      </c>
      <c r="S143" s="19"/>
      <c r="T143" s="14">
        <f>+'KU_Summary - Reserve - P2 (REG)'!S16</f>
        <v>0</v>
      </c>
      <c r="U143" s="19"/>
      <c r="V143" s="19">
        <f t="shared" si="10"/>
        <v>-32972.979999999996</v>
      </c>
      <c r="W143" s="13"/>
    </row>
    <row r="144" spans="2:46" outlineLevel="3" x14ac:dyDescent="0.2">
      <c r="C144" s="3" t="s">
        <v>17</v>
      </c>
      <c r="D144" s="14">
        <f>+'KU_Summary - Reserve - P2 (REG)'!C17</f>
        <v>-1335273243.9200001</v>
      </c>
      <c r="E144" s="14"/>
      <c r="F144" s="14">
        <f>+'KU_Summary - Reserve - P2 (REG)'!E17</f>
        <v>-110628877.41</v>
      </c>
      <c r="G144" s="14"/>
      <c r="H144" s="14">
        <f>+'KU_Summary - Reserve - P2 (REG)'!G17</f>
        <v>12726290.15</v>
      </c>
      <c r="I144" s="14"/>
      <c r="J144" s="14">
        <f>+'KU_Summary - Reserve - P2 (REG)'!I17</f>
        <v>0</v>
      </c>
      <c r="K144" s="14"/>
      <c r="L144" s="14">
        <f>+'KU_Summary - Reserve - P2 (REG)'!K17</f>
        <v>0</v>
      </c>
      <c r="M144" s="14"/>
      <c r="N144" s="14">
        <f>+'KU_Summary - Reserve - P2 (REG)'!M17</f>
        <v>0</v>
      </c>
      <c r="O144" s="14"/>
      <c r="P144" s="14">
        <f>+'KU_Summary - Reserve - P2 (REG)'!O17</f>
        <v>0</v>
      </c>
      <c r="Q144" s="14"/>
      <c r="R144" s="14">
        <f>+'KU_Summary - Reserve - P2 (REG)'!Q17</f>
        <v>0</v>
      </c>
      <c r="S144" s="19"/>
      <c r="T144" s="14">
        <f>+'KU_Summary - Reserve - P2 (REG)'!S17</f>
        <v>0</v>
      </c>
      <c r="U144" s="19"/>
      <c r="V144" s="19">
        <f t="shared" si="10"/>
        <v>-1433175831.1800001</v>
      </c>
      <c r="W144" s="13"/>
    </row>
    <row r="145" spans="1:22" outlineLevel="3" x14ac:dyDescent="0.2">
      <c r="C145" s="3" t="s">
        <v>49</v>
      </c>
      <c r="D145" s="14">
        <f>+'KU_Summary - Reserve - P2 (REG)'!C18</f>
        <v>-54584155.829999998</v>
      </c>
      <c r="E145" s="14"/>
      <c r="F145" s="14">
        <f>+'KU_Summary - Reserve - P2 (REG)'!E18</f>
        <v>-40945454.460000001</v>
      </c>
      <c r="G145" s="14"/>
      <c r="H145" s="14">
        <f>+'KU_Summary - Reserve - P2 (REG)'!G18</f>
        <v>2172751.56</v>
      </c>
      <c r="I145" s="14"/>
      <c r="J145" s="14">
        <f>+'KU_Summary - Reserve - P2 (REG)'!I18</f>
        <v>0</v>
      </c>
      <c r="K145" s="14"/>
      <c r="L145" s="14">
        <f>+'KU_Summary - Reserve - P2 (REG)'!K18</f>
        <v>0</v>
      </c>
      <c r="M145" s="14"/>
      <c r="N145" s="14">
        <f>+'KU_Summary - Reserve - P2 (REG)'!M18</f>
        <v>0</v>
      </c>
      <c r="O145" s="14"/>
      <c r="P145" s="14">
        <f>+'KU_Summary - Reserve - P2 (REG)'!O18</f>
        <v>0</v>
      </c>
      <c r="Q145" s="14"/>
      <c r="R145" s="14">
        <f>+'KU_Summary - Reserve - P2 (REG)'!Q18</f>
        <v>0</v>
      </c>
      <c r="S145" s="19"/>
      <c r="T145" s="14">
        <f>+'KU_Summary - Reserve - P2 (REG)'!S18</f>
        <v>0</v>
      </c>
      <c r="U145" s="19"/>
      <c r="V145" s="19">
        <f t="shared" si="10"/>
        <v>-93356858.729999989</v>
      </c>
    </row>
    <row r="146" spans="1:22" outlineLevel="3" x14ac:dyDescent="0.2">
      <c r="C146" s="3" t="s">
        <v>18</v>
      </c>
      <c r="D146" s="14">
        <f>+'KU_Summary - Reserve - P2 (REG)'!C19</f>
        <v>-235295543.80999997</v>
      </c>
      <c r="E146" s="14"/>
      <c r="F146" s="14">
        <f>+'KU_Summary - Reserve - P2 (REG)'!E19</f>
        <v>-11542458.49</v>
      </c>
      <c r="G146" s="14"/>
      <c r="H146" s="14">
        <f>+'KU_Summary - Reserve - P2 (REG)'!G19</f>
        <v>7302428.29</v>
      </c>
      <c r="I146" s="14"/>
      <c r="J146" s="14">
        <f>+'KU_Summary - Reserve - P2 (REG)'!I19</f>
        <v>8393.59</v>
      </c>
      <c r="K146" s="14"/>
      <c r="L146" s="14">
        <f>+'KU_Summary - Reserve - P2 (REG)'!K19</f>
        <v>0</v>
      </c>
      <c r="M146" s="14"/>
      <c r="N146" s="14">
        <f>+'KU_Summary - Reserve - P2 (REG)'!M19</f>
        <v>0</v>
      </c>
      <c r="O146" s="14"/>
      <c r="P146" s="14">
        <f>+'KU_Summary - Reserve - P2 (REG)'!O19</f>
        <v>0</v>
      </c>
      <c r="Q146" s="14"/>
      <c r="R146" s="14">
        <f>+'KU_Summary - Reserve - P2 (REG)'!Q19</f>
        <v>0</v>
      </c>
      <c r="S146" s="19"/>
      <c r="T146" s="14">
        <f>+'KU_Summary - Reserve - P2 (REG)'!S19</f>
        <v>0</v>
      </c>
      <c r="U146" s="19"/>
      <c r="V146" s="19">
        <f t="shared" si="10"/>
        <v>-239527180.41999999</v>
      </c>
    </row>
    <row r="147" spans="1:22" outlineLevel="3" x14ac:dyDescent="0.2">
      <c r="C147" s="3" t="s">
        <v>50</v>
      </c>
      <c r="D147" s="14">
        <f>+'KU_Summary - Reserve - P2 (REG)'!C20</f>
        <v>-43701.109999999993</v>
      </c>
      <c r="E147" s="14"/>
      <c r="F147" s="14">
        <f>+'KU_Summary - Reserve - P2 (REG)'!E20</f>
        <v>-10003</v>
      </c>
      <c r="G147" s="14"/>
      <c r="H147" s="14">
        <f>+'KU_Summary - Reserve - P2 (REG)'!G20</f>
        <v>0</v>
      </c>
      <c r="I147" s="14"/>
      <c r="J147" s="14">
        <f>+'KU_Summary - Reserve - P2 (REG)'!I20</f>
        <v>0</v>
      </c>
      <c r="K147" s="14"/>
      <c r="L147" s="14">
        <f>+'KU_Summary - Reserve - P2 (REG)'!K20</f>
        <v>0</v>
      </c>
      <c r="M147" s="14"/>
      <c r="N147" s="14">
        <f>+'KU_Summary - Reserve - P2 (REG)'!M20</f>
        <v>0</v>
      </c>
      <c r="O147" s="14"/>
      <c r="P147" s="14">
        <f>+'KU_Summary - Reserve - P2 (REG)'!O20</f>
        <v>0</v>
      </c>
      <c r="Q147" s="14"/>
      <c r="R147" s="14">
        <f>+'KU_Summary - Reserve - P2 (REG)'!Q20</f>
        <v>0</v>
      </c>
      <c r="S147" s="19"/>
      <c r="T147" s="14">
        <f>+'KU_Summary - Reserve - P2 (REG)'!S20</f>
        <v>0</v>
      </c>
      <c r="U147" s="19"/>
      <c r="V147" s="19">
        <f t="shared" si="10"/>
        <v>-53704.109999999993</v>
      </c>
    </row>
    <row r="148" spans="1:22" outlineLevel="3" x14ac:dyDescent="0.2">
      <c r="C148" s="3" t="s">
        <v>29</v>
      </c>
      <c r="D148" s="14">
        <f>+'KU_Summary - Reserve - P2 (REG)'!C21</f>
        <v>0</v>
      </c>
      <c r="E148" s="17"/>
      <c r="F148" s="14">
        <f>+'KU_Summary - Reserve - P2 (REG)'!E21</f>
        <v>0</v>
      </c>
      <c r="G148" s="17"/>
      <c r="H148" s="14">
        <f>+'KU_Summary - Reserve - P2 (REG)'!G21</f>
        <v>0</v>
      </c>
      <c r="I148" s="17"/>
      <c r="J148" s="14">
        <f>+'KU_Summary - Reserve - P2 (REG)'!I21</f>
        <v>0</v>
      </c>
      <c r="K148" s="17"/>
      <c r="L148" s="14">
        <f>+'KU_Summary - Reserve - P2 (REG)'!K21</f>
        <v>0</v>
      </c>
      <c r="M148" s="17"/>
      <c r="N148" s="14">
        <f>+'KU_Summary - Reserve - P2 (REG)'!M21</f>
        <v>0</v>
      </c>
      <c r="O148" s="17"/>
      <c r="P148" s="14">
        <f>+'KU_Summary - Reserve - P2 (REG)'!O21</f>
        <v>0</v>
      </c>
      <c r="Q148" s="17"/>
      <c r="R148" s="14">
        <f>+'KU_Summary - Reserve - P2 (REG)'!Q21</f>
        <v>0</v>
      </c>
      <c r="S148" s="26"/>
      <c r="T148" s="14">
        <f>+'KU_Summary - Reserve - P2 (REG)'!S21</f>
        <v>0</v>
      </c>
      <c r="U148" s="26"/>
      <c r="V148" s="27">
        <f t="shared" si="10"/>
        <v>0</v>
      </c>
    </row>
    <row r="149" spans="1:22" outlineLevel="3" x14ac:dyDescent="0.2">
      <c r="C149" s="20"/>
      <c r="D149" s="18">
        <f>SUM(D137:D148)</f>
        <v>-2417617120.2600002</v>
      </c>
      <c r="E149" s="17"/>
      <c r="F149" s="18">
        <f>SUM(F137:F148)</f>
        <v>-243904821.39000002</v>
      </c>
      <c r="G149" s="17"/>
      <c r="H149" s="18">
        <f>SUM(H137:H148)</f>
        <v>55096012.150000006</v>
      </c>
      <c r="I149" s="17"/>
      <c r="J149" s="18">
        <f>SUM(J137:J148)</f>
        <v>-419164.25</v>
      </c>
      <c r="K149" s="17"/>
      <c r="L149" s="18">
        <f>SUM(L137:L148)</f>
        <v>0</v>
      </c>
      <c r="M149" s="17"/>
      <c r="N149" s="18">
        <f>SUM(N137:N148)</f>
        <v>0</v>
      </c>
      <c r="O149" s="17"/>
      <c r="P149" s="18">
        <f>SUM(P137:P148)</f>
        <v>0</v>
      </c>
      <c r="Q149" s="17"/>
      <c r="R149" s="18">
        <f>SUM(R137:R148)</f>
        <v>0</v>
      </c>
      <c r="S149" s="26"/>
      <c r="T149" s="18">
        <f>SUM(T137:T148)</f>
        <v>0</v>
      </c>
      <c r="U149" s="26"/>
      <c r="V149" s="17">
        <f>SUM(V137:V148)</f>
        <v>-2606845093.75</v>
      </c>
    </row>
    <row r="150" spans="1:22" outlineLevel="3" x14ac:dyDescent="0.2">
      <c r="C150" s="20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26"/>
      <c r="T150" s="17"/>
      <c r="U150" s="26"/>
      <c r="V150" s="17"/>
    </row>
    <row r="151" spans="1:22" outlineLevel="3" x14ac:dyDescent="0.2">
      <c r="B151" s="12" t="s">
        <v>56</v>
      </c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</row>
    <row r="152" spans="1:22" outlineLevel="3" x14ac:dyDescent="0.2">
      <c r="C152" s="3" t="s">
        <v>11</v>
      </c>
      <c r="D152" s="14">
        <f>'KU_Summary - Reserve - P2 (REG)'!C66</f>
        <v>-44427523.319999993</v>
      </c>
      <c r="E152" s="26"/>
      <c r="F152" s="14">
        <f>'KU_Summary - Reserve - P2 (REG)'!E66</f>
        <v>-11964819.42</v>
      </c>
      <c r="G152" s="26"/>
      <c r="H152" s="14">
        <f>'KU_Summary - Reserve - P2 (REG)'!G66</f>
        <v>5795318.9000000004</v>
      </c>
      <c r="I152" s="26"/>
      <c r="J152" s="14">
        <f>'KU_Summary - Reserve - P2 (REG)'!I66</f>
        <v>0</v>
      </c>
      <c r="K152" s="26"/>
      <c r="L152" s="14">
        <f>'KU_Summary - Reserve - P2 (REG)'!K66</f>
        <v>0</v>
      </c>
      <c r="M152" s="26"/>
      <c r="N152" s="14">
        <f>'KU_Summary - Reserve - P2 (REG)'!M66</f>
        <v>0</v>
      </c>
      <c r="O152" s="26"/>
      <c r="P152" s="14">
        <f>'KU_Summary - Reserve - P2 (REG)'!O66</f>
        <v>0</v>
      </c>
      <c r="Q152" s="26"/>
      <c r="R152" s="14">
        <f>'KU_Summary - Reserve - P2 (REG)'!Q66</f>
        <v>0</v>
      </c>
      <c r="S152" s="26"/>
      <c r="T152" s="14">
        <f>+'KU_Summary - Reserve - P2 (REG)'!S66</f>
        <v>0</v>
      </c>
      <c r="U152" s="26"/>
      <c r="V152" s="27">
        <f>SUM(D152:T152)</f>
        <v>-50597023.839999996</v>
      </c>
    </row>
    <row r="153" spans="1:22" outlineLevel="3" x14ac:dyDescent="0.2">
      <c r="C153" s="20"/>
      <c r="D153" s="32">
        <f>SUM(D152:D152)</f>
        <v>-44427523.319999993</v>
      </c>
      <c r="E153" s="26"/>
      <c r="F153" s="32">
        <f>SUM(F152:F152)</f>
        <v>-11964819.42</v>
      </c>
      <c r="G153" s="26"/>
      <c r="H153" s="32">
        <f>SUM(H152:H152)</f>
        <v>5795318.9000000004</v>
      </c>
      <c r="I153" s="26"/>
      <c r="J153" s="32">
        <f>SUM(J152:J152)</f>
        <v>0</v>
      </c>
      <c r="K153" s="26"/>
      <c r="L153" s="32">
        <f>SUM(L152:L152)</f>
        <v>0</v>
      </c>
      <c r="M153" s="26"/>
      <c r="N153" s="32">
        <f>SUM(N152:N152)</f>
        <v>0</v>
      </c>
      <c r="O153" s="26"/>
      <c r="P153" s="32">
        <f>SUM(P152:P152)</f>
        <v>0</v>
      </c>
      <c r="Q153" s="26"/>
      <c r="R153" s="32">
        <f>SUM(R152:R152)</f>
        <v>0</v>
      </c>
      <c r="S153" s="26"/>
      <c r="T153" s="32">
        <f>SUM(T152:T152)</f>
        <v>0</v>
      </c>
      <c r="U153" s="26"/>
      <c r="V153" s="26">
        <f>SUM(V152:V152)</f>
        <v>-50597023.839999996</v>
      </c>
    </row>
    <row r="154" spans="1:22" outlineLevel="3" x14ac:dyDescent="0.2">
      <c r="C154" s="20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</row>
    <row r="155" spans="1:22" outlineLevel="3" x14ac:dyDescent="0.2">
      <c r="A155" s="76" t="s">
        <v>122</v>
      </c>
      <c r="B155" s="12" t="s">
        <v>61</v>
      </c>
    </row>
    <row r="156" spans="1:22" outlineLevel="3" x14ac:dyDescent="0.2">
      <c r="C156" s="3" t="s">
        <v>11</v>
      </c>
      <c r="D156" s="19">
        <f>+D196</f>
        <v>0</v>
      </c>
      <c r="E156" s="19"/>
      <c r="F156" s="19">
        <f>+F196</f>
        <v>0</v>
      </c>
      <c r="G156" s="19"/>
      <c r="H156" s="19">
        <f>+H196</f>
        <v>0</v>
      </c>
      <c r="I156" s="19"/>
      <c r="J156" s="19">
        <f>+J196</f>
        <v>0</v>
      </c>
      <c r="K156" s="19"/>
      <c r="L156" s="19">
        <f>+L196</f>
        <v>0</v>
      </c>
      <c r="M156" s="19"/>
      <c r="N156" s="19">
        <f>+N196</f>
        <v>0</v>
      </c>
      <c r="O156" s="19"/>
      <c r="P156" s="19">
        <f>+P196</f>
        <v>0</v>
      </c>
      <c r="Q156" s="19"/>
      <c r="R156" s="19">
        <f>+R196</f>
        <v>0</v>
      </c>
      <c r="S156" s="19"/>
      <c r="T156" s="19">
        <f>+T196</f>
        <v>0</v>
      </c>
      <c r="U156" s="19"/>
      <c r="V156" s="27">
        <f>SUM(D156:T156)</f>
        <v>0</v>
      </c>
    </row>
    <row r="157" spans="1:22" outlineLevel="3" x14ac:dyDescent="0.2">
      <c r="C157" s="20"/>
      <c r="D157" s="31">
        <f>SUM(D156:D156)</f>
        <v>0</v>
      </c>
      <c r="E157" s="19"/>
      <c r="F157" s="31">
        <f>SUM(F156:F156)</f>
        <v>0</v>
      </c>
      <c r="G157" s="19"/>
      <c r="H157" s="31">
        <f>SUM(H156:H156)</f>
        <v>0</v>
      </c>
      <c r="I157" s="19"/>
      <c r="J157" s="31">
        <f>SUM(J156:J156)</f>
        <v>0</v>
      </c>
      <c r="K157" s="26"/>
      <c r="L157" s="31">
        <f>SUM(L156:L156)</f>
        <v>0</v>
      </c>
      <c r="M157" s="19"/>
      <c r="N157" s="31">
        <f>SUM(N156:N156)</f>
        <v>0</v>
      </c>
      <c r="O157" s="19"/>
      <c r="P157" s="31">
        <f>SUM(P156:P156)</f>
        <v>0</v>
      </c>
      <c r="Q157" s="19"/>
      <c r="R157" s="31">
        <f>SUM(R156:R156)</f>
        <v>0</v>
      </c>
      <c r="S157" s="19"/>
      <c r="T157" s="31">
        <f>SUM(T156:T156)</f>
        <v>0</v>
      </c>
      <c r="U157" s="19"/>
      <c r="V157" s="31">
        <f>SUM(V156:V156)</f>
        <v>0</v>
      </c>
    </row>
    <row r="158" spans="1:22" outlineLevel="3" x14ac:dyDescent="0.2">
      <c r="C158" s="20"/>
      <c r="D158" s="26"/>
      <c r="E158" s="19"/>
      <c r="F158" s="26"/>
      <c r="G158" s="19"/>
      <c r="H158" s="26"/>
      <c r="I158" s="19"/>
      <c r="J158" s="26"/>
      <c r="K158" s="26"/>
      <c r="L158" s="26"/>
      <c r="M158" s="19"/>
      <c r="N158" s="26"/>
      <c r="O158" s="19"/>
      <c r="P158" s="26"/>
      <c r="Q158" s="19"/>
      <c r="R158" s="26"/>
      <c r="S158" s="19"/>
      <c r="T158" s="26"/>
      <c r="U158" s="19"/>
      <c r="V158" s="26"/>
    </row>
    <row r="159" spans="1:22" outlineLevel="3" x14ac:dyDescent="0.2">
      <c r="A159" s="71" t="s">
        <v>121</v>
      </c>
      <c r="C159" s="12"/>
      <c r="D159" s="17"/>
      <c r="E159" s="14"/>
      <c r="F159" s="17"/>
      <c r="G159" s="14"/>
      <c r="H159" s="17"/>
      <c r="I159" s="14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4"/>
      <c r="V159" s="17"/>
    </row>
    <row r="160" spans="1:22" outlineLevel="3" x14ac:dyDescent="0.2">
      <c r="A160" s="96" t="s">
        <v>112</v>
      </c>
      <c r="C160" s="43" t="s">
        <v>113</v>
      </c>
      <c r="D160" s="17">
        <f>+'KY_Res by Plant Acct P16(REG)'!B83-22443.8</f>
        <v>-934776.4</v>
      </c>
      <c r="E160" s="14"/>
      <c r="F160" s="17">
        <f>+'KY_Res by Plant Acct P16(REG)'!D83</f>
        <v>0</v>
      </c>
      <c r="G160" s="14"/>
      <c r="H160" s="17">
        <f>+'KY_Res by Plant Acct P16(REG)'!F83</f>
        <v>0</v>
      </c>
      <c r="I160" s="14"/>
      <c r="J160" s="17">
        <v>0</v>
      </c>
      <c r="K160" s="17"/>
      <c r="N160" s="17">
        <f>+'KY_Res by Plant Acct P16(REG)'!J83</f>
        <v>0</v>
      </c>
      <c r="O160" s="17"/>
      <c r="P160" s="17">
        <f>+'KY_Res by Plant Acct P16(REG)'!L83</f>
        <v>0</v>
      </c>
      <c r="Q160" s="17"/>
      <c r="R160" s="17">
        <f>+'KY_Res by Plant Acct P16(REG)'!N83</f>
        <v>0</v>
      </c>
      <c r="S160" s="17"/>
      <c r="T160" s="17">
        <f>+'KY_Res by Plant Acct P16(REG)'!P83</f>
        <v>0</v>
      </c>
      <c r="U160" s="17"/>
      <c r="V160" s="19">
        <f>SUM(D160:T160)</f>
        <v>-934776.4</v>
      </c>
    </row>
    <row r="161" spans="1:46" outlineLevel="3" x14ac:dyDescent="0.2">
      <c r="A161" s="96" t="s">
        <v>114</v>
      </c>
      <c r="C161" s="43" t="s">
        <v>113</v>
      </c>
      <c r="D161" s="17">
        <f>+'KY_Res by Plant Acct P16(REG)'!B94</f>
        <v>-116532.40000000002</v>
      </c>
      <c r="E161" s="14"/>
      <c r="F161" s="17">
        <f>+'KY_Res by Plant Acct P16(REG)'!D94</f>
        <v>-3951.6</v>
      </c>
      <c r="G161" s="14"/>
      <c r="H161" s="17">
        <f>+'KY_Res by Plant Acct P16(REG)'!F94</f>
        <v>0</v>
      </c>
      <c r="I161" s="14"/>
      <c r="J161" s="17">
        <f>+'KY_Res by Plant Acct P16(REG)'!H94</f>
        <v>0</v>
      </c>
      <c r="K161" s="17"/>
      <c r="N161" s="17">
        <f>+'KY_Res by Plant Acct P16(REG)'!J94</f>
        <v>0</v>
      </c>
      <c r="O161" s="17"/>
      <c r="P161" s="17">
        <f>+'KY_Res by Plant Acct P16(REG)'!L94</f>
        <v>0</v>
      </c>
      <c r="Q161" s="17"/>
      <c r="R161" s="17">
        <f>+'KY_Res by Plant Acct P16(REG)'!N94</f>
        <v>0</v>
      </c>
      <c r="S161" s="17"/>
      <c r="T161" s="17">
        <f>+'KY_Res by Plant Acct P16(REG)'!P94</f>
        <v>0</v>
      </c>
      <c r="U161" s="17"/>
      <c r="V161" s="19">
        <f>SUM(D161:T161)</f>
        <v>-120484.00000000003</v>
      </c>
    </row>
    <row r="162" spans="1:46" outlineLevel="3" x14ac:dyDescent="0.2">
      <c r="A162" s="96" t="s">
        <v>115</v>
      </c>
      <c r="C162" s="43" t="s">
        <v>113</v>
      </c>
      <c r="D162" s="17">
        <f>+'KY_Res by Plant Acct P16(REG)'!B423+'VA_Res by Plant Acct P17(REG)'!B44+'TN_Res by Plant Acct P18(REG)'!B24+22444.65</f>
        <v>-17021613.329999998</v>
      </c>
      <c r="E162" s="14"/>
      <c r="F162" s="17">
        <f>+'KY_Res by Plant Acct P16(REG)'!D423+'VA_Res by Plant Acct P17(REG)'!D44+'TN_Res by Plant Acct P18(REG)'!D24</f>
        <v>-282719.98000000004</v>
      </c>
      <c r="G162" s="14"/>
      <c r="H162" s="17">
        <f>+'KY_Res by Plant Acct P16(REG)'!F423+'VA_Res by Plant Acct P17(REG)'!F44+'TN_Res by Plant Acct P18(REG)'!F24</f>
        <v>0</v>
      </c>
      <c r="I162" s="14"/>
      <c r="J162" s="17">
        <f>+'KY_Res by Plant Acct P16(REG)'!H423+'VA_Res by Plant Acct P17(REG)'!H44+'TN_Res by Plant Acct P18(REG)'!H24</f>
        <v>0</v>
      </c>
      <c r="K162" s="17"/>
      <c r="N162" s="17">
        <f>+'KY_Res by Plant Acct P16(REG)'!J423+'VA_Res by Plant Acct P17(REG)'!J44+'TN_Res by Plant Acct P18(REG)'!J24</f>
        <v>0</v>
      </c>
      <c r="O162" s="17"/>
      <c r="P162" s="17">
        <f>+'KY_Res by Plant Acct P16(REG)'!L423+'VA_Res by Plant Acct P17(REG)'!L44+'TN_Res by Plant Acct P18(REG)'!L24</f>
        <v>0</v>
      </c>
      <c r="Q162" s="17"/>
      <c r="R162" s="17">
        <f>+'KY_Res by Plant Acct P16(REG)'!N423+'VA_Res by Plant Acct P17(REG)'!N44+'TN_Res by Plant Acct P18(REG)'!N24</f>
        <v>0</v>
      </c>
      <c r="S162" s="17"/>
      <c r="T162" s="17">
        <f>+'KY_Res by Plant Acct P16(REG)'!P423+'VA_Res by Plant Acct P17(REG)'!P44+'TN_Res by Plant Acct P18(REG)'!P24</f>
        <v>0</v>
      </c>
      <c r="U162" s="17"/>
      <c r="V162" s="19">
        <f>SUM(D162:T162)</f>
        <v>-17304333.309999999</v>
      </c>
    </row>
    <row r="163" spans="1:46" outlineLevel="3" x14ac:dyDescent="0.2">
      <c r="A163" s="96" t="s">
        <v>116</v>
      </c>
      <c r="C163" s="43" t="s">
        <v>113</v>
      </c>
      <c r="D163" s="17">
        <f>+'KY_Res by Plant Acct P16(REG)'!B10+'VA_Res by Plant Acct P17(REG)'!B10+'TN_Res by Plant Acct P18(REG)'!B10+'KY_Res by Plant Acct P16(REG)'!B11+3304.98-56879.56+58761.78</f>
        <v>-1452917.7799999998</v>
      </c>
      <c r="E163" s="14"/>
      <c r="F163" s="17">
        <f>+'KY_Res by Plant Acct P16(REG)'!D10+'VA_Res by Plant Acct P17(REG)'!D10+'TN_Res by Plant Acct P18(REG)'!D10+'KY_Res by Plant Acct P16(REG)'!D11</f>
        <v>-12579.72</v>
      </c>
      <c r="G163" s="14"/>
      <c r="H163" s="17">
        <f>+'KY_Res by Plant Acct P16(REG)'!F10+'VA_Res by Plant Acct P17(REG)'!F10+'TN_Res by Plant Acct P18(REG)'!F10+'KY_Res by Plant Acct P16(REG)'!F11</f>
        <v>0</v>
      </c>
      <c r="I163" s="14"/>
      <c r="J163" s="17">
        <v>-5187.5200000000004</v>
      </c>
      <c r="K163" s="17"/>
      <c r="N163" s="17">
        <f>+'KY_Res by Plant Acct P16(REG)'!J10+'VA_Res by Plant Acct P17(REG)'!J10+'TN_Res by Plant Acct P18(REG)'!J10+'KY_Res by Plant Acct P16(REG)'!J11</f>
        <v>0</v>
      </c>
      <c r="P163" s="17">
        <f>+'KY_Res by Plant Acct P16(REG)'!L10+'VA_Res by Plant Acct P17(REG)'!L10+'TN_Res by Plant Acct P18(REG)'!L10+'KY_Res by Plant Acct P16(REG)'!L11</f>
        <v>0</v>
      </c>
      <c r="Q163" s="17"/>
      <c r="R163" s="17">
        <f>+'KY_Res by Plant Acct P16(REG)'!N10+'VA_Res by Plant Acct P17(REG)'!N10+'TN_Res by Plant Acct P18(REG)'!N10+'KY_Res by Plant Acct P16(REG)'!N11</f>
        <v>0</v>
      </c>
      <c r="S163" s="17"/>
      <c r="T163" s="17">
        <f>+'KY_Res by Plant Acct P16(REG)'!P10+'VA_Res by Plant Acct P17(REG)'!P10+'TN_Res by Plant Acct P18(REG)'!P10+'KY_Res by Plant Acct P16(REG)'!P11</f>
        <v>0</v>
      </c>
      <c r="U163" s="17"/>
      <c r="V163" s="19">
        <f>SUM(D163:T163)</f>
        <v>-1470685.0199999998</v>
      </c>
    </row>
    <row r="164" spans="1:46" outlineLevel="3" x14ac:dyDescent="0.2">
      <c r="A164" s="96" t="s">
        <v>117</v>
      </c>
      <c r="C164" s="43" t="s">
        <v>118</v>
      </c>
      <c r="D164" s="17">
        <f>+'KY_Res by Plant Acct P16(REG)'!B457+'KY_Res by Plant Acct P16(REG)'!B458</f>
        <v>-52578.229999999996</v>
      </c>
      <c r="E164" s="14"/>
      <c r="F164" s="17">
        <f>+'KY_Res by Plant Acct P16(REG)'!D457+'KY_Res by Plant Acct P16(REG)'!D458</f>
        <v>-10501.56</v>
      </c>
      <c r="G164" s="14"/>
      <c r="H164" s="17">
        <f>+'KY_Res by Plant Acct P16(REG)'!F457+'KY_Res by Plant Acct P16(REG)'!F458</f>
        <v>0</v>
      </c>
      <c r="I164" s="14"/>
      <c r="J164" s="17">
        <f>+'KY_Res by Plant Acct P16(REG)'!H457+'KY_Res by Plant Acct P16(REG)'!H458</f>
        <v>0</v>
      </c>
      <c r="K164" s="17"/>
      <c r="N164" s="17">
        <f>+'KY_Res by Plant Acct P16(REG)'!J457+'KY_Res by Plant Acct P16(REG)'!J458</f>
        <v>0</v>
      </c>
      <c r="O164" s="17"/>
      <c r="P164" s="17">
        <f>+'KY_Res by Plant Acct P16(REG)'!L457+'KY_Res by Plant Acct P16(REG)'!L458</f>
        <v>0</v>
      </c>
      <c r="Q164" s="17"/>
      <c r="R164" s="17">
        <f>+'KY_Res by Plant Acct P16(REG)'!N457+'KY_Res by Plant Acct P16(REG)'!N458</f>
        <v>0</v>
      </c>
      <c r="S164" s="17"/>
      <c r="T164" s="17">
        <v>0</v>
      </c>
      <c r="U164" s="17"/>
      <c r="V164" s="19">
        <f>SUM(D164:T164)</f>
        <v>-63079.789999999994</v>
      </c>
    </row>
    <row r="165" spans="1:46" outlineLevel="3" x14ac:dyDescent="0.2">
      <c r="C165" s="12" t="s">
        <v>119</v>
      </c>
      <c r="D165" s="141">
        <f>SUM(D159:D164)</f>
        <v>-19578418.140000001</v>
      </c>
      <c r="E165" s="14"/>
      <c r="F165" s="141">
        <f>SUM(F159:F164)</f>
        <v>-309752.86</v>
      </c>
      <c r="G165" s="14"/>
      <c r="H165" s="141">
        <f>SUM(H159:H164)</f>
        <v>0</v>
      </c>
      <c r="I165" s="14"/>
      <c r="J165" s="141">
        <f>SUM(J159:J164)</f>
        <v>-5187.5200000000004</v>
      </c>
      <c r="K165" s="17"/>
      <c r="L165" s="141">
        <f>SUM(L159:L164)</f>
        <v>0</v>
      </c>
      <c r="M165" s="17"/>
      <c r="N165" s="141">
        <f>SUM(N159:N164)</f>
        <v>0</v>
      </c>
      <c r="O165" s="17"/>
      <c r="P165" s="141">
        <f>SUM(P159:P164)</f>
        <v>0</v>
      </c>
      <c r="Q165" s="17"/>
      <c r="R165" s="141">
        <f>SUM(R159:R164)</f>
        <v>0</v>
      </c>
      <c r="S165" s="17"/>
      <c r="T165" s="141">
        <f>SUM(T159:T164)</f>
        <v>0</v>
      </c>
      <c r="U165" s="14"/>
      <c r="V165" s="141">
        <f>SUM(V159:V164)</f>
        <v>-19893358.519999996</v>
      </c>
    </row>
    <row r="166" spans="1:46" outlineLevel="3" x14ac:dyDescent="0.2">
      <c r="C166" s="20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26"/>
      <c r="T166" s="17"/>
      <c r="U166" s="26"/>
      <c r="V166" s="17"/>
    </row>
    <row r="167" spans="1:46" outlineLevel="1" x14ac:dyDescent="0.2">
      <c r="B167" s="43" t="s">
        <v>123</v>
      </c>
      <c r="C167" s="20"/>
      <c r="D167" s="17">
        <f>+D149+D152+D157-D165</f>
        <v>-2442466225.4400005</v>
      </c>
      <c r="E167" s="17"/>
      <c r="F167" s="17">
        <f>+F149+F152+F157-F165</f>
        <v>-255559887.94999999</v>
      </c>
      <c r="G167" s="17"/>
      <c r="H167" s="17">
        <f>+H149+H152+H157-H165</f>
        <v>60891331.050000004</v>
      </c>
      <c r="I167" s="17"/>
      <c r="J167" s="17">
        <f>+J149+J152+J157-J165</f>
        <v>-413976.73</v>
      </c>
      <c r="K167" s="17"/>
      <c r="L167" s="17">
        <f>+L149+L152+L157-L165</f>
        <v>0</v>
      </c>
      <c r="M167" s="17"/>
      <c r="N167" s="17">
        <f>+N149+N152+N157-N165</f>
        <v>0</v>
      </c>
      <c r="O167" s="17"/>
      <c r="P167" s="17">
        <f>+P149+P152+P157-P165</f>
        <v>0</v>
      </c>
      <c r="Q167" s="17"/>
      <c r="R167" s="17">
        <f>+R149+R152+R157-R165</f>
        <v>0</v>
      </c>
      <c r="S167" s="26"/>
      <c r="T167" s="17">
        <f>+T149+T152+T157-T165</f>
        <v>0</v>
      </c>
      <c r="U167" s="26"/>
      <c r="V167" s="17">
        <f>+V149+V152+V157-V165</f>
        <v>-2637548759.0700002</v>
      </c>
      <c r="X167" s="15">
        <f>+F167-Z167-AN167-Y167-AA167</f>
        <v>-212697769.82999998</v>
      </c>
      <c r="Y167" s="15">
        <v>0</v>
      </c>
      <c r="Z167" s="15">
        <v>-41078777.000000007</v>
      </c>
      <c r="AA167" s="15">
        <f>-AA210</f>
        <v>0</v>
      </c>
      <c r="AB167" s="15"/>
      <c r="AE167" s="15">
        <f>+H167</f>
        <v>60891331.050000004</v>
      </c>
      <c r="AF167" s="15">
        <v>0</v>
      </c>
      <c r="AG167" s="15">
        <f>+'Land_Vehicle Retire P3A (REG)'!I9-'Land_Vehicle Retire P3A (REG)'!K9</f>
        <v>0</v>
      </c>
      <c r="AH167" s="15"/>
      <c r="AI167" s="15"/>
      <c r="AJ167" s="15"/>
      <c r="AK167" s="15">
        <v>0</v>
      </c>
      <c r="AL167" s="15">
        <v>0</v>
      </c>
      <c r="AM167" s="15">
        <f>+J167-J156-AK167+AG167-AL167-AG167-AH167</f>
        <v>-413976.73</v>
      </c>
      <c r="AN167" s="15">
        <f>+'Recon Depr Exp to IS P4 (REG)'!E18-'Recon Depr Exp to IS P4 (REG)'!I18-'Recon Depr Exp to IS P4 (REG)'!K18-'Recon Depr Exp to IS P4 (REG)'!M16-'Recon Depr Exp to IS P4 (REG)'!O13-'Recon Depr Exp to IS P4 (REG)'!Q18-AA167</f>
        <v>-1783341.12</v>
      </c>
      <c r="AS167" s="15">
        <f>SUM(X167:AQ167)</f>
        <v>-195082533.62999997</v>
      </c>
      <c r="AT167" s="15">
        <f>+V167-D167-AS167</f>
        <v>3.2782554626464844E-7</v>
      </c>
    </row>
    <row r="168" spans="1:46" outlineLevel="1" x14ac:dyDescent="0.2">
      <c r="C168" s="20"/>
      <c r="D168" s="17">
        <f>+D12-D167</f>
        <v>0</v>
      </c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26"/>
      <c r="T168" s="17"/>
      <c r="U168" s="26"/>
      <c r="V168" s="17">
        <f>+V12-V167</f>
        <v>0</v>
      </c>
    </row>
    <row r="169" spans="1:46" outlineLevel="1" x14ac:dyDescent="0.2"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26"/>
      <c r="S169" s="26"/>
      <c r="T169" s="26"/>
      <c r="U169" s="26"/>
      <c r="V169" s="26"/>
    </row>
    <row r="170" spans="1:46" outlineLevel="2" x14ac:dyDescent="0.2">
      <c r="B170" s="12" t="s">
        <v>51</v>
      </c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</row>
    <row r="171" spans="1:46" outlineLevel="2" x14ac:dyDescent="0.2">
      <c r="C171" s="3" t="s">
        <v>12</v>
      </c>
      <c r="D171" s="17">
        <f>+'KU_Summary - Reserve - P2 (REG)'!C25</f>
        <v>-217980316.47999999</v>
      </c>
      <c r="E171" s="17"/>
      <c r="F171" s="17">
        <f>+'KU_Summary - Reserve - P2 (REG)'!E25</f>
        <v>-10862136.82</v>
      </c>
      <c r="G171" s="17"/>
      <c r="H171" s="17">
        <f>+'KU_Summary - Reserve - P2 (REG)'!G25</f>
        <v>0</v>
      </c>
      <c r="I171" s="17"/>
      <c r="J171" s="17">
        <f>+'KU_Summary - Reserve - P2 (REG)'!I25</f>
        <v>6209.42</v>
      </c>
      <c r="K171" s="17"/>
      <c r="L171" s="17">
        <f>+'KU_Summary - Reserve - P2 (REG)'!K25</f>
        <v>0</v>
      </c>
      <c r="M171" s="17"/>
      <c r="N171" s="17">
        <f>+'KU_Summary - Reserve - P2 (REG)'!M25</f>
        <v>0</v>
      </c>
      <c r="O171" s="17"/>
      <c r="P171" s="17">
        <f>+'KU_Summary - Reserve - P2 (REG)'!O25</f>
        <v>5916172.9699999997</v>
      </c>
      <c r="Q171" s="17"/>
      <c r="R171" s="17">
        <f>+'KU_Summary - Reserve - P2 (REG)'!Q25</f>
        <v>0</v>
      </c>
      <c r="S171" s="26"/>
      <c r="T171" s="17">
        <f>+'KU_Summary - Reserve - P2 (REG)'!S25</f>
        <v>-441217.4</v>
      </c>
      <c r="U171" s="26"/>
      <c r="V171" s="26">
        <f t="shared" ref="V171:V177" si="11">T171+R171+P171+N171+J171+H171+F171+D171</f>
        <v>-223361288.31</v>
      </c>
    </row>
    <row r="172" spans="1:46" outlineLevel="2" x14ac:dyDescent="0.2">
      <c r="C172" s="3" t="s">
        <v>13</v>
      </c>
      <c r="D172" s="17">
        <f>+'KU_Summary - Reserve - P2 (REG)'!C26</f>
        <v>101014.32999999996</v>
      </c>
      <c r="E172" s="17"/>
      <c r="F172" s="17">
        <f>+'KU_Summary - Reserve - P2 (REG)'!E26</f>
        <v>-104165.43</v>
      </c>
      <c r="G172" s="17"/>
      <c r="H172" s="17">
        <f>+'KU_Summary - Reserve - P2 (REG)'!G26</f>
        <v>0</v>
      </c>
      <c r="I172" s="17"/>
      <c r="J172" s="17">
        <f>+'KU_Summary - Reserve - P2 (REG)'!I26</f>
        <v>0</v>
      </c>
      <c r="K172" s="17"/>
      <c r="L172" s="17">
        <f>+'KU_Summary - Reserve - P2 (REG)'!K26</f>
        <v>0</v>
      </c>
      <c r="M172" s="17"/>
      <c r="N172" s="17">
        <f>+'KU_Summary - Reserve - P2 (REG)'!M26</f>
        <v>0</v>
      </c>
      <c r="O172" s="17"/>
      <c r="P172" s="17">
        <f>+'KU_Summary - Reserve - P2 (REG)'!O26</f>
        <v>232604.72</v>
      </c>
      <c r="Q172" s="17"/>
      <c r="R172" s="17">
        <f>+'KU_Summary - Reserve - P2 (REG)'!Q26</f>
        <v>0</v>
      </c>
      <c r="S172" s="26"/>
      <c r="T172" s="17">
        <f>+'KU_Summary - Reserve - P2 (REG)'!S26</f>
        <v>0</v>
      </c>
      <c r="U172" s="26"/>
      <c r="V172" s="26">
        <f t="shared" si="11"/>
        <v>229453.61999999997</v>
      </c>
    </row>
    <row r="173" spans="1:46" outlineLevel="2" x14ac:dyDescent="0.2">
      <c r="C173" s="3" t="s">
        <v>14</v>
      </c>
      <c r="D173" s="17">
        <f>+'KU_Summary - Reserve - P2 (REG)'!C27</f>
        <v>276763.09999999998</v>
      </c>
      <c r="E173" s="17"/>
      <c r="F173" s="17">
        <f>+'KU_Summary - Reserve - P2 (REG)'!E27</f>
        <v>-38359.32</v>
      </c>
      <c r="G173" s="17"/>
      <c r="H173" s="17">
        <f>+'KU_Summary - Reserve - P2 (REG)'!G27</f>
        <v>0</v>
      </c>
      <c r="I173" s="17"/>
      <c r="J173" s="17">
        <f>+'KU_Summary - Reserve - P2 (REG)'!I27</f>
        <v>0</v>
      </c>
      <c r="K173" s="17"/>
      <c r="L173" s="17">
        <f>+'KU_Summary - Reserve - P2 (REG)'!K27</f>
        <v>0</v>
      </c>
      <c r="M173" s="17"/>
      <c r="N173" s="17">
        <f>+'KU_Summary - Reserve - P2 (REG)'!M27</f>
        <v>0</v>
      </c>
      <c r="O173" s="17"/>
      <c r="P173" s="17">
        <f>+'KU_Summary - Reserve - P2 (REG)'!O27</f>
        <v>25862.74</v>
      </c>
      <c r="Q173" s="17"/>
      <c r="R173" s="17">
        <f>+'KU_Summary - Reserve - P2 (REG)'!Q27</f>
        <v>0</v>
      </c>
      <c r="S173" s="26"/>
      <c r="T173" s="17">
        <f>+'KU_Summary - Reserve - P2 (REG)'!S27</f>
        <v>0</v>
      </c>
      <c r="U173" s="26"/>
      <c r="V173" s="26">
        <f t="shared" si="11"/>
        <v>264266.51999999996</v>
      </c>
    </row>
    <row r="174" spans="1:46" outlineLevel="2" x14ac:dyDescent="0.2">
      <c r="C174" s="3" t="s">
        <v>16</v>
      </c>
      <c r="D174" s="17">
        <f>+'KU_Summary - Reserve - P2 (REG)'!C28</f>
        <v>-5427980.8599999994</v>
      </c>
      <c r="E174" s="17"/>
      <c r="F174" s="17">
        <f>+'KU_Summary - Reserve - P2 (REG)'!E28</f>
        <v>-1434802.26</v>
      </c>
      <c r="G174" s="17"/>
      <c r="H174" s="17">
        <f>+'KU_Summary - Reserve - P2 (REG)'!G28</f>
        <v>0</v>
      </c>
      <c r="I174" s="17"/>
      <c r="J174" s="17">
        <f>+'KU_Summary - Reserve - P2 (REG)'!I28</f>
        <v>0</v>
      </c>
      <c r="K174" s="17"/>
      <c r="L174" s="17">
        <f>+'KU_Summary - Reserve - P2 (REG)'!K28</f>
        <v>0</v>
      </c>
      <c r="M174" s="17"/>
      <c r="N174" s="17">
        <f>+'KU_Summary - Reserve - P2 (REG)'!M28</f>
        <v>0</v>
      </c>
      <c r="O174" s="17"/>
      <c r="P174" s="17">
        <f>+'KU_Summary - Reserve - P2 (REG)'!O28</f>
        <v>245309.94</v>
      </c>
      <c r="Q174" s="17"/>
      <c r="R174" s="17">
        <f>+'KU_Summary - Reserve - P2 (REG)'!Q28</f>
        <v>0</v>
      </c>
      <c r="S174" s="26"/>
      <c r="T174" s="17">
        <f>+'KU_Summary - Reserve - P2 (REG)'!S28</f>
        <v>0</v>
      </c>
      <c r="U174" s="26"/>
      <c r="V174" s="26">
        <f t="shared" si="11"/>
        <v>-6617473.1799999997</v>
      </c>
    </row>
    <row r="175" spans="1:46" outlineLevel="2" x14ac:dyDescent="0.2">
      <c r="C175" s="3" t="s">
        <v>17</v>
      </c>
      <c r="D175" s="17">
        <f>+'KU_Summary - Reserve - P2 (REG)'!C29</f>
        <v>-170460250.25</v>
      </c>
      <c r="E175" s="17"/>
      <c r="F175" s="17">
        <f>+'KU_Summary - Reserve - P2 (REG)'!E29</f>
        <v>-8217769.4699999997</v>
      </c>
      <c r="G175" s="17"/>
      <c r="H175" s="17">
        <f>+'KU_Summary - Reserve - P2 (REG)'!G29</f>
        <v>0</v>
      </c>
      <c r="I175" s="17"/>
      <c r="J175" s="17">
        <f>+'KU_Summary - Reserve - P2 (REG)'!I29</f>
        <v>0</v>
      </c>
      <c r="K175" s="17"/>
      <c r="L175" s="17">
        <f>+'KU_Summary - Reserve - P2 (REG)'!K29</f>
        <v>0</v>
      </c>
      <c r="M175" s="17"/>
      <c r="N175" s="17">
        <f>+'KU_Summary - Reserve - P2 (REG)'!M29</f>
        <v>0</v>
      </c>
      <c r="O175" s="17"/>
      <c r="P175" s="17">
        <f>+'KU_Summary - Reserve - P2 (REG)'!O29</f>
        <v>4793895.3099999996</v>
      </c>
      <c r="Q175" s="17"/>
      <c r="R175" s="17">
        <f>+'KU_Summary - Reserve - P2 (REG)'!Q29</f>
        <v>0</v>
      </c>
      <c r="S175" s="26"/>
      <c r="T175" s="17">
        <f>+'KU_Summary - Reserve - P2 (REG)'!S29</f>
        <v>-16019.469999999998</v>
      </c>
      <c r="U175" s="26"/>
      <c r="V175" s="26">
        <f t="shared" si="11"/>
        <v>-173900143.88</v>
      </c>
    </row>
    <row r="176" spans="1:46" outlineLevel="2" x14ac:dyDescent="0.2">
      <c r="C176" s="3" t="s">
        <v>18</v>
      </c>
      <c r="D176" s="17">
        <f>+'KU_Summary - Reserve - P2 (REG)'!C30</f>
        <v>-129073842.04000001</v>
      </c>
      <c r="E176" s="17"/>
      <c r="F176" s="17">
        <f>+'KU_Summary - Reserve - P2 (REG)'!E30</f>
        <v>-4333812.09</v>
      </c>
      <c r="G176" s="17"/>
      <c r="H176" s="17">
        <f>+'KU_Summary - Reserve - P2 (REG)'!G30</f>
        <v>0</v>
      </c>
      <c r="I176" s="17"/>
      <c r="J176" s="17">
        <f>+'KU_Summary - Reserve - P2 (REG)'!I30</f>
        <v>-6209.42</v>
      </c>
      <c r="K176" s="17"/>
      <c r="L176" s="17">
        <f>+'KU_Summary - Reserve - P2 (REG)'!K30</f>
        <v>0</v>
      </c>
      <c r="M176" s="17"/>
      <c r="N176" s="17">
        <f>+'KU_Summary - Reserve - P2 (REG)'!M30</f>
        <v>0</v>
      </c>
      <c r="O176" s="17"/>
      <c r="P176" s="17">
        <f>+'KU_Summary - Reserve - P2 (REG)'!O30</f>
        <v>6679323.6600000001</v>
      </c>
      <c r="Q176" s="17"/>
      <c r="R176" s="17">
        <f>+'KU_Summary - Reserve - P2 (REG)'!Q30</f>
        <v>0</v>
      </c>
      <c r="S176" s="26"/>
      <c r="T176" s="17">
        <f>+'KU_Summary - Reserve - P2 (REG)'!S30</f>
        <v>-239764.79</v>
      </c>
      <c r="U176" s="26"/>
      <c r="V176" s="26">
        <f t="shared" si="11"/>
        <v>-126974304.68000001</v>
      </c>
    </row>
    <row r="177" spans="2:22" outlineLevel="2" x14ac:dyDescent="0.2">
      <c r="C177" s="3" t="s">
        <v>29</v>
      </c>
      <c r="D177" s="17">
        <f>+'KU_Summary - Reserve - P2 (REG)'!C31</f>
        <v>0</v>
      </c>
      <c r="E177" s="17"/>
      <c r="F177" s="17">
        <f>+'KU_Summary - Reserve - P2 (REG)'!E31</f>
        <v>0</v>
      </c>
      <c r="G177" s="17"/>
      <c r="H177" s="17">
        <f>+'KU_Summary - Reserve - P2 (REG)'!G31</f>
        <v>0</v>
      </c>
      <c r="I177" s="17"/>
      <c r="J177" s="17">
        <f>+'KU_Summary - Reserve - P2 (REG)'!I31</f>
        <v>0</v>
      </c>
      <c r="K177" s="17"/>
      <c r="L177" s="17">
        <f>+'KU_Summary - Reserve - P2 (REG)'!K31</f>
        <v>0</v>
      </c>
      <c r="M177" s="17"/>
      <c r="N177" s="17">
        <f>+'KU_Summary - Reserve - P2 (REG)'!M31</f>
        <v>0</v>
      </c>
      <c r="O177" s="17"/>
      <c r="P177" s="17">
        <f>+'KU_Summary - Reserve - P2 (REG)'!O31</f>
        <v>0</v>
      </c>
      <c r="Q177" s="17"/>
      <c r="R177" s="17">
        <f>+'KU_Summary - Reserve - P2 (REG)'!Q31</f>
        <v>0</v>
      </c>
      <c r="S177" s="26"/>
      <c r="T177" s="17">
        <f>+'KU_Summary - Reserve - P2 (REG)'!S31</f>
        <v>0</v>
      </c>
      <c r="U177" s="26"/>
      <c r="V177" s="27">
        <f t="shared" si="11"/>
        <v>0</v>
      </c>
    </row>
    <row r="178" spans="2:22" outlineLevel="2" x14ac:dyDescent="0.2">
      <c r="C178" s="20"/>
      <c r="D178" s="18">
        <f>SUM(D171:D177)</f>
        <v>-522564612.19999999</v>
      </c>
      <c r="E178" s="17"/>
      <c r="F178" s="18">
        <f>SUM(F171:F177)</f>
        <v>-24991045.390000001</v>
      </c>
      <c r="G178" s="17"/>
      <c r="H178" s="18">
        <f>SUM(H171:H177)</f>
        <v>0</v>
      </c>
      <c r="I178" s="17"/>
      <c r="J178" s="18">
        <f>SUM(J171:J177)</f>
        <v>0</v>
      </c>
      <c r="K178" s="17"/>
      <c r="L178" s="18">
        <f>SUM(L171:L177)</f>
        <v>0</v>
      </c>
      <c r="M178" s="17"/>
      <c r="N178" s="18">
        <f>SUM(N171:N177)</f>
        <v>0</v>
      </c>
      <c r="O178" s="17"/>
      <c r="P178" s="18">
        <f>SUM(P171:P177)</f>
        <v>17893169.34</v>
      </c>
      <c r="Q178" s="17"/>
      <c r="R178" s="18">
        <f>SUM(R171:R177)</f>
        <v>0</v>
      </c>
      <c r="S178" s="26"/>
      <c r="T178" s="18">
        <f>SUM(T171:T177)</f>
        <v>-697001.66</v>
      </c>
      <c r="U178" s="26"/>
      <c r="V178" s="17">
        <f>SUM(V171:V177)</f>
        <v>-530359489.91000003</v>
      </c>
    </row>
    <row r="179" spans="2:22" outlineLevel="2" x14ac:dyDescent="0.2"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</row>
    <row r="180" spans="2:22" outlineLevel="2" x14ac:dyDescent="0.2">
      <c r="B180" s="12" t="s">
        <v>52</v>
      </c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</row>
    <row r="181" spans="2:22" outlineLevel="2" x14ac:dyDescent="0.2">
      <c r="C181" s="3" t="s">
        <v>12</v>
      </c>
      <c r="D181" s="17">
        <f>+'KU_Summary - Reserve - P2 (REG)'!C35</f>
        <v>51073277.120000012</v>
      </c>
      <c r="E181" s="17"/>
      <c r="F181" s="17">
        <f>+'KU_Summary - Reserve - P2 (REG)'!E35</f>
        <v>1064753.06</v>
      </c>
      <c r="G181" s="17"/>
      <c r="H181" s="17">
        <f>+'KU_Summary - Reserve - P2 (REG)'!G35</f>
        <v>0</v>
      </c>
      <c r="I181" s="17"/>
      <c r="J181" s="17">
        <f>+'KU_Summary - Reserve - P2 (REG)'!I35</f>
        <v>0</v>
      </c>
      <c r="K181" s="17"/>
      <c r="L181" s="17">
        <f>+'KU_Summary - Reserve - P2 (REG)'!K35</f>
        <v>0</v>
      </c>
      <c r="M181" s="17"/>
      <c r="N181" s="17">
        <f>+'KU_Summary - Reserve - P2 (REG)'!M35</f>
        <v>0</v>
      </c>
      <c r="O181" s="17"/>
      <c r="P181" s="17">
        <f>+'KU_Summary - Reserve - P2 (REG)'!O35</f>
        <v>0</v>
      </c>
      <c r="Q181" s="17"/>
      <c r="R181" s="17">
        <f>+'KU_Summary - Reserve - P2 (REG)'!Q35</f>
        <v>-258107.78</v>
      </c>
      <c r="S181" s="26"/>
      <c r="T181" s="17">
        <f>+'KU_Summary - Reserve - P2 (REG)'!S35</f>
        <v>0</v>
      </c>
      <c r="U181" s="26"/>
      <c r="V181" s="26">
        <f t="shared" ref="V181:V187" si="12">T181+R181+P181+N181+J181+H181+F181+D181</f>
        <v>51879922.400000013</v>
      </c>
    </row>
    <row r="182" spans="2:22" outlineLevel="2" x14ac:dyDescent="0.2">
      <c r="C182" s="3" t="s">
        <v>13</v>
      </c>
      <c r="D182" s="17">
        <f>+'KU_Summary - Reserve - P2 (REG)'!C36</f>
        <v>50823.630000000019</v>
      </c>
      <c r="E182" s="17"/>
      <c r="F182" s="17">
        <f>+'KU_Summary - Reserve - P2 (REG)'!E36</f>
        <v>0</v>
      </c>
      <c r="G182" s="17"/>
      <c r="H182" s="17">
        <f>+'KU_Summary - Reserve - P2 (REG)'!G36</f>
        <v>0</v>
      </c>
      <c r="I182" s="17"/>
      <c r="J182" s="17">
        <f>+'KU_Summary - Reserve - P2 (REG)'!I36</f>
        <v>5187.5200000000004</v>
      </c>
      <c r="K182" s="17"/>
      <c r="L182" s="17">
        <f>+'KU_Summary - Reserve - P2 (REG)'!K36</f>
        <v>0</v>
      </c>
      <c r="M182" s="17"/>
      <c r="N182" s="17">
        <f>+'KU_Summary - Reserve - P2 (REG)'!M36</f>
        <v>0</v>
      </c>
      <c r="O182" s="17"/>
      <c r="P182" s="17">
        <f>+'KU_Summary - Reserve - P2 (REG)'!O36</f>
        <v>0</v>
      </c>
      <c r="Q182" s="17"/>
      <c r="R182" s="17">
        <f>+'KU_Summary - Reserve - P2 (REG)'!Q36</f>
        <v>-154.38999999999942</v>
      </c>
      <c r="S182" s="26"/>
      <c r="T182" s="17">
        <f>+'KU_Summary - Reserve - P2 (REG)'!S36</f>
        <v>0</v>
      </c>
      <c r="U182" s="26"/>
      <c r="V182" s="26">
        <f>T182+R182+P182+N182+J182+H182+F182+D182</f>
        <v>55856.760000000024</v>
      </c>
    </row>
    <row r="183" spans="2:22" outlineLevel="2" x14ac:dyDescent="0.2">
      <c r="C183" s="3" t="s">
        <v>14</v>
      </c>
      <c r="D183" s="17">
        <f>+'KU_Summary - Reserve - P2 (REG)'!C37</f>
        <v>62509.850000000006</v>
      </c>
      <c r="E183" s="17"/>
      <c r="F183" s="17">
        <f>+'KU_Summary - Reserve - P2 (REG)'!E37</f>
        <v>5619.28</v>
      </c>
      <c r="G183" s="17"/>
      <c r="H183" s="17">
        <f>+'KU_Summary - Reserve - P2 (REG)'!G37</f>
        <v>0</v>
      </c>
      <c r="I183" s="17"/>
      <c r="J183" s="17">
        <f>+'KU_Summary - Reserve - P2 (REG)'!I37</f>
        <v>0</v>
      </c>
      <c r="K183" s="17"/>
      <c r="L183" s="17">
        <f>+'KU_Summary - Reserve - P2 (REG)'!K37</f>
        <v>0</v>
      </c>
      <c r="M183" s="17"/>
      <c r="N183" s="17">
        <f>+'KU_Summary - Reserve - P2 (REG)'!M37</f>
        <v>0</v>
      </c>
      <c r="O183" s="17"/>
      <c r="P183" s="17">
        <f>+'KU_Summary - Reserve - P2 (REG)'!O37</f>
        <v>0</v>
      </c>
      <c r="Q183" s="17"/>
      <c r="R183" s="17">
        <f>+'KU_Summary - Reserve - P2 (REG)'!Q37</f>
        <v>0</v>
      </c>
      <c r="S183" s="26"/>
      <c r="T183" s="17">
        <f>+'KU_Summary - Reserve - P2 (REG)'!S37</f>
        <v>0</v>
      </c>
      <c r="U183" s="26"/>
      <c r="V183" s="26">
        <f t="shared" si="12"/>
        <v>68129.13</v>
      </c>
    </row>
    <row r="184" spans="2:22" outlineLevel="2" x14ac:dyDescent="0.2">
      <c r="C184" s="3" t="s">
        <v>16</v>
      </c>
      <c r="D184" s="17">
        <f>+'KU_Summary - Reserve - P2 (REG)'!C38</f>
        <v>1176591.51</v>
      </c>
      <c r="E184" s="17"/>
      <c r="F184" s="17">
        <f>+'KU_Summary - Reserve - P2 (REG)'!E38</f>
        <v>280526.87</v>
      </c>
      <c r="G184" s="17"/>
      <c r="H184" s="17">
        <f>+'KU_Summary - Reserve - P2 (REG)'!G38</f>
        <v>0</v>
      </c>
      <c r="I184" s="17"/>
      <c r="J184" s="17">
        <f>+'KU_Summary - Reserve - P2 (REG)'!I38</f>
        <v>0</v>
      </c>
      <c r="K184" s="17"/>
      <c r="L184" s="17">
        <f>+'KU_Summary - Reserve - P2 (REG)'!K38</f>
        <v>0</v>
      </c>
      <c r="M184" s="17"/>
      <c r="N184" s="17">
        <f>+'KU_Summary - Reserve - P2 (REG)'!M38</f>
        <v>0</v>
      </c>
      <c r="O184" s="17"/>
      <c r="P184" s="17">
        <f>+'KU_Summary - Reserve - P2 (REG)'!O38</f>
        <v>0</v>
      </c>
      <c r="Q184" s="17"/>
      <c r="R184" s="17">
        <f>+'KU_Summary - Reserve - P2 (REG)'!Q38</f>
        <v>0</v>
      </c>
      <c r="S184" s="26"/>
      <c r="T184" s="17">
        <f>+'KU_Summary - Reserve - P2 (REG)'!S38</f>
        <v>0</v>
      </c>
      <c r="U184" s="26"/>
      <c r="V184" s="26">
        <f t="shared" si="12"/>
        <v>1457118.38</v>
      </c>
    </row>
    <row r="185" spans="2:22" outlineLevel="2" x14ac:dyDescent="0.2">
      <c r="C185" s="3" t="s">
        <v>17</v>
      </c>
      <c r="D185" s="17">
        <f>+'KU_Summary - Reserve - P2 (REG)'!C39</f>
        <v>30648678.270000007</v>
      </c>
      <c r="E185" s="17"/>
      <c r="F185" s="17">
        <f>+'KU_Summary - Reserve - P2 (REG)'!E39</f>
        <v>2057611.76</v>
      </c>
      <c r="G185" s="17"/>
      <c r="H185" s="17">
        <f>+'KU_Summary - Reserve - P2 (REG)'!G39</f>
        <v>0</v>
      </c>
      <c r="I185" s="17"/>
      <c r="J185" s="17">
        <f>+'KU_Summary - Reserve - P2 (REG)'!I39</f>
        <v>0</v>
      </c>
      <c r="K185" s="17"/>
      <c r="L185" s="17">
        <f>+'KU_Summary - Reserve - P2 (REG)'!K39</f>
        <v>0</v>
      </c>
      <c r="M185" s="17"/>
      <c r="N185" s="17">
        <f>+'KU_Summary - Reserve - P2 (REG)'!M39</f>
        <v>0</v>
      </c>
      <c r="O185" s="17"/>
      <c r="P185" s="17">
        <f>+'KU_Summary - Reserve - P2 (REG)'!O39</f>
        <v>0</v>
      </c>
      <c r="Q185" s="17"/>
      <c r="R185" s="17">
        <f>+'KU_Summary - Reserve - P2 (REG)'!Q39</f>
        <v>-184614.87</v>
      </c>
      <c r="S185" s="26"/>
      <c r="T185" s="17">
        <f>+'KU_Summary - Reserve - P2 (REG)'!S39</f>
        <v>0</v>
      </c>
      <c r="U185" s="26"/>
      <c r="V185" s="26">
        <f t="shared" si="12"/>
        <v>32521675.160000008</v>
      </c>
    </row>
    <row r="186" spans="2:22" outlineLevel="2" x14ac:dyDescent="0.2">
      <c r="C186" s="3" t="s">
        <v>18</v>
      </c>
      <c r="D186" s="17">
        <f>+'KU_Summary - Reserve - P2 (REG)'!C40</f>
        <v>25109802.220000003</v>
      </c>
      <c r="E186" s="17"/>
      <c r="F186" s="17">
        <f>+'KU_Summary - Reserve - P2 (REG)'!E40</f>
        <v>484963.43</v>
      </c>
      <c r="G186" s="17"/>
      <c r="H186" s="17">
        <f>+'KU_Summary - Reserve - P2 (REG)'!G40</f>
        <v>0</v>
      </c>
      <c r="I186" s="17"/>
      <c r="J186" s="17">
        <f>+'KU_Summary - Reserve - P2 (REG)'!I40</f>
        <v>0</v>
      </c>
      <c r="K186" s="17"/>
      <c r="L186" s="17">
        <f>+'KU_Summary - Reserve - P2 (REG)'!K40</f>
        <v>0</v>
      </c>
      <c r="M186" s="17"/>
      <c r="N186" s="17">
        <f>+'KU_Summary - Reserve - P2 (REG)'!M40</f>
        <v>0</v>
      </c>
      <c r="O186" s="17"/>
      <c r="P186" s="17">
        <f>+'KU_Summary - Reserve - P2 (REG)'!O40</f>
        <v>0</v>
      </c>
      <c r="Q186" s="17"/>
      <c r="R186" s="17">
        <f>+'KU_Summary - Reserve - P2 (REG)'!Q40</f>
        <v>-1149916.93</v>
      </c>
      <c r="S186" s="26"/>
      <c r="T186" s="17">
        <f>+'KU_Summary - Reserve - P2 (REG)'!S40</f>
        <v>0</v>
      </c>
      <c r="U186" s="26"/>
      <c r="V186" s="26">
        <f t="shared" si="12"/>
        <v>24444848.720000003</v>
      </c>
    </row>
    <row r="187" spans="2:22" outlineLevel="2" x14ac:dyDescent="0.2">
      <c r="C187" s="3" t="s">
        <v>29</v>
      </c>
      <c r="D187" s="17">
        <f>+'KU_Summary - Reserve - P2 (REG)'!C41</f>
        <v>0</v>
      </c>
      <c r="E187" s="17"/>
      <c r="F187" s="17">
        <f>+'KU_Summary - Reserve - P2 (REG)'!E41</f>
        <v>0</v>
      </c>
      <c r="G187" s="17"/>
      <c r="H187" s="17">
        <f>+'KU_Summary - Reserve - P2 (REG)'!G41</f>
        <v>0</v>
      </c>
      <c r="I187" s="17"/>
      <c r="J187" s="17">
        <f>+'KU_Summary - Reserve - P2 (REG)'!I41</f>
        <v>0</v>
      </c>
      <c r="K187" s="17"/>
      <c r="L187" s="17">
        <f>+'KU_Summary - Reserve - P2 (REG)'!K41</f>
        <v>0</v>
      </c>
      <c r="M187" s="17"/>
      <c r="N187" s="17">
        <f>+'KU_Summary - Reserve - P2 (REG)'!M41</f>
        <v>0</v>
      </c>
      <c r="O187" s="17"/>
      <c r="P187" s="17">
        <f>+'KU_Summary - Reserve - P2 (REG)'!O41</f>
        <v>0</v>
      </c>
      <c r="Q187" s="17"/>
      <c r="R187" s="17">
        <f>+'KU_Summary - Reserve - P2 (REG)'!Q41</f>
        <v>0</v>
      </c>
      <c r="S187" s="26"/>
      <c r="T187" s="17">
        <f>+'KU_Summary - Reserve - P2 (REG)'!S41</f>
        <v>0</v>
      </c>
      <c r="U187" s="26"/>
      <c r="V187" s="27">
        <f t="shared" si="12"/>
        <v>0</v>
      </c>
    </row>
    <row r="188" spans="2:22" outlineLevel="2" x14ac:dyDescent="0.2">
      <c r="C188" s="20"/>
      <c r="D188" s="18">
        <f>SUM(D181:D187)</f>
        <v>108121682.60000002</v>
      </c>
      <c r="E188" s="17"/>
      <c r="F188" s="18">
        <f>SUM(F181:F187)</f>
        <v>3893474.4</v>
      </c>
      <c r="G188" s="17"/>
      <c r="H188" s="18">
        <f>SUM(H181:H187)</f>
        <v>0</v>
      </c>
      <c r="I188" s="17"/>
      <c r="J188" s="18">
        <f>SUM(J181:J187)</f>
        <v>5187.5200000000004</v>
      </c>
      <c r="K188" s="17"/>
      <c r="L188" s="18">
        <f>SUM(L181:L187)</f>
        <v>0</v>
      </c>
      <c r="M188" s="17"/>
      <c r="N188" s="18">
        <f>SUM(N181:N187)</f>
        <v>0</v>
      </c>
      <c r="O188" s="17"/>
      <c r="P188" s="18">
        <f>SUM(P181:P187)</f>
        <v>0</v>
      </c>
      <c r="Q188" s="17"/>
      <c r="R188" s="18">
        <f>SUM(R181:R187)</f>
        <v>-1592793.97</v>
      </c>
      <c r="S188" s="26"/>
      <c r="T188" s="18">
        <f>SUM(T181:T187)</f>
        <v>0</v>
      </c>
      <c r="U188" s="26"/>
      <c r="V188" s="17">
        <f>SUM(V181:V187)</f>
        <v>110427550.55000003</v>
      </c>
    </row>
    <row r="189" spans="2:22" outlineLevel="2" x14ac:dyDescent="0.2"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</row>
    <row r="190" spans="2:22" outlineLevel="2" x14ac:dyDescent="0.2"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</row>
    <row r="191" spans="2:22" outlineLevel="2" x14ac:dyDescent="0.2">
      <c r="B191" s="12" t="s">
        <v>54</v>
      </c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</row>
    <row r="192" spans="2:22" outlineLevel="2" x14ac:dyDescent="0.2">
      <c r="C192" s="3" t="s">
        <v>11</v>
      </c>
      <c r="D192" s="19">
        <f>+'KU_Summary - Reserve - P2 (REG)'!C60</f>
        <v>26635584.070000019</v>
      </c>
      <c r="E192" s="19"/>
      <c r="F192" s="19">
        <f>+'KU_Summary - Reserve - P2 (REG)'!E60</f>
        <v>0</v>
      </c>
      <c r="G192" s="19"/>
      <c r="H192" s="19">
        <f>+'KU_Summary - Reserve - P2 (REG)'!G60</f>
        <v>0</v>
      </c>
      <c r="I192" s="19"/>
      <c r="J192" s="19">
        <f>+'KU_Summary - Reserve - P2 (REG)'!I60</f>
        <v>16751.28</v>
      </c>
      <c r="K192" s="19"/>
      <c r="L192" s="19">
        <f>+'KU_Summary - Reserve - P2 (REG)'!K60</f>
        <v>-192519.02</v>
      </c>
      <c r="M192" s="19"/>
      <c r="N192" s="19">
        <f>+'KU_Summary - Reserve - P2 (REG)'!M60</f>
        <v>-15410854.689999999</v>
      </c>
      <c r="O192" s="19"/>
      <c r="P192" s="19">
        <f>+'KU_Summary - Reserve - P2 (REG)'!O60</f>
        <v>17191464.199999999</v>
      </c>
      <c r="Q192" s="19"/>
      <c r="R192" s="19">
        <f>+'KU_Summary - Reserve - P2 (REG)'!Q60</f>
        <v>-1582878.48</v>
      </c>
      <c r="S192" s="19"/>
      <c r="T192" s="19">
        <f>+'KU_Summary - Reserve - P2 (REG)'!S60</f>
        <v>-481302.58999999997</v>
      </c>
      <c r="U192" s="19"/>
      <c r="V192" s="19">
        <f>T192+R192+P192+N192+J192+H192+F192+D192+L192</f>
        <v>26176244.770000018</v>
      </c>
    </row>
    <row r="193" spans="1:22" outlineLevel="2" x14ac:dyDescent="0.2">
      <c r="C193" s="20"/>
      <c r="D193" s="31">
        <f>SUM(D192:D192)</f>
        <v>26635584.070000019</v>
      </c>
      <c r="E193" s="19"/>
      <c r="F193" s="31">
        <f>SUM(F192:F192)</f>
        <v>0</v>
      </c>
      <c r="G193" s="19"/>
      <c r="H193" s="31">
        <f>SUM(H192:H192)</f>
        <v>0</v>
      </c>
      <c r="I193" s="19"/>
      <c r="J193" s="31">
        <f>SUM(J192:J192)</f>
        <v>16751.28</v>
      </c>
      <c r="K193" s="26"/>
      <c r="L193" s="31">
        <f>SUM(L192:L192)</f>
        <v>-192519.02</v>
      </c>
      <c r="M193" s="19"/>
      <c r="N193" s="31">
        <f>SUM(N192:N192)</f>
        <v>-15410854.689999999</v>
      </c>
      <c r="O193" s="19"/>
      <c r="P193" s="31">
        <f>SUM(P192:P192)</f>
        <v>17191464.199999999</v>
      </c>
      <c r="Q193" s="19"/>
      <c r="R193" s="31">
        <f>SUM(R192:R192)</f>
        <v>-1582878.48</v>
      </c>
      <c r="S193" s="19"/>
      <c r="T193" s="31">
        <f>SUM(T192:T192)</f>
        <v>-481302.58999999997</v>
      </c>
      <c r="U193" s="19"/>
      <c r="V193" s="31">
        <f>SUM(V192:V192)</f>
        <v>26176244.770000018</v>
      </c>
    </row>
    <row r="194" spans="1:22" outlineLevel="2" x14ac:dyDescent="0.2"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</row>
    <row r="195" spans="1:22" outlineLevel="2" x14ac:dyDescent="0.2">
      <c r="A195" s="76" t="s">
        <v>124</v>
      </c>
      <c r="B195" s="12" t="s">
        <v>61</v>
      </c>
    </row>
    <row r="196" spans="1:22" outlineLevel="2" x14ac:dyDescent="0.2">
      <c r="C196" s="3" t="s">
        <v>11</v>
      </c>
      <c r="D196" s="19">
        <v>0</v>
      </c>
      <c r="E196" s="19"/>
      <c r="F196" s="19">
        <v>0</v>
      </c>
      <c r="G196" s="19"/>
      <c r="H196" s="19">
        <v>0</v>
      </c>
      <c r="I196" s="19"/>
      <c r="J196" s="19">
        <v>0</v>
      </c>
      <c r="K196" s="19"/>
      <c r="L196" s="19">
        <v>0</v>
      </c>
      <c r="M196" s="19"/>
      <c r="N196" s="19">
        <v>0</v>
      </c>
      <c r="O196" s="19"/>
      <c r="P196" s="19">
        <v>0</v>
      </c>
      <c r="Q196" s="19"/>
      <c r="R196" s="19">
        <v>0</v>
      </c>
      <c r="S196" s="19"/>
      <c r="T196" s="19">
        <v>0</v>
      </c>
      <c r="U196" s="19"/>
      <c r="V196" s="19">
        <v>0</v>
      </c>
    </row>
    <row r="197" spans="1:22" outlineLevel="2" x14ac:dyDescent="0.2">
      <c r="C197" s="20"/>
      <c r="D197" s="31">
        <f>SUM(D196:D196)</f>
        <v>0</v>
      </c>
      <c r="E197" s="19"/>
      <c r="F197" s="31">
        <f>SUM(F196:F196)</f>
        <v>0</v>
      </c>
      <c r="G197" s="19"/>
      <c r="H197" s="31">
        <f>SUM(H196:H196)</f>
        <v>0</v>
      </c>
      <c r="I197" s="19"/>
      <c r="J197" s="31">
        <f>SUM(J196:J196)</f>
        <v>0</v>
      </c>
      <c r="K197" s="26"/>
      <c r="L197" s="31">
        <f>SUM(L196:L196)</f>
        <v>0</v>
      </c>
      <c r="M197" s="19"/>
      <c r="N197" s="31">
        <f>SUM(N196:N196)</f>
        <v>0</v>
      </c>
      <c r="O197" s="19"/>
      <c r="P197" s="31">
        <f>SUM(P196:P196)</f>
        <v>0</v>
      </c>
      <c r="Q197" s="19"/>
      <c r="R197" s="31">
        <f>SUM(R196:R196)</f>
        <v>0</v>
      </c>
      <c r="S197" s="19"/>
      <c r="T197" s="31">
        <f>SUM(T196:T196)</f>
        <v>0</v>
      </c>
      <c r="U197" s="19"/>
      <c r="V197" s="31">
        <f>SUM(V196:V196)</f>
        <v>0</v>
      </c>
    </row>
    <row r="198" spans="1:22" outlineLevel="2" x14ac:dyDescent="0.2"/>
    <row r="199" spans="1:22" outlineLevel="2" x14ac:dyDescent="0.2">
      <c r="A199" s="76" t="s">
        <v>124</v>
      </c>
      <c r="B199" s="12" t="s">
        <v>62</v>
      </c>
    </row>
    <row r="200" spans="1:22" outlineLevel="2" x14ac:dyDescent="0.2">
      <c r="C200" s="3" t="s">
        <v>11</v>
      </c>
      <c r="D200" s="19">
        <v>1914078.7699999998</v>
      </c>
      <c r="E200" s="19"/>
      <c r="F200" s="19">
        <v>0</v>
      </c>
      <c r="G200" s="19"/>
      <c r="H200" s="19">
        <v>0</v>
      </c>
      <c r="I200" s="19"/>
      <c r="J200" s="19">
        <v>0</v>
      </c>
      <c r="K200" s="19"/>
      <c r="L200" s="19">
        <v>-192519.02</v>
      </c>
      <c r="M200" s="19"/>
      <c r="N200" s="19">
        <v>0</v>
      </c>
      <c r="O200" s="19"/>
      <c r="P200" s="19">
        <v>-1049100.08</v>
      </c>
      <c r="Q200" s="19"/>
      <c r="R200" s="19">
        <v>0</v>
      </c>
      <c r="S200" s="19"/>
      <c r="T200" s="19">
        <v>0</v>
      </c>
      <c r="U200" s="19"/>
      <c r="V200" s="19">
        <v>672459.66999999969</v>
      </c>
    </row>
    <row r="201" spans="1:22" outlineLevel="2" x14ac:dyDescent="0.2">
      <c r="C201" s="20"/>
      <c r="D201" s="31">
        <f>SUM(D200:D200)</f>
        <v>1914078.7699999998</v>
      </c>
      <c r="E201" s="19"/>
      <c r="F201" s="31">
        <f>SUM(F200:F200)</f>
        <v>0</v>
      </c>
      <c r="G201" s="19"/>
      <c r="H201" s="31">
        <f>SUM(H200:H200)</f>
        <v>0</v>
      </c>
      <c r="I201" s="19"/>
      <c r="J201" s="31">
        <f>SUM(J200:J200)</f>
        <v>0</v>
      </c>
      <c r="K201" s="26"/>
      <c r="L201" s="31">
        <f>SUM(L200:L200)</f>
        <v>-192519.02</v>
      </c>
      <c r="M201" s="19"/>
      <c r="N201" s="31">
        <f>SUM(N200:N200)</f>
        <v>0</v>
      </c>
      <c r="O201" s="19"/>
      <c r="P201" s="31">
        <f>SUM(P200:P200)</f>
        <v>-1049100.08</v>
      </c>
      <c r="Q201" s="19"/>
      <c r="R201" s="31">
        <f>SUM(R200:R200)</f>
        <v>0</v>
      </c>
      <c r="S201" s="19"/>
      <c r="T201" s="31">
        <f>SUM(T200:T200)</f>
        <v>0</v>
      </c>
      <c r="U201" s="19"/>
      <c r="V201" s="31">
        <f>SUM(V200:V200)</f>
        <v>672459.66999999969</v>
      </c>
    </row>
    <row r="202" spans="1:22" outlineLevel="2" x14ac:dyDescent="0.2">
      <c r="C202" s="20"/>
      <c r="D202" s="26"/>
      <c r="E202" s="19"/>
      <c r="F202" s="26"/>
      <c r="G202" s="19"/>
      <c r="H202" s="26"/>
      <c r="I202" s="19"/>
      <c r="J202" s="26"/>
      <c r="K202" s="26"/>
      <c r="L202" s="26"/>
      <c r="M202" s="19"/>
      <c r="N202" s="26"/>
      <c r="O202" s="19"/>
      <c r="P202" s="26"/>
      <c r="Q202" s="19"/>
      <c r="R202" s="26"/>
      <c r="S202" s="19"/>
      <c r="T202" s="26"/>
      <c r="U202" s="19"/>
      <c r="V202" s="26"/>
    </row>
    <row r="203" spans="1:22" outlineLevel="2" x14ac:dyDescent="0.2">
      <c r="A203" s="76" t="s">
        <v>124</v>
      </c>
      <c r="B203" s="12" t="s">
        <v>63</v>
      </c>
    </row>
    <row r="204" spans="1:22" outlineLevel="2" x14ac:dyDescent="0.2">
      <c r="C204" s="3" t="s">
        <v>11</v>
      </c>
      <c r="D204" s="19">
        <f>'RWIP BY ACCOUNT - P2A (REG)'!C22</f>
        <v>24721505.300000004</v>
      </c>
      <c r="E204" s="19"/>
      <c r="F204" s="19">
        <f>'RWIP BY ACCOUNT - P2A (REG)'!E22</f>
        <v>0</v>
      </c>
      <c r="G204" s="19"/>
      <c r="H204" s="19">
        <f>'RWIP BY ACCOUNT - P2A (REG)'!G22</f>
        <v>0</v>
      </c>
      <c r="I204" s="19"/>
      <c r="J204" s="19">
        <f>'RWIP BY ACCOUNT - P2A (REG)'!I22</f>
        <v>16751.28</v>
      </c>
      <c r="K204" s="19"/>
      <c r="L204" s="19">
        <f>'RWIP BY ACCOUNT - P2A (REG)'!K22</f>
        <v>0</v>
      </c>
      <c r="M204" s="19"/>
      <c r="N204" s="19">
        <f>'RWIP BY ACCOUNT - P2A (REG)'!M22</f>
        <v>-15410854.689999999</v>
      </c>
      <c r="O204" s="19"/>
      <c r="P204" s="19">
        <f>'RWIP BY ACCOUNT - P2A (REG)'!O22</f>
        <v>18240564.279999997</v>
      </c>
      <c r="Q204" s="19"/>
      <c r="R204" s="19">
        <f>'RWIP BY ACCOUNT - P2A (REG)'!Q22</f>
        <v>-1582878.48</v>
      </c>
      <c r="S204" s="19"/>
      <c r="T204" s="19">
        <f>'RWIP BY ACCOUNT - P2A (REG)'!S22</f>
        <v>-481302.58999999997</v>
      </c>
      <c r="U204" s="19"/>
      <c r="V204" s="19">
        <f>'RWIP BY ACCOUNT - P2A (REG)'!U22</f>
        <v>25503785.100000001</v>
      </c>
    </row>
    <row r="205" spans="1:22" outlineLevel="2" x14ac:dyDescent="0.2">
      <c r="C205" s="20"/>
      <c r="D205" s="31">
        <f>SUM(D204:D204)</f>
        <v>24721505.300000004</v>
      </c>
      <c r="E205" s="19"/>
      <c r="F205" s="31">
        <f>SUM(F204:F204)</f>
        <v>0</v>
      </c>
      <c r="G205" s="19"/>
      <c r="H205" s="31">
        <f>SUM(H204:H204)</f>
        <v>0</v>
      </c>
      <c r="I205" s="19"/>
      <c r="J205" s="31">
        <f>SUM(J204:J204)</f>
        <v>16751.28</v>
      </c>
      <c r="K205" s="26"/>
      <c r="L205" s="31">
        <f>SUM(L204:L204)</f>
        <v>0</v>
      </c>
      <c r="M205" s="19"/>
      <c r="N205" s="31">
        <f>SUM(N204:N204)</f>
        <v>-15410854.689999999</v>
      </c>
      <c r="O205" s="19"/>
      <c r="P205" s="31">
        <f>SUM(P204:P204)</f>
        <v>18240564.279999997</v>
      </c>
      <c r="Q205" s="19"/>
      <c r="R205" s="31">
        <f>SUM(R204:R204)</f>
        <v>-1582878.48</v>
      </c>
      <c r="S205" s="19"/>
      <c r="T205" s="31">
        <f>SUM(T204:T204)</f>
        <v>-481302.58999999997</v>
      </c>
      <c r="U205" s="19"/>
      <c r="V205" s="31">
        <f>SUM(V204:V204)</f>
        <v>25503785.100000001</v>
      </c>
    </row>
    <row r="206" spans="1:22" outlineLevel="2" x14ac:dyDescent="0.2">
      <c r="A206" s="8" t="s">
        <v>125</v>
      </c>
      <c r="B206" s="12" t="s">
        <v>126</v>
      </c>
      <c r="C206" s="20"/>
      <c r="D206" s="26"/>
      <c r="E206" s="19"/>
      <c r="F206" s="26"/>
      <c r="G206" s="19"/>
      <c r="H206" s="26"/>
      <c r="I206" s="19"/>
      <c r="J206" s="26"/>
      <c r="K206" s="26"/>
      <c r="L206" s="26"/>
      <c r="M206" s="19"/>
      <c r="N206" s="26"/>
      <c r="O206" s="19"/>
      <c r="P206" s="26"/>
      <c r="Q206" s="19"/>
      <c r="R206" s="26"/>
      <c r="S206" s="19"/>
      <c r="T206" s="26"/>
      <c r="U206" s="19"/>
      <c r="V206" s="26"/>
    </row>
    <row r="207" spans="1:22" outlineLevel="2" x14ac:dyDescent="0.2">
      <c r="C207" s="3" t="s">
        <v>11</v>
      </c>
      <c r="D207" s="26">
        <v>0</v>
      </c>
      <c r="E207" s="19"/>
      <c r="F207" s="26">
        <f>-D207</f>
        <v>0</v>
      </c>
      <c r="G207" s="19"/>
      <c r="H207" s="26"/>
      <c r="I207" s="19"/>
      <c r="J207" s="26"/>
      <c r="K207" s="26"/>
      <c r="L207" s="26"/>
      <c r="M207" s="19"/>
      <c r="N207" s="26"/>
      <c r="O207" s="19"/>
      <c r="P207" s="26"/>
      <c r="Q207" s="19"/>
      <c r="R207" s="26"/>
      <c r="S207" s="19"/>
      <c r="T207" s="26"/>
      <c r="U207" s="19"/>
      <c r="V207" s="26">
        <f>T207+R207+P207+N207+J207+H207+F207+D207</f>
        <v>0</v>
      </c>
    </row>
    <row r="208" spans="1:22" outlineLevel="2" x14ac:dyDescent="0.2">
      <c r="D208" s="48">
        <f>SUM(D207)</f>
        <v>0</v>
      </c>
      <c r="F208" s="48">
        <f>SUM(F207)</f>
        <v>0</v>
      </c>
      <c r="H208" s="48">
        <f>SUM(H207)</f>
        <v>0</v>
      </c>
      <c r="J208" s="48">
        <f>SUM(J207)</f>
        <v>0</v>
      </c>
      <c r="L208" s="48">
        <f>SUM(L207)</f>
        <v>0</v>
      </c>
      <c r="N208" s="48">
        <f>SUM(N207)</f>
        <v>0</v>
      </c>
      <c r="P208" s="48">
        <f>SUM(P207)</f>
        <v>0</v>
      </c>
      <c r="R208" s="48">
        <f>SUM(R207)</f>
        <v>0</v>
      </c>
      <c r="T208" s="48">
        <f>SUM(T207)</f>
        <v>0</v>
      </c>
      <c r="V208" s="48">
        <f>SUM(V207)</f>
        <v>0</v>
      </c>
    </row>
    <row r="209" spans="1:46" outlineLevel="2" x14ac:dyDescent="0.2">
      <c r="D209" s="59"/>
    </row>
    <row r="210" spans="1:46" outlineLevel="1" x14ac:dyDescent="0.2">
      <c r="B210" s="3" t="s">
        <v>98</v>
      </c>
      <c r="D210" s="15">
        <f>+D178+D188+D193-D197-D200+D207</f>
        <v>-389721424.29999995</v>
      </c>
      <c r="F210" s="15">
        <f>+F178+F188+F193-F197-F200+F207</f>
        <v>-21097570.990000002</v>
      </c>
      <c r="H210" s="15">
        <f>+H178+H188+H193-H197-H200+H207</f>
        <v>0</v>
      </c>
      <c r="J210" s="15">
        <f>+J178+J188+J193-J197-J200+J207</f>
        <v>21938.799999999999</v>
      </c>
      <c r="L210" s="15">
        <f>+L178+L188+L193-L197-L200+L207</f>
        <v>0</v>
      </c>
      <c r="N210" s="15">
        <f>+N178+N188+N193-N197-N200+N207</f>
        <v>-15410854.689999999</v>
      </c>
      <c r="P210" s="15">
        <f>+P178+P188+P193-P197-P200+P207</f>
        <v>36133733.619999997</v>
      </c>
      <c r="R210" s="15">
        <f>+R178+R188+R193-R197-R200+R207</f>
        <v>-3175672.45</v>
      </c>
      <c r="T210" s="15">
        <f>+T178+T188+T193-T197-T200+T207</f>
        <v>-1178304.25</v>
      </c>
      <c r="V210" s="15">
        <f>+V178+V188+V193-V197-V200+V207</f>
        <v>-394428154.25999999</v>
      </c>
      <c r="X210" s="15">
        <f>+F210-Y210-Z210-AA210</f>
        <v>-21097570.990000002</v>
      </c>
      <c r="Y210" s="15">
        <v>0</v>
      </c>
      <c r="Z210" s="15"/>
      <c r="AA210" s="15">
        <f>+F207</f>
        <v>0</v>
      </c>
      <c r="AB210" s="15"/>
      <c r="AE210" s="15">
        <f>+H210</f>
        <v>0</v>
      </c>
      <c r="AF210" s="15"/>
      <c r="AG210" s="15">
        <f>-'Land_Vehicle Retire P3A (REG)'!I15-AG167</f>
        <v>16751.28</v>
      </c>
      <c r="AH210" s="15">
        <f>-L200</f>
        <v>192519.02</v>
      </c>
      <c r="AI210" s="15"/>
      <c r="AJ210" s="15"/>
      <c r="AK210" s="15">
        <v>0</v>
      </c>
      <c r="AL210" s="15"/>
      <c r="AM210" s="15">
        <f>+J210-AG210-AK210+J196</f>
        <v>5187.5200000000004</v>
      </c>
      <c r="AN210" s="15">
        <f>+N210+P178+R178+T178+T188+R188+P188-AH210</f>
        <v>2.6193447411060333E-10</v>
      </c>
      <c r="AO210" s="15">
        <f>+P192+R192+T192-P200-R200-T200</f>
        <v>16176383.209999999</v>
      </c>
      <c r="AP210" s="15"/>
      <c r="AS210" s="15">
        <f>SUM(X210:AQ210)</f>
        <v>-4706729.9600000028</v>
      </c>
      <c r="AT210" s="15">
        <f>+V210-D210-AS210</f>
        <v>-3.5390257835388184E-8</v>
      </c>
    </row>
    <row r="211" spans="1:46" outlineLevel="1" x14ac:dyDescent="0.2">
      <c r="D211" s="15">
        <f>+D210-D15</f>
        <v>0</v>
      </c>
      <c r="V211" s="15">
        <f>+V210-V15</f>
        <v>0</v>
      </c>
    </row>
    <row r="212" spans="1:46" outlineLevel="1" x14ac:dyDescent="0.2">
      <c r="V212" s="15">
        <f>+V210-D210-F210-H210-J210-L210-N210-P210-R210-T210</f>
        <v>-3.2596290111541748E-8</v>
      </c>
      <c r="X212" s="15"/>
    </row>
    <row r="213" spans="1:46" x14ac:dyDescent="0.2">
      <c r="A213" s="3"/>
      <c r="F213" s="15"/>
      <c r="H213" s="15"/>
    </row>
    <row r="214" spans="1:46" x14ac:dyDescent="0.2">
      <c r="A214" s="3"/>
      <c r="V214" s="15"/>
    </row>
    <row r="230" spans="1:1" x14ac:dyDescent="0.2">
      <c r="A230" s="3"/>
    </row>
    <row r="231" spans="1:1" x14ac:dyDescent="0.2">
      <c r="A231" s="3"/>
    </row>
    <row r="232" spans="1:1" x14ac:dyDescent="0.2">
      <c r="A232" s="3"/>
    </row>
    <row r="233" spans="1:1" x14ac:dyDescent="0.2">
      <c r="A233" s="3"/>
    </row>
    <row r="234" spans="1:1" x14ac:dyDescent="0.2">
      <c r="A234" s="3"/>
    </row>
    <row r="235" spans="1:1" x14ac:dyDescent="0.2">
      <c r="A235" s="3"/>
    </row>
    <row r="236" spans="1:1" x14ac:dyDescent="0.2">
      <c r="A236" s="3"/>
    </row>
    <row r="237" spans="1:1" x14ac:dyDescent="0.2">
      <c r="A237" s="3"/>
    </row>
    <row r="238" spans="1:1" x14ac:dyDescent="0.2">
      <c r="A238" s="3"/>
    </row>
    <row r="239" spans="1:1" x14ac:dyDescent="0.2">
      <c r="A239" s="3"/>
    </row>
    <row r="240" spans="1:1" x14ac:dyDescent="0.2">
      <c r="A240" s="3"/>
    </row>
    <row r="241" spans="1:1" x14ac:dyDescent="0.2">
      <c r="A241" s="3"/>
    </row>
    <row r="242" spans="1:1" x14ac:dyDescent="0.2">
      <c r="A242" s="3"/>
    </row>
    <row r="243" spans="1:1" x14ac:dyDescent="0.2">
      <c r="A243" s="3"/>
    </row>
    <row r="244" spans="1:1" x14ac:dyDescent="0.2">
      <c r="A244" s="3"/>
    </row>
    <row r="245" spans="1:1" x14ac:dyDescent="0.2">
      <c r="A245" s="3"/>
    </row>
    <row r="246" spans="1:1" x14ac:dyDescent="0.2">
      <c r="A246" s="3"/>
    </row>
    <row r="247" spans="1:1" x14ac:dyDescent="0.2">
      <c r="A247" s="3"/>
    </row>
    <row r="248" spans="1:1" x14ac:dyDescent="0.2">
      <c r="A248" s="3"/>
    </row>
    <row r="249" spans="1:1" x14ac:dyDescent="0.2">
      <c r="A249" s="3"/>
    </row>
    <row r="250" spans="1:1" x14ac:dyDescent="0.2">
      <c r="A250" s="3"/>
    </row>
    <row r="251" spans="1:1" x14ac:dyDescent="0.2">
      <c r="A251" s="3"/>
    </row>
    <row r="252" spans="1:1" x14ac:dyDescent="0.2">
      <c r="A252" s="3"/>
    </row>
    <row r="253" spans="1:1" x14ac:dyDescent="0.2">
      <c r="A253" s="3"/>
    </row>
    <row r="254" spans="1:1" x14ac:dyDescent="0.2">
      <c r="A254" s="3"/>
    </row>
    <row r="255" spans="1:1" x14ac:dyDescent="0.2">
      <c r="A255" s="3"/>
    </row>
    <row r="256" spans="1:1" x14ac:dyDescent="0.2">
      <c r="A256" s="3"/>
    </row>
    <row r="257" spans="1:1" x14ac:dyDescent="0.2">
      <c r="A257" s="3"/>
    </row>
    <row r="258" spans="1:1" x14ac:dyDescent="0.2">
      <c r="A258" s="3"/>
    </row>
    <row r="259" spans="1:1" x14ac:dyDescent="0.2">
      <c r="A259" s="3"/>
    </row>
    <row r="260" spans="1:1" x14ac:dyDescent="0.2">
      <c r="A260" s="3"/>
    </row>
    <row r="261" spans="1:1" x14ac:dyDescent="0.2">
      <c r="A261" s="3"/>
    </row>
    <row r="262" spans="1:1" x14ac:dyDescent="0.2">
      <c r="A262" s="3"/>
    </row>
    <row r="263" spans="1:1" x14ac:dyDescent="0.2">
      <c r="A263" s="3"/>
    </row>
    <row r="264" spans="1:1" x14ac:dyDescent="0.2">
      <c r="A264" s="3"/>
    </row>
    <row r="265" spans="1:1" x14ac:dyDescent="0.2">
      <c r="A265" s="3"/>
    </row>
    <row r="266" spans="1:1" x14ac:dyDescent="0.2">
      <c r="A266" s="3"/>
    </row>
    <row r="267" spans="1:1" x14ac:dyDescent="0.2">
      <c r="A267" s="3"/>
    </row>
    <row r="268" spans="1:1" x14ac:dyDescent="0.2">
      <c r="A268" s="3"/>
    </row>
    <row r="269" spans="1:1" x14ac:dyDescent="0.2">
      <c r="A269" s="3"/>
    </row>
    <row r="270" spans="1:1" x14ac:dyDescent="0.2">
      <c r="A270" s="3"/>
    </row>
    <row r="271" spans="1:1" x14ac:dyDescent="0.2">
      <c r="A271" s="3"/>
    </row>
    <row r="272" spans="1:1" x14ac:dyDescent="0.2">
      <c r="A272" s="3"/>
    </row>
    <row r="273" spans="1:1" x14ac:dyDescent="0.2">
      <c r="A273" s="3"/>
    </row>
    <row r="274" spans="1:1" x14ac:dyDescent="0.2">
      <c r="A274" s="3"/>
    </row>
    <row r="275" spans="1:1" x14ac:dyDescent="0.2">
      <c r="A275" s="3"/>
    </row>
    <row r="276" spans="1:1" x14ac:dyDescent="0.2">
      <c r="A276" s="3"/>
    </row>
    <row r="277" spans="1:1" x14ac:dyDescent="0.2">
      <c r="A277" s="3"/>
    </row>
    <row r="278" spans="1:1" x14ac:dyDescent="0.2">
      <c r="A278" s="3"/>
    </row>
    <row r="279" spans="1:1" x14ac:dyDescent="0.2">
      <c r="A279" s="3"/>
    </row>
    <row r="280" spans="1:1" x14ac:dyDescent="0.2">
      <c r="A280" s="3"/>
    </row>
    <row r="281" spans="1:1" x14ac:dyDescent="0.2">
      <c r="A281" s="3"/>
    </row>
    <row r="282" spans="1:1" x14ac:dyDescent="0.2">
      <c r="A282" s="3"/>
    </row>
    <row r="283" spans="1:1" x14ac:dyDescent="0.2">
      <c r="A283" s="3"/>
    </row>
    <row r="284" spans="1:1" x14ac:dyDescent="0.2">
      <c r="A284" s="3"/>
    </row>
    <row r="285" spans="1:1" x14ac:dyDescent="0.2">
      <c r="A285" s="3"/>
    </row>
    <row r="286" spans="1:1" x14ac:dyDescent="0.2">
      <c r="A286" s="3"/>
    </row>
    <row r="287" spans="1:1" x14ac:dyDescent="0.2">
      <c r="A287" s="3"/>
    </row>
    <row r="288" spans="1:1" x14ac:dyDescent="0.2">
      <c r="A288" s="3"/>
    </row>
    <row r="289" spans="1:1" x14ac:dyDescent="0.2">
      <c r="A289" s="3"/>
    </row>
    <row r="290" spans="1:1" x14ac:dyDescent="0.2">
      <c r="A290" s="3"/>
    </row>
    <row r="291" spans="1:1" x14ac:dyDescent="0.2">
      <c r="A291" s="3"/>
    </row>
    <row r="292" spans="1:1" x14ac:dyDescent="0.2">
      <c r="A292" s="3"/>
    </row>
    <row r="293" spans="1:1" x14ac:dyDescent="0.2">
      <c r="A293" s="3"/>
    </row>
    <row r="294" spans="1:1" x14ac:dyDescent="0.2">
      <c r="A294" s="3"/>
    </row>
    <row r="295" spans="1:1" x14ac:dyDescent="0.2">
      <c r="A295" s="3"/>
    </row>
    <row r="296" spans="1:1" x14ac:dyDescent="0.2">
      <c r="A296" s="3"/>
    </row>
    <row r="297" spans="1:1" x14ac:dyDescent="0.2">
      <c r="A297" s="3"/>
    </row>
    <row r="298" spans="1:1" x14ac:dyDescent="0.2">
      <c r="A298" s="3"/>
    </row>
    <row r="299" spans="1:1" x14ac:dyDescent="0.2">
      <c r="A299" s="3"/>
    </row>
    <row r="300" spans="1:1" x14ac:dyDescent="0.2">
      <c r="A300" s="3"/>
    </row>
    <row r="301" spans="1:1" x14ac:dyDescent="0.2">
      <c r="A301" s="3"/>
    </row>
    <row r="302" spans="1:1" x14ac:dyDescent="0.2">
      <c r="A302" s="3"/>
    </row>
    <row r="303" spans="1:1" x14ac:dyDescent="0.2">
      <c r="A303" s="3"/>
    </row>
    <row r="304" spans="1:1" x14ac:dyDescent="0.2">
      <c r="A304" s="3"/>
    </row>
    <row r="305" spans="1:1" x14ac:dyDescent="0.2">
      <c r="A305" s="3"/>
    </row>
    <row r="306" spans="1:1" x14ac:dyDescent="0.2">
      <c r="A306" s="3"/>
    </row>
    <row r="307" spans="1:1" x14ac:dyDescent="0.2">
      <c r="A307" s="3"/>
    </row>
    <row r="308" spans="1:1" x14ac:dyDescent="0.2">
      <c r="A308" s="3"/>
    </row>
    <row r="309" spans="1:1" x14ac:dyDescent="0.2">
      <c r="A309" s="3"/>
    </row>
    <row r="310" spans="1:1" x14ac:dyDescent="0.2">
      <c r="A310" s="3"/>
    </row>
    <row r="311" spans="1:1" x14ac:dyDescent="0.2">
      <c r="A311" s="3"/>
    </row>
    <row r="312" spans="1:1" x14ac:dyDescent="0.2">
      <c r="A312" s="3"/>
    </row>
    <row r="313" spans="1:1" x14ac:dyDescent="0.2">
      <c r="A313" s="3"/>
    </row>
    <row r="314" spans="1:1" x14ac:dyDescent="0.2">
      <c r="A314" s="3"/>
    </row>
    <row r="315" spans="1:1" x14ac:dyDescent="0.2">
      <c r="A315" s="3"/>
    </row>
    <row r="316" spans="1:1" x14ac:dyDescent="0.2">
      <c r="A316" s="3"/>
    </row>
    <row r="317" spans="1:1" x14ac:dyDescent="0.2">
      <c r="A317" s="3"/>
    </row>
    <row r="318" spans="1:1" x14ac:dyDescent="0.2">
      <c r="A318" s="3"/>
    </row>
    <row r="319" spans="1:1" x14ac:dyDescent="0.2">
      <c r="A319" s="3"/>
    </row>
    <row r="320" spans="1:1" x14ac:dyDescent="0.2">
      <c r="A320" s="3"/>
    </row>
    <row r="321" spans="1:1" x14ac:dyDescent="0.2">
      <c r="A321" s="3"/>
    </row>
    <row r="322" spans="1:1" x14ac:dyDescent="0.2">
      <c r="A322" s="3"/>
    </row>
    <row r="323" spans="1:1" x14ac:dyDescent="0.2">
      <c r="A323" s="3"/>
    </row>
    <row r="324" spans="1:1" x14ac:dyDescent="0.2">
      <c r="A324" s="3"/>
    </row>
  </sheetData>
  <mergeCells count="5">
    <mergeCell ref="A1:AT1"/>
    <mergeCell ref="A2:AT2"/>
    <mergeCell ref="A3:AT3"/>
    <mergeCell ref="X7:AN7"/>
    <mergeCell ref="AO7:AQ7"/>
  </mergeCells>
  <printOptions horizontalCentered="1"/>
  <pageMargins left="0.75" right="0.75" top="1" bottom="1" header="0.5" footer="0.5"/>
  <pageSetup scale="67" fitToHeight="0" orientation="landscape" r:id="rId1"/>
  <headerFooter alignWithMargins="0">
    <oddFooter>&amp;R&amp;"Times New Roman,Bold"&amp;12Case No. 2018-00295
Attachment 6 to Response to US DOD-2 Question No. 7   
Page &amp;P of &amp;N
Garrett</oddFooter>
  </headerFooter>
  <rowBreaks count="1" manualBreakCount="1">
    <brk id="91" max="1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538"/>
  <sheetViews>
    <sheetView zoomScale="80" zoomScaleNormal="80" workbookViewId="0">
      <pane xSplit="2" ySplit="9" topLeftCell="C316" activePane="bottomRight" state="frozen"/>
      <selection sqref="A1:R1"/>
      <selection pane="topRight" sqref="A1:R1"/>
      <selection pane="bottomLeft" sqref="A1:R1"/>
      <selection pane="bottomRight" sqref="A1:R1"/>
    </sheetView>
  </sheetViews>
  <sheetFormatPr defaultRowHeight="12.75" x14ac:dyDescent="0.2"/>
  <cols>
    <col min="1" max="1" width="15.5703125" style="3" customWidth="1"/>
    <col min="2" max="2" width="36" style="3" bestFit="1" customWidth="1"/>
    <col min="3" max="3" width="17.7109375" style="3" customWidth="1"/>
    <col min="4" max="4" width="1.5703125" style="3" customWidth="1"/>
    <col min="5" max="5" width="17.7109375" style="3" customWidth="1"/>
    <col min="6" max="6" width="1.5703125" style="3" customWidth="1"/>
    <col min="7" max="7" width="17.7109375" style="3" customWidth="1"/>
    <col min="8" max="8" width="1.5703125" style="3" customWidth="1"/>
    <col min="9" max="9" width="17.7109375" style="3" customWidth="1"/>
    <col min="10" max="10" width="1.5703125" style="3" customWidth="1"/>
    <col min="11" max="11" width="17.7109375" style="3" customWidth="1"/>
    <col min="12" max="12" width="1.5703125" style="3" customWidth="1"/>
    <col min="13" max="13" width="17.7109375" style="3" customWidth="1"/>
    <col min="14" max="14" width="1.5703125" style="3" customWidth="1"/>
    <col min="15" max="15" width="17.7109375" style="3" customWidth="1"/>
    <col min="16" max="16" width="1.5703125" style="3" customWidth="1"/>
    <col min="17" max="17" width="17.7109375" style="3" customWidth="1"/>
    <col min="18" max="18" width="1.5703125" style="3" customWidth="1"/>
    <col min="19" max="19" width="17.7109375" style="3" customWidth="1"/>
    <col min="20" max="20" width="1.5703125" style="3" customWidth="1"/>
    <col min="21" max="21" width="17.7109375" style="3" customWidth="1"/>
    <col min="22" max="22" width="1.5703125" style="3" customWidth="1"/>
    <col min="23" max="23" width="17.7109375" style="3" customWidth="1"/>
    <col min="24" max="24" width="1.5703125" style="3" customWidth="1"/>
    <col min="25" max="25" width="17.7109375" style="3" customWidth="1"/>
    <col min="26" max="26" width="1.5703125" style="3" customWidth="1"/>
    <col min="27" max="27" width="17.7109375" style="3" customWidth="1"/>
    <col min="28" max="28" width="1.5703125" style="3" customWidth="1"/>
    <col min="29" max="29" width="17.7109375" style="3" customWidth="1"/>
    <col min="30" max="30" width="1.5703125" style="3" customWidth="1"/>
    <col min="31" max="33" width="17.7109375" style="3" customWidth="1"/>
    <col min="34" max="34" width="8" style="3" customWidth="1"/>
    <col min="35" max="35" width="17.7109375" style="3" customWidth="1"/>
    <col min="36" max="36" width="9.140625" style="3"/>
    <col min="37" max="37" width="17.7109375" style="3" customWidth="1"/>
    <col min="38" max="38" width="1.5703125" style="3" customWidth="1"/>
    <col min="39" max="39" width="17.7109375" style="3" customWidth="1"/>
    <col min="40" max="40" width="1.5703125" style="3" customWidth="1"/>
    <col min="41" max="41" width="17.7109375" style="3" customWidth="1"/>
    <col min="42" max="42" width="1.5703125" style="3" customWidth="1"/>
    <col min="43" max="43" width="17.7109375" style="3" customWidth="1"/>
    <col min="44" max="44" width="1.5703125" style="3" customWidth="1"/>
    <col min="45" max="45" width="17.7109375" style="3" customWidth="1"/>
    <col min="46" max="46" width="1.5703125" style="3" customWidth="1"/>
    <col min="47" max="47" width="17.7109375" style="3" customWidth="1"/>
    <col min="48" max="16384" width="9.140625" style="3"/>
  </cols>
  <sheetData>
    <row r="1" spans="1:47" x14ac:dyDescent="0.2">
      <c r="A1" s="142" t="s">
        <v>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  <c r="AI1" s="142"/>
      <c r="AU1" s="127" t="s">
        <v>127</v>
      </c>
    </row>
    <row r="2" spans="1:47" x14ac:dyDescent="0.2">
      <c r="A2" s="142" t="s">
        <v>128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U2" s="128" t="s">
        <v>129</v>
      </c>
    </row>
    <row r="3" spans="1:47" x14ac:dyDescent="0.2">
      <c r="A3" s="144" t="str">
        <f>'KU_Summary - Cost - P1 (REG)'!A3:N3</f>
        <v>DECEMBER 2016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144"/>
      <c r="AH3" s="144"/>
      <c r="AI3" s="144"/>
      <c r="AU3" s="128" t="s">
        <v>130</v>
      </c>
    </row>
    <row r="4" spans="1:47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79"/>
      <c r="T4" s="4"/>
      <c r="U4" s="79"/>
      <c r="V4" s="4"/>
      <c r="W4" s="79"/>
      <c r="X4" s="4"/>
      <c r="Y4" s="79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79"/>
      <c r="AL4" s="4"/>
      <c r="AM4" s="79"/>
      <c r="AN4" s="4"/>
      <c r="AO4" s="79"/>
      <c r="AP4" s="4"/>
      <c r="AQ4" s="79"/>
      <c r="AR4" s="4"/>
      <c r="AS4" s="79"/>
      <c r="AT4" s="4"/>
      <c r="AU4" s="129" t="s">
        <v>131</v>
      </c>
    </row>
    <row r="5" spans="1:47" x14ac:dyDescent="0.2">
      <c r="A5" s="4"/>
      <c r="B5" s="4"/>
      <c r="C5" s="80" t="s">
        <v>132</v>
      </c>
      <c r="D5" s="4"/>
      <c r="E5" s="80" t="s">
        <v>133</v>
      </c>
      <c r="F5" s="4"/>
      <c r="G5" s="80" t="s">
        <v>134</v>
      </c>
      <c r="H5" s="4"/>
      <c r="I5" s="80" t="s">
        <v>135</v>
      </c>
      <c r="J5" s="4"/>
      <c r="K5" s="79" t="s">
        <v>136</v>
      </c>
      <c r="L5" s="4"/>
      <c r="M5" s="79" t="s">
        <v>137</v>
      </c>
      <c r="N5" s="4"/>
      <c r="O5" s="79" t="s">
        <v>138</v>
      </c>
      <c r="P5" s="4"/>
      <c r="Q5" s="79" t="s">
        <v>139</v>
      </c>
      <c r="R5" s="4"/>
      <c r="S5" s="4" t="s">
        <v>140</v>
      </c>
      <c r="T5" s="4"/>
      <c r="U5" s="4" t="s">
        <v>141</v>
      </c>
      <c r="V5" s="4"/>
      <c r="W5" s="4" t="s">
        <v>142</v>
      </c>
      <c r="X5" s="4"/>
      <c r="Y5" s="4" t="s">
        <v>143</v>
      </c>
      <c r="Z5" s="4"/>
      <c r="AA5" s="4" t="s">
        <v>144</v>
      </c>
      <c r="AB5" s="4"/>
      <c r="AC5" s="4" t="s">
        <v>145</v>
      </c>
      <c r="AD5" s="4"/>
      <c r="AE5" s="4" t="s">
        <v>146</v>
      </c>
      <c r="AF5" s="79" t="s">
        <v>147</v>
      </c>
      <c r="AG5" s="79" t="s">
        <v>148</v>
      </c>
      <c r="AH5" s="4"/>
      <c r="AI5" s="4"/>
      <c r="AJ5" s="4"/>
      <c r="AK5" s="79"/>
      <c r="AL5" s="4"/>
      <c r="AM5" s="79"/>
      <c r="AN5" s="4"/>
      <c r="AO5" s="79"/>
      <c r="AP5" s="4"/>
      <c r="AQ5" s="79"/>
      <c r="AR5" s="4"/>
      <c r="AS5" s="79"/>
      <c r="AT5" s="4"/>
      <c r="AU5" s="79"/>
    </row>
    <row r="6" spans="1:47" x14ac:dyDescent="0.2">
      <c r="A6" s="6"/>
      <c r="B6" s="5"/>
      <c r="C6" s="25" t="s">
        <v>3</v>
      </c>
      <c r="D6" s="7"/>
      <c r="E6" s="25" t="s">
        <v>3</v>
      </c>
      <c r="F6" s="7"/>
      <c r="G6" s="25" t="s">
        <v>3</v>
      </c>
      <c r="H6" s="7"/>
      <c r="I6" s="25" t="s">
        <v>3</v>
      </c>
      <c r="J6" s="7"/>
      <c r="K6" s="25" t="s">
        <v>3</v>
      </c>
      <c r="L6" s="7"/>
      <c r="M6" s="25" t="s">
        <v>3</v>
      </c>
      <c r="N6" s="7"/>
      <c r="O6" s="25" t="s">
        <v>3</v>
      </c>
      <c r="P6" s="7"/>
      <c r="Q6" s="25" t="s">
        <v>3</v>
      </c>
      <c r="R6" s="7"/>
      <c r="S6" s="25" t="s">
        <v>3</v>
      </c>
      <c r="T6" s="7"/>
      <c r="U6" s="25" t="s">
        <v>3</v>
      </c>
      <c r="V6" s="7"/>
      <c r="W6" s="25" t="s">
        <v>3</v>
      </c>
      <c r="X6" s="7"/>
      <c r="Y6" s="25" t="s">
        <v>3</v>
      </c>
      <c r="Z6" s="7"/>
      <c r="AA6" s="25" t="s">
        <v>3</v>
      </c>
      <c r="AB6" s="7"/>
      <c r="AC6" s="25" t="s">
        <v>3</v>
      </c>
      <c r="AD6" s="7"/>
      <c r="AE6" s="25" t="s">
        <v>3</v>
      </c>
      <c r="AF6" s="25" t="s">
        <v>3</v>
      </c>
      <c r="AG6" s="25" t="s">
        <v>3</v>
      </c>
      <c r="AH6" s="7"/>
      <c r="AI6" s="25" t="s">
        <v>4</v>
      </c>
      <c r="AJ6" s="4"/>
      <c r="AK6" s="25" t="s">
        <v>149</v>
      </c>
      <c r="AL6" s="7"/>
      <c r="AM6" s="25" t="s">
        <v>149</v>
      </c>
      <c r="AN6" s="7"/>
      <c r="AO6" s="25" t="s">
        <v>149</v>
      </c>
      <c r="AP6" s="7"/>
      <c r="AQ6" s="25" t="s">
        <v>149</v>
      </c>
      <c r="AR6" s="7"/>
      <c r="AS6" s="25" t="s">
        <v>150</v>
      </c>
      <c r="AT6" s="7"/>
      <c r="AU6" s="25"/>
    </row>
    <row r="7" spans="1:47" x14ac:dyDescent="0.2">
      <c r="A7" s="8"/>
      <c r="C7" s="10" t="s">
        <v>8</v>
      </c>
      <c r="D7" s="9"/>
      <c r="E7" s="10" t="s">
        <v>8</v>
      </c>
      <c r="F7" s="9"/>
      <c r="G7" s="10" t="s">
        <v>8</v>
      </c>
      <c r="H7" s="9"/>
      <c r="I7" s="10" t="s">
        <v>8</v>
      </c>
      <c r="J7" s="9"/>
      <c r="K7" s="10" t="s">
        <v>8</v>
      </c>
      <c r="L7" s="9"/>
      <c r="M7" s="10" t="s">
        <v>8</v>
      </c>
      <c r="N7" s="9"/>
      <c r="O7" s="10" t="s">
        <v>8</v>
      </c>
      <c r="P7" s="9"/>
      <c r="Q7" s="10" t="s">
        <v>8</v>
      </c>
      <c r="R7" s="9"/>
      <c r="S7" s="10" t="s">
        <v>8</v>
      </c>
      <c r="T7" s="9"/>
      <c r="U7" s="10" t="s">
        <v>8</v>
      </c>
      <c r="V7" s="9"/>
      <c r="W7" s="10" t="s">
        <v>8</v>
      </c>
      <c r="X7" s="9"/>
      <c r="Y7" s="10" t="s">
        <v>8</v>
      </c>
      <c r="Z7" s="9"/>
      <c r="AA7" s="10" t="s">
        <v>8</v>
      </c>
      <c r="AB7" s="9"/>
      <c r="AC7" s="10" t="s">
        <v>8</v>
      </c>
      <c r="AD7" s="9"/>
      <c r="AE7" s="10" t="s">
        <v>8</v>
      </c>
      <c r="AF7" s="10" t="s">
        <v>8</v>
      </c>
      <c r="AG7" s="10" t="s">
        <v>8</v>
      </c>
      <c r="AH7" s="9"/>
      <c r="AI7" s="10" t="s">
        <v>5</v>
      </c>
      <c r="AJ7" s="4"/>
      <c r="AK7" s="10" t="s">
        <v>6</v>
      </c>
      <c r="AL7" s="9"/>
      <c r="AM7" s="10" t="s">
        <v>8</v>
      </c>
      <c r="AN7" s="9"/>
      <c r="AO7" s="10" t="s">
        <v>151</v>
      </c>
      <c r="AP7" s="9"/>
      <c r="AQ7" s="10" t="s">
        <v>131</v>
      </c>
      <c r="AR7" s="9"/>
      <c r="AS7" s="10" t="s">
        <v>149</v>
      </c>
      <c r="AT7" s="9"/>
      <c r="AU7" s="10" t="s">
        <v>102</v>
      </c>
    </row>
    <row r="8" spans="1:47" x14ac:dyDescent="0.2">
      <c r="A8" s="8"/>
      <c r="C8" s="11" t="s">
        <v>131</v>
      </c>
      <c r="D8" s="9"/>
      <c r="E8" s="11"/>
      <c r="F8" s="9"/>
      <c r="G8" s="11"/>
      <c r="H8" s="9"/>
      <c r="I8" s="11"/>
      <c r="J8" s="9"/>
      <c r="K8" s="11"/>
      <c r="L8" s="9"/>
      <c r="M8" s="11"/>
      <c r="N8" s="9"/>
      <c r="O8" s="11"/>
      <c r="P8" s="9"/>
      <c r="Q8" s="11"/>
      <c r="R8" s="9"/>
      <c r="S8" s="11"/>
      <c r="T8" s="9"/>
      <c r="U8" s="11"/>
      <c r="V8" s="9"/>
      <c r="W8" s="11"/>
      <c r="X8" s="9"/>
      <c r="Y8" s="11"/>
      <c r="Z8" s="9"/>
      <c r="AA8" s="11"/>
      <c r="AB8" s="9"/>
      <c r="AC8" s="11"/>
      <c r="AD8" s="9"/>
      <c r="AE8" s="11"/>
      <c r="AF8" s="11"/>
      <c r="AG8" s="11"/>
      <c r="AH8" s="9"/>
      <c r="AI8" s="11"/>
      <c r="AJ8" s="4"/>
      <c r="AK8" s="11"/>
      <c r="AL8" s="9"/>
      <c r="AM8" s="11"/>
      <c r="AN8" s="9"/>
      <c r="AO8" s="11"/>
      <c r="AP8" s="9"/>
      <c r="AQ8" s="11"/>
      <c r="AR8" s="9"/>
      <c r="AS8" s="11"/>
      <c r="AT8" s="9"/>
      <c r="AU8" s="11"/>
    </row>
    <row r="9" spans="1:47" x14ac:dyDescent="0.2">
      <c r="A9" s="71" t="s">
        <v>152</v>
      </c>
      <c r="C9" s="72" t="s">
        <v>131</v>
      </c>
      <c r="D9" s="11"/>
      <c r="E9" s="72" t="s">
        <v>130</v>
      </c>
      <c r="F9" s="11"/>
      <c r="G9" s="42" t="s">
        <v>130</v>
      </c>
      <c r="H9" s="11"/>
      <c r="I9" s="72" t="s">
        <v>131</v>
      </c>
      <c r="J9" s="11"/>
      <c r="K9" s="9" t="s">
        <v>130</v>
      </c>
      <c r="L9" s="11"/>
      <c r="M9" s="9" t="s">
        <v>130</v>
      </c>
      <c r="N9" s="11"/>
      <c r="O9" s="9" t="s">
        <v>130</v>
      </c>
      <c r="P9" s="11"/>
      <c r="Q9" s="9" t="s">
        <v>130</v>
      </c>
      <c r="R9" s="11"/>
      <c r="S9" s="9" t="s">
        <v>130</v>
      </c>
      <c r="T9" s="9"/>
      <c r="U9" s="9" t="s">
        <v>127</v>
      </c>
      <c r="V9" s="9"/>
      <c r="W9" s="9" t="s">
        <v>130</v>
      </c>
      <c r="X9" s="9"/>
      <c r="Y9" s="133" t="s">
        <v>129</v>
      </c>
      <c r="Z9" s="11"/>
      <c r="AA9" s="9" t="s">
        <v>130</v>
      </c>
      <c r="AB9" s="11"/>
      <c r="AC9" s="9" t="s">
        <v>127</v>
      </c>
      <c r="AD9" s="11"/>
      <c r="AE9" s="9" t="s">
        <v>129</v>
      </c>
      <c r="AF9" s="9" t="s">
        <v>130</v>
      </c>
      <c r="AG9" s="9" t="s">
        <v>131</v>
      </c>
      <c r="AH9" s="11"/>
      <c r="AI9" s="9"/>
      <c r="AJ9" s="11"/>
      <c r="AK9" s="9"/>
      <c r="AL9" s="11"/>
      <c r="AM9" s="9"/>
      <c r="AN9" s="11"/>
      <c r="AO9" s="9"/>
      <c r="AP9" s="11"/>
      <c r="AQ9" s="9"/>
      <c r="AR9" s="11"/>
      <c r="AS9" s="9"/>
      <c r="AT9" s="11"/>
      <c r="AU9" s="9"/>
    </row>
    <row r="10" spans="1:47" x14ac:dyDescent="0.2">
      <c r="A10" s="8"/>
    </row>
    <row r="11" spans="1:47" x14ac:dyDescent="0.2">
      <c r="A11" s="8">
        <v>101</v>
      </c>
      <c r="B11" s="12" t="s">
        <v>10</v>
      </c>
    </row>
    <row r="12" spans="1:47" x14ac:dyDescent="0.2">
      <c r="A12" s="8"/>
      <c r="B12" s="12"/>
    </row>
    <row r="13" spans="1:47" x14ac:dyDescent="0.2">
      <c r="A13" s="71" t="s">
        <v>11</v>
      </c>
      <c r="B13" s="12"/>
    </row>
    <row r="14" spans="1:47" x14ac:dyDescent="0.2">
      <c r="A14" s="71"/>
      <c r="B14" s="12" t="s">
        <v>12</v>
      </c>
    </row>
    <row r="15" spans="1:47" x14ac:dyDescent="0.2">
      <c r="A15" s="71"/>
      <c r="B15" s="3" t="s">
        <v>153</v>
      </c>
      <c r="C15" s="14">
        <v>0</v>
      </c>
      <c r="E15" s="14">
        <v>0</v>
      </c>
      <c r="G15" s="14">
        <v>0</v>
      </c>
      <c r="I15" s="14">
        <v>0</v>
      </c>
      <c r="K15" s="14">
        <v>0</v>
      </c>
      <c r="M15" s="14">
        <v>0</v>
      </c>
      <c r="O15" s="14">
        <v>0</v>
      </c>
      <c r="Q15" s="14">
        <v>0</v>
      </c>
      <c r="S15" s="14">
        <v>0</v>
      </c>
      <c r="U15" s="14">
        <v>0</v>
      </c>
      <c r="W15" s="14">
        <v>0</v>
      </c>
      <c r="Y15" s="14">
        <v>0</v>
      </c>
      <c r="AA15" s="14">
        <v>0</v>
      </c>
      <c r="AC15" s="14">
        <v>0</v>
      </c>
      <c r="AE15" s="14">
        <v>0</v>
      </c>
      <c r="AF15" s="14">
        <v>0</v>
      </c>
      <c r="AG15" s="14">
        <v>0</v>
      </c>
      <c r="AI15" s="14">
        <f t="shared" ref="AI15:AI30" si="0">SUM(C15:AF15)</f>
        <v>0</v>
      </c>
      <c r="AK15" s="14">
        <f t="shared" ref="AK15:AK30" si="1">SUMIF($C$9:$AH$9,"=Addition",$C15:$AH15)</f>
        <v>0</v>
      </c>
      <c r="AM15" s="14">
        <f t="shared" ref="AM15:AM30" si="2">SUMIF($C$9:$AH$9,"=Adjustment",$C15:$AH15)</f>
        <v>0</v>
      </c>
      <c r="AO15" s="14">
        <f t="shared" ref="AO15:AO30" si="3">SUMIF($C$9:$AH$9,"=Transfer",$C15:$AH15)</f>
        <v>0</v>
      </c>
      <c r="AQ15" s="14">
        <f t="shared" ref="AQ15:AQ30" si="4">SUMIF($C$9:$Z$9,"=N/A",$C15:$Z15)</f>
        <v>0</v>
      </c>
      <c r="AS15" s="14">
        <f t="shared" ref="AS15:AS30" si="5">SUM(AK15:AQ15)</f>
        <v>0</v>
      </c>
      <c r="AU15" s="14">
        <f>+AI15-AS15</f>
        <v>0</v>
      </c>
    </row>
    <row r="16" spans="1:47" x14ac:dyDescent="0.2">
      <c r="A16" s="71"/>
      <c r="B16" s="3" t="s">
        <v>154</v>
      </c>
      <c r="C16" s="14">
        <v>0</v>
      </c>
      <c r="E16" s="14">
        <v>0</v>
      </c>
      <c r="G16" s="14">
        <v>0</v>
      </c>
      <c r="I16" s="14">
        <v>0</v>
      </c>
      <c r="K16" s="14">
        <v>-113882.25</v>
      </c>
      <c r="M16" s="14">
        <v>0</v>
      </c>
      <c r="O16" s="14">
        <v>0</v>
      </c>
      <c r="Q16" s="14">
        <v>0</v>
      </c>
      <c r="S16" s="14">
        <v>0</v>
      </c>
      <c r="U16" s="14">
        <v>0</v>
      </c>
      <c r="W16" s="14">
        <v>0</v>
      </c>
      <c r="Y16" s="14">
        <v>0</v>
      </c>
      <c r="AA16" s="14">
        <v>0</v>
      </c>
      <c r="AC16" s="14">
        <v>0</v>
      </c>
      <c r="AE16" s="14">
        <v>0</v>
      </c>
      <c r="AF16" s="14">
        <v>0</v>
      </c>
      <c r="AG16" s="14">
        <v>0</v>
      </c>
      <c r="AI16" s="14">
        <f t="shared" si="0"/>
        <v>-113882.25</v>
      </c>
      <c r="AK16" s="14">
        <f t="shared" si="1"/>
        <v>0</v>
      </c>
      <c r="AM16" s="14">
        <f t="shared" si="2"/>
        <v>0</v>
      </c>
      <c r="AO16" s="14">
        <f t="shared" si="3"/>
        <v>-113882.25</v>
      </c>
      <c r="AQ16" s="14">
        <f t="shared" si="4"/>
        <v>0</v>
      </c>
      <c r="AS16" s="14">
        <f t="shared" si="5"/>
        <v>-113882.25</v>
      </c>
      <c r="AU16" s="14">
        <f t="shared" ref="AU16:AU81" si="6">+AI16-AS16</f>
        <v>0</v>
      </c>
    </row>
    <row r="17" spans="1:47" x14ac:dyDescent="0.2">
      <c r="A17" s="71"/>
      <c r="B17" s="3" t="s">
        <v>155</v>
      </c>
      <c r="C17" s="14">
        <v>0</v>
      </c>
      <c r="E17" s="14">
        <v>0</v>
      </c>
      <c r="G17" s="14">
        <v>0</v>
      </c>
      <c r="I17" s="14">
        <v>0</v>
      </c>
      <c r="K17" s="14">
        <v>0</v>
      </c>
      <c r="M17" s="14">
        <v>0</v>
      </c>
      <c r="O17" s="14">
        <v>0</v>
      </c>
      <c r="Q17" s="14">
        <v>0</v>
      </c>
      <c r="S17" s="14">
        <v>0</v>
      </c>
      <c r="U17" s="14">
        <v>0</v>
      </c>
      <c r="W17" s="14">
        <v>0</v>
      </c>
      <c r="Y17" s="14">
        <v>0</v>
      </c>
      <c r="AA17" s="14">
        <v>0</v>
      </c>
      <c r="AC17" s="14">
        <v>0</v>
      </c>
      <c r="AE17" s="14">
        <v>0</v>
      </c>
      <c r="AF17" s="14">
        <v>4946.97</v>
      </c>
      <c r="AG17" s="14">
        <v>0</v>
      </c>
      <c r="AI17" s="14">
        <f t="shared" si="0"/>
        <v>4946.97</v>
      </c>
      <c r="AK17" s="14">
        <f t="shared" si="1"/>
        <v>0</v>
      </c>
      <c r="AM17" s="14">
        <f t="shared" si="2"/>
        <v>0</v>
      </c>
      <c r="AO17" s="14">
        <f t="shared" si="3"/>
        <v>4946.97</v>
      </c>
      <c r="AQ17" s="14">
        <f t="shared" si="4"/>
        <v>0</v>
      </c>
      <c r="AS17" s="14">
        <f t="shared" si="5"/>
        <v>4946.97</v>
      </c>
      <c r="AU17" s="14">
        <f t="shared" si="6"/>
        <v>0</v>
      </c>
    </row>
    <row r="18" spans="1:47" x14ac:dyDescent="0.2">
      <c r="A18" s="71"/>
      <c r="B18" s="3" t="s">
        <v>156</v>
      </c>
      <c r="C18" s="14"/>
      <c r="E18" s="14">
        <v>32249</v>
      </c>
      <c r="G18" s="14">
        <v>-170157.37</v>
      </c>
      <c r="I18" s="14"/>
      <c r="K18" s="14">
        <v>0</v>
      </c>
      <c r="M18" s="14">
        <v>0</v>
      </c>
      <c r="O18" s="14">
        <v>0</v>
      </c>
      <c r="Q18" s="14"/>
      <c r="S18" s="14">
        <v>0</v>
      </c>
      <c r="U18" s="14">
        <v>0</v>
      </c>
      <c r="W18" s="14">
        <v>0</v>
      </c>
      <c r="Y18" s="14">
        <v>0</v>
      </c>
      <c r="AA18" s="14">
        <v>0</v>
      </c>
      <c r="AC18" s="14">
        <v>0</v>
      </c>
      <c r="AE18" s="14">
        <v>0</v>
      </c>
      <c r="AF18" s="14">
        <v>96291.839999999997</v>
      </c>
      <c r="AG18" s="14">
        <v>0</v>
      </c>
      <c r="AI18" s="14">
        <f>SUM(C18:AF18)</f>
        <v>-41616.53</v>
      </c>
      <c r="AK18" s="14">
        <f t="shared" si="1"/>
        <v>0</v>
      </c>
      <c r="AM18" s="14">
        <f t="shared" si="2"/>
        <v>0</v>
      </c>
      <c r="AO18" s="14">
        <f t="shared" si="3"/>
        <v>-41616.53</v>
      </c>
      <c r="AQ18" s="14">
        <f t="shared" si="4"/>
        <v>0</v>
      </c>
      <c r="AS18" s="14">
        <f t="shared" si="5"/>
        <v>-41616.53</v>
      </c>
      <c r="AU18" s="14">
        <f t="shared" si="6"/>
        <v>0</v>
      </c>
    </row>
    <row r="19" spans="1:47" x14ac:dyDescent="0.2">
      <c r="A19" s="71"/>
      <c r="B19" s="3" t="s">
        <v>157</v>
      </c>
      <c r="C19" s="14">
        <v>0</v>
      </c>
      <c r="E19" s="14">
        <v>0</v>
      </c>
      <c r="G19" s="14">
        <v>0</v>
      </c>
      <c r="I19" s="14">
        <v>0</v>
      </c>
      <c r="K19" s="14">
        <v>0</v>
      </c>
      <c r="M19" s="14">
        <v>0</v>
      </c>
      <c r="O19" s="14">
        <v>0</v>
      </c>
      <c r="Q19" s="14">
        <v>0</v>
      </c>
      <c r="S19" s="14">
        <v>0</v>
      </c>
      <c r="U19" s="14">
        <v>0</v>
      </c>
      <c r="W19" s="14">
        <v>0</v>
      </c>
      <c r="Y19" s="14">
        <v>0</v>
      </c>
      <c r="AA19" s="14">
        <v>0</v>
      </c>
      <c r="AC19" s="14">
        <v>0</v>
      </c>
      <c r="AE19" s="14">
        <v>0</v>
      </c>
      <c r="AF19" s="14">
        <v>0</v>
      </c>
      <c r="AG19" s="14">
        <v>0</v>
      </c>
      <c r="AI19" s="14">
        <f t="shared" si="0"/>
        <v>0</v>
      </c>
      <c r="AK19" s="14">
        <f t="shared" si="1"/>
        <v>0</v>
      </c>
      <c r="AM19" s="14">
        <f t="shared" si="2"/>
        <v>0</v>
      </c>
      <c r="AO19" s="14">
        <f t="shared" si="3"/>
        <v>0</v>
      </c>
      <c r="AQ19" s="14">
        <f t="shared" si="4"/>
        <v>0</v>
      </c>
      <c r="AS19" s="14">
        <f t="shared" si="5"/>
        <v>0</v>
      </c>
      <c r="AU19" s="14">
        <f t="shared" si="6"/>
        <v>0</v>
      </c>
    </row>
    <row r="20" spans="1:47" x14ac:dyDescent="0.2">
      <c r="A20" s="71"/>
      <c r="B20" s="3" t="s">
        <v>158</v>
      </c>
      <c r="C20" s="14">
        <v>0</v>
      </c>
      <c r="E20" s="14">
        <v>-32249</v>
      </c>
      <c r="G20" s="14"/>
      <c r="I20" s="14">
        <v>0</v>
      </c>
      <c r="K20" s="14">
        <v>0</v>
      </c>
      <c r="M20" s="14">
        <v>0</v>
      </c>
      <c r="O20" s="14">
        <v>0</v>
      </c>
      <c r="Q20" s="14"/>
      <c r="S20" s="14">
        <f>-(-53.49+269.09-53291.79-1100.96)</f>
        <v>54177.15</v>
      </c>
      <c r="U20" s="14">
        <v>0</v>
      </c>
      <c r="W20" s="14">
        <v>0</v>
      </c>
      <c r="Y20" s="14">
        <v>0</v>
      </c>
      <c r="AA20" s="14">
        <v>0</v>
      </c>
      <c r="AC20" s="14">
        <v>0</v>
      </c>
      <c r="AE20" s="14">
        <v>0</v>
      </c>
      <c r="AF20" s="14">
        <v>0</v>
      </c>
      <c r="AG20" s="14">
        <v>0</v>
      </c>
      <c r="AI20" s="14">
        <f t="shared" si="0"/>
        <v>21928.15</v>
      </c>
      <c r="AK20" s="14">
        <f t="shared" si="1"/>
        <v>0</v>
      </c>
      <c r="AM20" s="14">
        <f t="shared" si="2"/>
        <v>0</v>
      </c>
      <c r="AO20" s="14">
        <f t="shared" si="3"/>
        <v>21928.15</v>
      </c>
      <c r="AQ20" s="14">
        <f t="shared" si="4"/>
        <v>0</v>
      </c>
      <c r="AS20" s="14">
        <f t="shared" si="5"/>
        <v>21928.15</v>
      </c>
      <c r="AU20" s="14">
        <f t="shared" si="6"/>
        <v>0</v>
      </c>
    </row>
    <row r="21" spans="1:47" x14ac:dyDescent="0.2">
      <c r="A21" s="71"/>
      <c r="B21" s="3" t="s">
        <v>159</v>
      </c>
      <c r="C21" s="14">
        <v>0</v>
      </c>
      <c r="E21" s="14">
        <v>0</v>
      </c>
      <c r="G21" s="14">
        <v>0</v>
      </c>
      <c r="I21" s="14">
        <v>0</v>
      </c>
      <c r="K21" s="14">
        <v>0</v>
      </c>
      <c r="M21" s="14">
        <v>0</v>
      </c>
      <c r="O21" s="14">
        <v>0</v>
      </c>
      <c r="Q21" s="14">
        <v>0</v>
      </c>
      <c r="S21" s="14">
        <v>0</v>
      </c>
      <c r="U21" s="14">
        <v>0</v>
      </c>
      <c r="W21" s="14">
        <v>0</v>
      </c>
      <c r="Y21" s="14">
        <v>0</v>
      </c>
      <c r="AA21" s="14">
        <v>0</v>
      </c>
      <c r="AC21" s="14">
        <v>0</v>
      </c>
      <c r="AE21" s="14">
        <v>0</v>
      </c>
      <c r="AF21" s="14">
        <v>0</v>
      </c>
      <c r="AG21" s="14">
        <v>0</v>
      </c>
      <c r="AI21" s="14">
        <f t="shared" si="0"/>
        <v>0</v>
      </c>
      <c r="AK21" s="14">
        <f t="shared" si="1"/>
        <v>0</v>
      </c>
      <c r="AM21" s="14">
        <f t="shared" si="2"/>
        <v>0</v>
      </c>
      <c r="AO21" s="14">
        <f t="shared" si="3"/>
        <v>0</v>
      </c>
      <c r="AQ21" s="14">
        <f t="shared" si="4"/>
        <v>0</v>
      </c>
      <c r="AS21" s="14">
        <f t="shared" si="5"/>
        <v>0</v>
      </c>
      <c r="AU21" s="14">
        <f t="shared" si="6"/>
        <v>0</v>
      </c>
    </row>
    <row r="22" spans="1:47" x14ac:dyDescent="0.2">
      <c r="A22" s="71"/>
      <c r="B22" s="3" t="s">
        <v>160</v>
      </c>
      <c r="C22" s="14">
        <v>0</v>
      </c>
      <c r="E22" s="14">
        <v>0</v>
      </c>
      <c r="G22" s="14">
        <v>0</v>
      </c>
      <c r="I22" s="14">
        <v>0</v>
      </c>
      <c r="K22" s="14">
        <v>0</v>
      </c>
      <c r="M22" s="14">
        <v>0</v>
      </c>
      <c r="O22" s="14">
        <v>0</v>
      </c>
      <c r="Q22" s="14">
        <v>0</v>
      </c>
      <c r="S22" s="14">
        <v>0</v>
      </c>
      <c r="U22" s="14">
        <v>0</v>
      </c>
      <c r="W22" s="14">
        <v>0</v>
      </c>
      <c r="Y22" s="14">
        <v>0</v>
      </c>
      <c r="AA22" s="14">
        <v>0</v>
      </c>
      <c r="AC22" s="14">
        <v>0</v>
      </c>
      <c r="AE22" s="14">
        <v>0</v>
      </c>
      <c r="AF22" s="14">
        <v>0</v>
      </c>
      <c r="AG22" s="14">
        <v>0</v>
      </c>
      <c r="AI22" s="14">
        <f t="shared" si="0"/>
        <v>0</v>
      </c>
      <c r="AK22" s="14">
        <f t="shared" si="1"/>
        <v>0</v>
      </c>
      <c r="AM22" s="14">
        <f t="shared" si="2"/>
        <v>0</v>
      </c>
      <c r="AO22" s="14">
        <f t="shared" si="3"/>
        <v>0</v>
      </c>
      <c r="AQ22" s="14">
        <f t="shared" si="4"/>
        <v>0</v>
      </c>
      <c r="AS22" s="14">
        <f t="shared" si="5"/>
        <v>0</v>
      </c>
      <c r="AU22" s="14">
        <f t="shared" si="6"/>
        <v>0</v>
      </c>
    </row>
    <row r="23" spans="1:47" x14ac:dyDescent="0.2">
      <c r="A23" s="71"/>
      <c r="B23" s="3" t="s">
        <v>161</v>
      </c>
      <c r="C23" s="14">
        <v>0</v>
      </c>
      <c r="E23" s="14">
        <v>0</v>
      </c>
      <c r="G23" s="14">
        <v>0</v>
      </c>
      <c r="I23" s="14">
        <v>0</v>
      </c>
      <c r="K23" s="14">
        <v>0</v>
      </c>
      <c r="M23" s="14">
        <v>0</v>
      </c>
      <c r="O23" s="14">
        <v>0</v>
      </c>
      <c r="Q23" s="14">
        <v>0</v>
      </c>
      <c r="S23" s="14">
        <v>0</v>
      </c>
      <c r="U23" s="14">
        <v>0</v>
      </c>
      <c r="W23" s="14">
        <v>0</v>
      </c>
      <c r="Y23" s="14">
        <v>0</v>
      </c>
      <c r="AA23" s="14">
        <v>0</v>
      </c>
      <c r="AC23" s="14">
        <v>0</v>
      </c>
      <c r="AE23" s="14">
        <v>0</v>
      </c>
      <c r="AF23" s="14">
        <v>0</v>
      </c>
      <c r="AG23" s="14">
        <v>0</v>
      </c>
      <c r="AI23" s="14">
        <f t="shared" si="0"/>
        <v>0</v>
      </c>
      <c r="AK23" s="14">
        <f t="shared" si="1"/>
        <v>0</v>
      </c>
      <c r="AM23" s="14">
        <f t="shared" si="2"/>
        <v>0</v>
      </c>
      <c r="AO23" s="14">
        <f t="shared" si="3"/>
        <v>0</v>
      </c>
      <c r="AQ23" s="14">
        <f t="shared" si="4"/>
        <v>0</v>
      </c>
      <c r="AS23" s="14">
        <f t="shared" si="5"/>
        <v>0</v>
      </c>
      <c r="AU23" s="14">
        <f t="shared" si="6"/>
        <v>0</v>
      </c>
    </row>
    <row r="24" spans="1:47" x14ac:dyDescent="0.2">
      <c r="A24" s="71"/>
      <c r="B24" s="3" t="s">
        <v>162</v>
      </c>
      <c r="C24" s="14">
        <v>0</v>
      </c>
      <c r="E24" s="14">
        <v>0</v>
      </c>
      <c r="G24" s="14">
        <v>0</v>
      </c>
      <c r="I24" s="14">
        <v>0</v>
      </c>
      <c r="K24" s="14">
        <v>0</v>
      </c>
      <c r="M24" s="14">
        <v>0</v>
      </c>
      <c r="O24" s="14">
        <v>0</v>
      </c>
      <c r="Q24" s="14">
        <v>0</v>
      </c>
      <c r="S24" s="14">
        <v>0</v>
      </c>
      <c r="U24" s="14">
        <v>0</v>
      </c>
      <c r="W24" s="14">
        <v>0</v>
      </c>
      <c r="Y24" s="14">
        <v>0</v>
      </c>
      <c r="AA24" s="14">
        <v>0</v>
      </c>
      <c r="AC24" s="14">
        <v>0</v>
      </c>
      <c r="AE24" s="14">
        <v>0</v>
      </c>
      <c r="AF24" s="14">
        <v>0</v>
      </c>
      <c r="AG24" s="14">
        <v>0</v>
      </c>
      <c r="AI24" s="14">
        <f t="shared" si="0"/>
        <v>0</v>
      </c>
      <c r="AK24" s="14">
        <f t="shared" si="1"/>
        <v>0</v>
      </c>
      <c r="AM24" s="14">
        <f t="shared" si="2"/>
        <v>0</v>
      </c>
      <c r="AO24" s="14">
        <f t="shared" si="3"/>
        <v>0</v>
      </c>
      <c r="AQ24" s="14">
        <f t="shared" si="4"/>
        <v>0</v>
      </c>
      <c r="AS24" s="14">
        <f t="shared" si="5"/>
        <v>0</v>
      </c>
      <c r="AU24" s="14">
        <f t="shared" si="6"/>
        <v>0</v>
      </c>
    </row>
    <row r="25" spans="1:47" x14ac:dyDescent="0.2">
      <c r="A25" s="71"/>
      <c r="B25" s="3" t="s">
        <v>163</v>
      </c>
      <c r="C25" s="14">
        <v>0</v>
      </c>
      <c r="E25" s="14">
        <v>0</v>
      </c>
      <c r="G25" s="14">
        <v>0</v>
      </c>
      <c r="I25" s="14">
        <v>0</v>
      </c>
      <c r="K25" s="14">
        <v>0</v>
      </c>
      <c r="M25" s="14">
        <v>0</v>
      </c>
      <c r="O25" s="14">
        <v>0</v>
      </c>
      <c r="Q25" s="14">
        <v>0</v>
      </c>
      <c r="S25" s="14">
        <v>0</v>
      </c>
      <c r="U25" s="14">
        <v>0</v>
      </c>
      <c r="W25" s="14">
        <v>0</v>
      </c>
      <c r="Y25" s="14">
        <v>0</v>
      </c>
      <c r="AA25" s="14">
        <v>0</v>
      </c>
      <c r="AC25" s="14">
        <v>0</v>
      </c>
      <c r="AE25" s="14">
        <v>0</v>
      </c>
      <c r="AF25" s="14">
        <v>0</v>
      </c>
      <c r="AG25" s="14">
        <v>0</v>
      </c>
      <c r="AI25" s="14">
        <f t="shared" si="0"/>
        <v>0</v>
      </c>
      <c r="AK25" s="14">
        <f t="shared" si="1"/>
        <v>0</v>
      </c>
      <c r="AM25" s="14">
        <f t="shared" si="2"/>
        <v>0</v>
      </c>
      <c r="AO25" s="14">
        <f t="shared" si="3"/>
        <v>0</v>
      </c>
      <c r="AQ25" s="14">
        <f t="shared" si="4"/>
        <v>0</v>
      </c>
      <c r="AS25" s="14">
        <f t="shared" si="5"/>
        <v>0</v>
      </c>
      <c r="AU25" s="14">
        <f t="shared" si="6"/>
        <v>0</v>
      </c>
    </row>
    <row r="26" spans="1:47" x14ac:dyDescent="0.2">
      <c r="A26" s="71"/>
      <c r="B26" s="43" t="s">
        <v>164</v>
      </c>
      <c r="C26" s="14">
        <v>0</v>
      </c>
      <c r="D26" s="3">
        <v>0</v>
      </c>
      <c r="E26" s="14">
        <v>0</v>
      </c>
      <c r="G26" s="14">
        <v>0</v>
      </c>
      <c r="I26" s="14">
        <v>0</v>
      </c>
      <c r="K26" s="14">
        <v>0</v>
      </c>
      <c r="M26" s="14">
        <v>0</v>
      </c>
      <c r="O26" s="14">
        <v>0</v>
      </c>
      <c r="Q26" s="14"/>
      <c r="S26" s="14"/>
      <c r="U26" s="14"/>
      <c r="W26" s="14"/>
      <c r="Y26" s="14"/>
      <c r="AA26" s="14"/>
      <c r="AC26" s="14"/>
      <c r="AE26" s="14"/>
      <c r="AF26" s="14"/>
      <c r="AG26" s="14">
        <v>0</v>
      </c>
      <c r="AI26" s="14">
        <f t="shared" si="0"/>
        <v>0</v>
      </c>
      <c r="AK26" s="14">
        <f t="shared" si="1"/>
        <v>0</v>
      </c>
      <c r="AM26" s="14">
        <f t="shared" si="2"/>
        <v>0</v>
      </c>
      <c r="AO26" s="14">
        <f t="shared" si="3"/>
        <v>0</v>
      </c>
      <c r="AQ26" s="14">
        <f t="shared" si="4"/>
        <v>0</v>
      </c>
      <c r="AS26" s="14">
        <f t="shared" si="5"/>
        <v>0</v>
      </c>
      <c r="AU26" s="14">
        <f t="shared" si="6"/>
        <v>0</v>
      </c>
    </row>
    <row r="27" spans="1:47" x14ac:dyDescent="0.2">
      <c r="A27" s="71"/>
      <c r="B27" s="3" t="s">
        <v>165</v>
      </c>
      <c r="C27" s="14">
        <v>0</v>
      </c>
      <c r="E27" s="14">
        <v>0</v>
      </c>
      <c r="G27" s="14">
        <v>0</v>
      </c>
      <c r="I27" s="14">
        <v>0</v>
      </c>
      <c r="K27" s="14">
        <v>0</v>
      </c>
      <c r="M27" s="14">
        <f>-14643413.17-855168.89</f>
        <v>-15498582.060000001</v>
      </c>
      <c r="O27" s="14">
        <v>0</v>
      </c>
      <c r="Q27" s="14">
        <v>0</v>
      </c>
      <c r="S27" s="14">
        <v>-1559245.22</v>
      </c>
      <c r="U27" s="14">
        <v>0</v>
      </c>
      <c r="W27" s="14">
        <v>0</v>
      </c>
      <c r="Y27" s="14">
        <v>0</v>
      </c>
      <c r="AA27" s="14">
        <v>0</v>
      </c>
      <c r="AC27" s="14">
        <v>0</v>
      </c>
      <c r="AE27" s="14">
        <v>0</v>
      </c>
      <c r="AF27" s="14">
        <v>0</v>
      </c>
      <c r="AG27" s="14">
        <v>0</v>
      </c>
      <c r="AI27" s="14">
        <f t="shared" si="0"/>
        <v>-17057827.280000001</v>
      </c>
      <c r="AK27" s="14">
        <f t="shared" si="1"/>
        <v>0</v>
      </c>
      <c r="AM27" s="14">
        <f t="shared" si="2"/>
        <v>0</v>
      </c>
      <c r="AO27" s="14">
        <f t="shared" si="3"/>
        <v>-17057827.280000001</v>
      </c>
      <c r="AQ27" s="14">
        <f t="shared" si="4"/>
        <v>0</v>
      </c>
      <c r="AS27" s="14">
        <f t="shared" si="5"/>
        <v>-17057827.280000001</v>
      </c>
      <c r="AU27" s="14">
        <f t="shared" si="6"/>
        <v>0</v>
      </c>
    </row>
    <row r="28" spans="1:47" x14ac:dyDescent="0.2">
      <c r="A28" s="71"/>
      <c r="B28" s="3" t="s">
        <v>166</v>
      </c>
      <c r="C28" s="14">
        <v>0</v>
      </c>
      <c r="E28" s="14">
        <v>0</v>
      </c>
      <c r="G28" s="14">
        <v>0</v>
      </c>
      <c r="I28" s="14">
        <v>0</v>
      </c>
      <c r="K28" s="14">
        <v>0</v>
      </c>
      <c r="M28" s="14">
        <f>-M27</f>
        <v>15498582.060000001</v>
      </c>
      <c r="O28" s="14">
        <v>0</v>
      </c>
      <c r="Q28" s="14">
        <v>0</v>
      </c>
      <c r="S28" s="14">
        <v>1559245.22</v>
      </c>
      <c r="U28" s="14">
        <v>0</v>
      </c>
      <c r="W28" s="14">
        <v>0</v>
      </c>
      <c r="Y28" s="14">
        <v>0</v>
      </c>
      <c r="AA28" s="14">
        <v>0</v>
      </c>
      <c r="AC28" s="14">
        <v>0</v>
      </c>
      <c r="AE28" s="14">
        <v>0</v>
      </c>
      <c r="AF28" s="14">
        <v>0</v>
      </c>
      <c r="AG28" s="14">
        <v>0</v>
      </c>
      <c r="AI28" s="14">
        <f t="shared" si="0"/>
        <v>17057827.280000001</v>
      </c>
      <c r="AK28" s="14">
        <f t="shared" si="1"/>
        <v>0</v>
      </c>
      <c r="AM28" s="14">
        <f t="shared" si="2"/>
        <v>0</v>
      </c>
      <c r="AO28" s="14">
        <f t="shared" si="3"/>
        <v>17057827.280000001</v>
      </c>
      <c r="AQ28" s="14">
        <f t="shared" si="4"/>
        <v>0</v>
      </c>
      <c r="AS28" s="14">
        <f t="shared" si="5"/>
        <v>17057827.280000001</v>
      </c>
      <c r="AU28" s="14">
        <f t="shared" si="6"/>
        <v>0</v>
      </c>
    </row>
    <row r="29" spans="1:47" x14ac:dyDescent="0.2">
      <c r="A29" s="71"/>
      <c r="B29" s="3" t="s">
        <v>167</v>
      </c>
      <c r="C29" s="14">
        <v>0</v>
      </c>
      <c r="E29" s="14">
        <v>0</v>
      </c>
      <c r="G29" s="14">
        <v>0</v>
      </c>
      <c r="I29" s="14">
        <v>0</v>
      </c>
      <c r="K29" s="14">
        <v>0</v>
      </c>
      <c r="M29" s="14">
        <v>0</v>
      </c>
      <c r="O29" s="14">
        <v>0</v>
      </c>
      <c r="Q29" s="14">
        <v>0</v>
      </c>
      <c r="S29" s="14">
        <v>0</v>
      </c>
      <c r="U29" s="14">
        <v>0</v>
      </c>
      <c r="W29" s="14">
        <v>0</v>
      </c>
      <c r="Y29" s="14">
        <v>0</v>
      </c>
      <c r="AA29" s="14">
        <v>0</v>
      </c>
      <c r="AC29" s="14">
        <v>339491.86</v>
      </c>
      <c r="AE29" s="14">
        <v>0</v>
      </c>
      <c r="AF29" s="14">
        <v>0</v>
      </c>
      <c r="AG29" s="14">
        <v>0</v>
      </c>
      <c r="AI29" s="14">
        <f t="shared" si="0"/>
        <v>339491.86</v>
      </c>
      <c r="AK29" s="14">
        <f t="shared" si="1"/>
        <v>339491.86</v>
      </c>
      <c r="AM29" s="14">
        <f t="shared" si="2"/>
        <v>0</v>
      </c>
      <c r="AO29" s="14">
        <f t="shared" si="3"/>
        <v>0</v>
      </c>
      <c r="AQ29" s="14">
        <f t="shared" si="4"/>
        <v>0</v>
      </c>
      <c r="AS29" s="14">
        <f t="shared" si="5"/>
        <v>339491.86</v>
      </c>
      <c r="AU29" s="14">
        <f t="shared" si="6"/>
        <v>0</v>
      </c>
    </row>
    <row r="30" spans="1:47" x14ac:dyDescent="0.2">
      <c r="A30" s="71"/>
      <c r="B30" s="73" t="s">
        <v>168</v>
      </c>
      <c r="C30" s="14">
        <v>0</v>
      </c>
      <c r="E30" s="14">
        <v>0</v>
      </c>
      <c r="G30" s="14">
        <v>0</v>
      </c>
      <c r="I30" s="14">
        <v>0</v>
      </c>
      <c r="K30" s="14">
        <v>0</v>
      </c>
      <c r="M30" s="14">
        <v>0</v>
      </c>
      <c r="O30" s="14">
        <v>0</v>
      </c>
      <c r="Q30" s="14">
        <v>0</v>
      </c>
      <c r="S30" s="14">
        <v>0</v>
      </c>
      <c r="U30" s="14">
        <v>0</v>
      </c>
      <c r="W30" s="14">
        <v>0</v>
      </c>
      <c r="Y30" s="14">
        <v>0</v>
      </c>
      <c r="AA30" s="14">
        <v>0</v>
      </c>
      <c r="AC30" s="14">
        <v>0</v>
      </c>
      <c r="AE30" s="14">
        <v>-550985.65</v>
      </c>
      <c r="AF30" s="14">
        <v>0</v>
      </c>
      <c r="AG30" s="14">
        <v>0</v>
      </c>
      <c r="AI30" s="16">
        <f t="shared" si="0"/>
        <v>-550985.65</v>
      </c>
      <c r="AK30" s="14">
        <f t="shared" si="1"/>
        <v>0</v>
      </c>
      <c r="AM30" s="14">
        <f t="shared" si="2"/>
        <v>-550985.65</v>
      </c>
      <c r="AO30" s="14">
        <f t="shared" si="3"/>
        <v>0</v>
      </c>
      <c r="AQ30" s="14">
        <f t="shared" si="4"/>
        <v>0</v>
      </c>
      <c r="AS30" s="14">
        <f t="shared" si="5"/>
        <v>-550985.65</v>
      </c>
      <c r="AU30" s="14">
        <f t="shared" si="6"/>
        <v>0</v>
      </c>
    </row>
    <row r="31" spans="1:47" x14ac:dyDescent="0.2">
      <c r="A31" s="71"/>
      <c r="B31" s="12" t="s">
        <v>169</v>
      </c>
      <c r="C31" s="18">
        <f>SUM(C15:C30)</f>
        <v>0</v>
      </c>
      <c r="E31" s="18">
        <f>SUM(E15:E30)</f>
        <v>0</v>
      </c>
      <c r="G31" s="18">
        <f>SUM(G15:G30)</f>
        <v>-170157.37</v>
      </c>
      <c r="I31" s="18">
        <f>SUM(I15:I30)</f>
        <v>0</v>
      </c>
      <c r="K31" s="18">
        <f>SUM(K15:K30)</f>
        <v>-113882.25</v>
      </c>
      <c r="M31" s="18">
        <f>SUM(M15:M30)</f>
        <v>0</v>
      </c>
      <c r="O31" s="18">
        <f>SUM(O15:O30)</f>
        <v>0</v>
      </c>
      <c r="Q31" s="18">
        <f>SUM(Q15:Q30)</f>
        <v>0</v>
      </c>
      <c r="S31" s="18">
        <f>SUM(S15:S30)</f>
        <v>54177.149999999907</v>
      </c>
      <c r="U31" s="18">
        <f>SUM(U15:U30)</f>
        <v>0</v>
      </c>
      <c r="W31" s="18">
        <f>SUM(W15:W30)</f>
        <v>0</v>
      </c>
      <c r="Y31" s="18">
        <f>SUM(Y15:Y30)</f>
        <v>0</v>
      </c>
      <c r="AA31" s="18">
        <f>SUM(AA15:AA30)</f>
        <v>0</v>
      </c>
      <c r="AC31" s="18">
        <f>SUM(AC15:AC30)</f>
        <v>339491.86</v>
      </c>
      <c r="AE31" s="18">
        <f>SUM(AE15:AE30)</f>
        <v>-550985.65</v>
      </c>
      <c r="AF31" s="18">
        <f>SUM(AF15:AF30)</f>
        <v>101238.81</v>
      </c>
      <c r="AG31" s="18">
        <f>SUM(AG15:AG30)</f>
        <v>0</v>
      </c>
      <c r="AI31" s="18">
        <f>SUM(AI15:AI30)</f>
        <v>-340117.45000000019</v>
      </c>
      <c r="AK31" s="18">
        <f>SUM(AK15:AK30)</f>
        <v>339491.86</v>
      </c>
      <c r="AM31" s="18">
        <f>SUM(AM15:AM30)</f>
        <v>-550985.65</v>
      </c>
      <c r="AO31" s="18">
        <f>SUM(AO15:AO30)</f>
        <v>-128623.66000000015</v>
      </c>
      <c r="AQ31" s="18">
        <f>SUM(AQ15:AQ30)</f>
        <v>0</v>
      </c>
      <c r="AS31" s="18">
        <f>SUM(AS15:AS30)</f>
        <v>-340117.45000000019</v>
      </c>
      <c r="AU31" s="18">
        <f t="shared" si="6"/>
        <v>0</v>
      </c>
    </row>
    <row r="32" spans="1:47" x14ac:dyDescent="0.2">
      <c r="A32" s="71"/>
      <c r="C32" s="14"/>
      <c r="E32" s="14"/>
      <c r="G32" s="14"/>
      <c r="I32" s="14"/>
      <c r="K32" s="14"/>
      <c r="M32" s="14"/>
      <c r="O32" s="14"/>
      <c r="Q32" s="14"/>
      <c r="S32" s="14"/>
      <c r="U32" s="14"/>
      <c r="W32" s="14"/>
      <c r="Y32" s="14"/>
      <c r="AA32" s="14"/>
      <c r="AC32" s="14"/>
      <c r="AE32" s="14"/>
      <c r="AF32" s="14"/>
      <c r="AG32" s="14"/>
      <c r="AI32" s="14"/>
      <c r="AK32" s="14"/>
      <c r="AM32" s="14"/>
      <c r="AO32" s="14"/>
      <c r="AQ32" s="14"/>
      <c r="AS32" s="14"/>
      <c r="AU32" s="14"/>
    </row>
    <row r="33" spans="1:47" x14ac:dyDescent="0.2">
      <c r="A33" s="71"/>
      <c r="B33" s="12" t="s">
        <v>13</v>
      </c>
      <c r="C33" s="14"/>
      <c r="E33" s="14"/>
      <c r="G33" s="14"/>
      <c r="I33" s="14"/>
      <c r="K33" s="14"/>
      <c r="M33" s="14"/>
      <c r="O33" s="14"/>
      <c r="Q33" s="14"/>
      <c r="S33" s="14"/>
      <c r="U33" s="14"/>
      <c r="W33" s="14"/>
      <c r="Y33" s="14"/>
      <c r="AA33" s="14"/>
      <c r="AC33" s="14"/>
      <c r="AE33" s="14"/>
      <c r="AF33" s="14"/>
      <c r="AG33" s="14"/>
      <c r="AI33" s="14"/>
      <c r="AK33" s="14"/>
      <c r="AM33" s="14"/>
      <c r="AO33" s="14"/>
      <c r="AQ33" s="14"/>
      <c r="AS33" s="14"/>
      <c r="AU33" s="14"/>
    </row>
    <row r="34" spans="1:47" x14ac:dyDescent="0.2">
      <c r="A34" s="71"/>
      <c r="B34" s="43" t="s">
        <v>170</v>
      </c>
      <c r="C34" s="14">
        <v>0</v>
      </c>
      <c r="E34" s="14">
        <v>0</v>
      </c>
      <c r="G34" s="14">
        <v>0</v>
      </c>
      <c r="I34" s="14">
        <v>0</v>
      </c>
      <c r="K34" s="14">
        <v>0</v>
      </c>
      <c r="M34" s="14">
        <v>0</v>
      </c>
      <c r="O34" s="14">
        <v>0</v>
      </c>
      <c r="Q34" s="14">
        <v>0</v>
      </c>
      <c r="S34" s="14">
        <v>0</v>
      </c>
      <c r="U34" s="14">
        <v>0</v>
      </c>
      <c r="W34" s="14">
        <v>0</v>
      </c>
      <c r="Y34" s="14">
        <v>0</v>
      </c>
      <c r="AA34" s="14">
        <v>0</v>
      </c>
      <c r="AC34" s="14">
        <v>0</v>
      </c>
      <c r="AE34" s="14">
        <v>0</v>
      </c>
      <c r="AF34" s="14">
        <v>0</v>
      </c>
      <c r="AG34" s="14">
        <v>0</v>
      </c>
      <c r="AI34" s="14">
        <f t="shared" ref="AI34:AI50" si="7">SUM(C34:AF34)</f>
        <v>0</v>
      </c>
      <c r="AK34" s="14">
        <f t="shared" ref="AK34:AK50" si="8">SUMIF($C$9:$AH$9,"=Addition",$C34:$AH34)</f>
        <v>0</v>
      </c>
      <c r="AM34" s="14">
        <f t="shared" ref="AM34:AM50" si="9">SUMIF($C$9:$AH$9,"=Adjustment",$C34:$AH34)</f>
        <v>0</v>
      </c>
      <c r="AO34" s="14">
        <f t="shared" ref="AO34:AO50" si="10">SUMIF($C$9:$AH$9,"=Transfer",$C34:$AH34)</f>
        <v>0</v>
      </c>
      <c r="AQ34" s="14">
        <f t="shared" ref="AQ34:AQ50" si="11">SUMIF($C$9:$Z$9,"=N/A",$C34:$Z34)</f>
        <v>0</v>
      </c>
      <c r="AS34" s="14">
        <f t="shared" ref="AS34:AS50" si="12">SUM(AK34:AQ34)</f>
        <v>0</v>
      </c>
      <c r="AU34" s="14">
        <f t="shared" si="6"/>
        <v>0</v>
      </c>
    </row>
    <row r="35" spans="1:47" x14ac:dyDescent="0.2">
      <c r="A35" s="71"/>
      <c r="B35" s="3" t="s">
        <v>171</v>
      </c>
      <c r="C35" s="14">
        <v>0</v>
      </c>
      <c r="E35" s="14">
        <v>0</v>
      </c>
      <c r="G35" s="14">
        <v>0</v>
      </c>
      <c r="I35" s="14">
        <v>0</v>
      </c>
      <c r="K35" s="14">
        <v>0</v>
      </c>
      <c r="M35" s="14">
        <v>0</v>
      </c>
      <c r="O35" s="14">
        <v>0</v>
      </c>
      <c r="Q35" s="14">
        <v>0</v>
      </c>
      <c r="S35" s="14">
        <v>0</v>
      </c>
      <c r="U35" s="14">
        <v>0</v>
      </c>
      <c r="W35" s="14">
        <v>0</v>
      </c>
      <c r="Y35" s="14">
        <v>0</v>
      </c>
      <c r="AA35" s="14">
        <v>46914.46</v>
      </c>
      <c r="AC35" s="14">
        <v>0</v>
      </c>
      <c r="AE35" s="14">
        <v>0</v>
      </c>
      <c r="AF35" s="14">
        <v>0</v>
      </c>
      <c r="AG35" s="14">
        <v>0</v>
      </c>
      <c r="AI35" s="14">
        <f t="shared" si="7"/>
        <v>46914.46</v>
      </c>
      <c r="AK35" s="14">
        <f t="shared" si="8"/>
        <v>0</v>
      </c>
      <c r="AM35" s="14">
        <f t="shared" si="9"/>
        <v>0</v>
      </c>
      <c r="AO35" s="14">
        <f t="shared" si="10"/>
        <v>46914.46</v>
      </c>
      <c r="AQ35" s="14">
        <f t="shared" si="11"/>
        <v>0</v>
      </c>
      <c r="AS35" s="14">
        <f t="shared" si="12"/>
        <v>46914.46</v>
      </c>
      <c r="AU35" s="14">
        <f t="shared" si="6"/>
        <v>0</v>
      </c>
    </row>
    <row r="36" spans="1:47" x14ac:dyDescent="0.2">
      <c r="A36" s="71"/>
      <c r="B36" s="3" t="s">
        <v>172</v>
      </c>
      <c r="C36" s="14">
        <v>0</v>
      </c>
      <c r="E36" s="14">
        <v>0</v>
      </c>
      <c r="G36" s="14">
        <v>0</v>
      </c>
      <c r="I36" s="14">
        <v>0</v>
      </c>
      <c r="K36" s="14">
        <v>0</v>
      </c>
      <c r="M36" s="14">
        <v>0</v>
      </c>
      <c r="O36" s="14">
        <v>0</v>
      </c>
      <c r="Q36" s="14">
        <v>0</v>
      </c>
      <c r="S36" s="14">
        <v>0</v>
      </c>
      <c r="U36" s="14">
        <v>0</v>
      </c>
      <c r="W36" s="14">
        <v>0</v>
      </c>
      <c r="Y36" s="14">
        <v>0</v>
      </c>
      <c r="AA36" s="14">
        <v>-46914.46</v>
      </c>
      <c r="AC36" s="14">
        <v>0</v>
      </c>
      <c r="AE36" s="14">
        <v>0</v>
      </c>
      <c r="AF36" s="14">
        <v>0</v>
      </c>
      <c r="AG36" s="14">
        <v>0</v>
      </c>
      <c r="AI36" s="14">
        <f t="shared" si="7"/>
        <v>-46914.46</v>
      </c>
      <c r="AK36" s="14">
        <f t="shared" si="8"/>
        <v>0</v>
      </c>
      <c r="AM36" s="14">
        <f t="shared" si="9"/>
        <v>0</v>
      </c>
      <c r="AO36" s="14">
        <f t="shared" si="10"/>
        <v>-46914.46</v>
      </c>
      <c r="AQ36" s="14">
        <f t="shared" si="11"/>
        <v>0</v>
      </c>
      <c r="AS36" s="14">
        <f t="shared" si="12"/>
        <v>-46914.46</v>
      </c>
      <c r="AU36" s="14">
        <f t="shared" si="6"/>
        <v>0</v>
      </c>
    </row>
    <row r="37" spans="1:47" x14ac:dyDescent="0.2">
      <c r="A37" s="71"/>
      <c r="B37" s="3" t="s">
        <v>173</v>
      </c>
      <c r="C37" s="14">
        <v>0</v>
      </c>
      <c r="E37" s="14">
        <v>0</v>
      </c>
      <c r="G37" s="14">
        <v>0</v>
      </c>
      <c r="I37" s="14">
        <v>0</v>
      </c>
      <c r="K37" s="14">
        <v>0</v>
      </c>
      <c r="M37" s="14">
        <v>0</v>
      </c>
      <c r="O37" s="14">
        <v>0</v>
      </c>
      <c r="Q37" s="14">
        <v>0</v>
      </c>
      <c r="S37" s="14">
        <v>0</v>
      </c>
      <c r="U37" s="14">
        <v>0</v>
      </c>
      <c r="W37" s="14">
        <v>0</v>
      </c>
      <c r="Y37" s="14">
        <v>0</v>
      </c>
      <c r="AA37" s="14">
        <v>0</v>
      </c>
      <c r="AC37" s="14">
        <v>0</v>
      </c>
      <c r="AE37" s="14">
        <v>0</v>
      </c>
      <c r="AF37" s="14">
        <v>0</v>
      </c>
      <c r="AG37" s="14">
        <v>0</v>
      </c>
      <c r="AI37" s="14">
        <f t="shared" si="7"/>
        <v>0</v>
      </c>
      <c r="AK37" s="14">
        <f t="shared" si="8"/>
        <v>0</v>
      </c>
      <c r="AM37" s="14">
        <f t="shared" si="9"/>
        <v>0</v>
      </c>
      <c r="AO37" s="14">
        <f t="shared" si="10"/>
        <v>0</v>
      </c>
      <c r="AQ37" s="14">
        <f t="shared" si="11"/>
        <v>0</v>
      </c>
      <c r="AS37" s="14">
        <f t="shared" si="12"/>
        <v>0</v>
      </c>
      <c r="AU37" s="14">
        <f t="shared" si="6"/>
        <v>0</v>
      </c>
    </row>
    <row r="38" spans="1:47" x14ac:dyDescent="0.2">
      <c r="A38" s="71"/>
      <c r="B38" s="3" t="s">
        <v>174</v>
      </c>
      <c r="C38" s="14">
        <v>0</v>
      </c>
      <c r="E38" s="14">
        <v>0</v>
      </c>
      <c r="G38" s="14">
        <v>0</v>
      </c>
      <c r="I38" s="14">
        <v>0</v>
      </c>
      <c r="K38" s="14">
        <v>0</v>
      </c>
      <c r="M38" s="14">
        <v>0</v>
      </c>
      <c r="O38" s="14">
        <v>0</v>
      </c>
      <c r="Q38" s="14">
        <v>0</v>
      </c>
      <c r="S38" s="14">
        <v>0</v>
      </c>
      <c r="U38" s="14">
        <v>0</v>
      </c>
      <c r="W38" s="14">
        <v>0</v>
      </c>
      <c r="Y38" s="14">
        <v>0</v>
      </c>
      <c r="AA38" s="14">
        <v>0</v>
      </c>
      <c r="AC38" s="14">
        <v>0</v>
      </c>
      <c r="AE38" s="14">
        <v>0</v>
      </c>
      <c r="AF38" s="14">
        <v>0</v>
      </c>
      <c r="AG38" s="14">
        <v>0</v>
      </c>
      <c r="AI38" s="14">
        <f t="shared" si="7"/>
        <v>0</v>
      </c>
      <c r="AK38" s="14">
        <f t="shared" si="8"/>
        <v>0</v>
      </c>
      <c r="AM38" s="14">
        <f t="shared" si="9"/>
        <v>0</v>
      </c>
      <c r="AO38" s="14">
        <f t="shared" si="10"/>
        <v>0</v>
      </c>
      <c r="AQ38" s="14">
        <f t="shared" si="11"/>
        <v>0</v>
      </c>
      <c r="AS38" s="14">
        <f t="shared" si="12"/>
        <v>0</v>
      </c>
      <c r="AU38" s="14">
        <f t="shared" si="6"/>
        <v>0</v>
      </c>
    </row>
    <row r="39" spans="1:47" x14ac:dyDescent="0.2">
      <c r="A39" s="71"/>
      <c r="B39" s="3" t="s">
        <v>175</v>
      </c>
      <c r="C39" s="14">
        <v>0</v>
      </c>
      <c r="E39" s="14">
        <v>0</v>
      </c>
      <c r="G39" s="14">
        <v>0</v>
      </c>
      <c r="I39" s="14">
        <v>0</v>
      </c>
      <c r="K39" s="14">
        <v>0</v>
      </c>
      <c r="M39" s="14">
        <v>0</v>
      </c>
      <c r="O39" s="14">
        <v>0</v>
      </c>
      <c r="Q39" s="14">
        <v>0</v>
      </c>
      <c r="S39" s="14">
        <v>0</v>
      </c>
      <c r="U39" s="14">
        <v>0</v>
      </c>
      <c r="W39" s="14">
        <v>0</v>
      </c>
      <c r="Y39" s="14">
        <v>0</v>
      </c>
      <c r="AA39" s="14">
        <v>0</v>
      </c>
      <c r="AC39" s="14">
        <v>0</v>
      </c>
      <c r="AE39" s="14">
        <v>0</v>
      </c>
      <c r="AF39" s="14">
        <v>0</v>
      </c>
      <c r="AG39" s="14">
        <v>0</v>
      </c>
      <c r="AI39" s="14">
        <f t="shared" si="7"/>
        <v>0</v>
      </c>
      <c r="AK39" s="14">
        <f t="shared" si="8"/>
        <v>0</v>
      </c>
      <c r="AM39" s="14">
        <f t="shared" si="9"/>
        <v>0</v>
      </c>
      <c r="AO39" s="14">
        <f t="shared" si="10"/>
        <v>0</v>
      </c>
      <c r="AQ39" s="14">
        <f t="shared" si="11"/>
        <v>0</v>
      </c>
      <c r="AS39" s="14">
        <f t="shared" si="12"/>
        <v>0</v>
      </c>
      <c r="AU39" s="14">
        <f t="shared" si="6"/>
        <v>0</v>
      </c>
    </row>
    <row r="40" spans="1:47" x14ac:dyDescent="0.2">
      <c r="A40" s="71"/>
      <c r="B40" s="3" t="s">
        <v>176</v>
      </c>
      <c r="C40" s="14">
        <v>0</v>
      </c>
      <c r="E40" s="14">
        <v>0</v>
      </c>
      <c r="G40" s="14">
        <v>0</v>
      </c>
      <c r="I40" s="14">
        <v>0</v>
      </c>
      <c r="K40" s="14">
        <v>0</v>
      </c>
      <c r="M40" s="14">
        <v>0</v>
      </c>
      <c r="O40" s="14">
        <v>0</v>
      </c>
      <c r="Q40" s="14">
        <v>0</v>
      </c>
      <c r="S40" s="14">
        <v>0</v>
      </c>
      <c r="U40" s="14">
        <v>0</v>
      </c>
      <c r="W40" s="14">
        <v>0</v>
      </c>
      <c r="Y40" s="14">
        <v>0</v>
      </c>
      <c r="AA40" s="14">
        <v>0</v>
      </c>
      <c r="AC40" s="14">
        <v>0</v>
      </c>
      <c r="AE40" s="14">
        <v>0</v>
      </c>
      <c r="AF40" s="14">
        <v>0</v>
      </c>
      <c r="AG40" s="14">
        <v>0</v>
      </c>
      <c r="AI40" s="14">
        <f t="shared" si="7"/>
        <v>0</v>
      </c>
      <c r="AK40" s="14">
        <f t="shared" si="8"/>
        <v>0</v>
      </c>
      <c r="AM40" s="14">
        <f t="shared" si="9"/>
        <v>0</v>
      </c>
      <c r="AO40" s="14">
        <f t="shared" si="10"/>
        <v>0</v>
      </c>
      <c r="AQ40" s="14">
        <f t="shared" si="11"/>
        <v>0</v>
      </c>
      <c r="AS40" s="14">
        <f t="shared" si="12"/>
        <v>0</v>
      </c>
      <c r="AU40" s="14">
        <f t="shared" si="6"/>
        <v>0</v>
      </c>
    </row>
    <row r="41" spans="1:47" x14ac:dyDescent="0.2">
      <c r="A41" s="71"/>
      <c r="B41" s="3" t="s">
        <v>177</v>
      </c>
      <c r="C41" s="14">
        <v>0</v>
      </c>
      <c r="E41" s="14">
        <v>0</v>
      </c>
      <c r="G41" s="14">
        <v>0</v>
      </c>
      <c r="I41" s="14">
        <v>0</v>
      </c>
      <c r="K41" s="19">
        <v>0</v>
      </c>
      <c r="M41" s="19">
        <v>0</v>
      </c>
      <c r="O41" s="14">
        <v>19403.82</v>
      </c>
      <c r="Q41" s="14">
        <v>0</v>
      </c>
      <c r="S41" s="14">
        <v>0</v>
      </c>
      <c r="U41" s="14">
        <v>0</v>
      </c>
      <c r="W41" s="14">
        <v>0</v>
      </c>
      <c r="Y41" s="92"/>
      <c r="AA41" s="14">
        <v>0</v>
      </c>
      <c r="AC41" s="14">
        <v>0</v>
      </c>
      <c r="AE41" s="14">
        <v>0</v>
      </c>
      <c r="AF41" s="14">
        <v>0</v>
      </c>
      <c r="AG41" s="14">
        <v>0</v>
      </c>
      <c r="AI41" s="14">
        <f t="shared" si="7"/>
        <v>19403.82</v>
      </c>
      <c r="AK41" s="14">
        <f t="shared" si="8"/>
        <v>0</v>
      </c>
      <c r="AM41" s="14">
        <f t="shared" si="9"/>
        <v>0</v>
      </c>
      <c r="AO41" s="14">
        <f t="shared" si="10"/>
        <v>19403.82</v>
      </c>
      <c r="AQ41" s="14">
        <f t="shared" si="11"/>
        <v>0</v>
      </c>
      <c r="AS41" s="14">
        <f t="shared" si="12"/>
        <v>19403.82</v>
      </c>
      <c r="AU41" s="14">
        <f t="shared" si="6"/>
        <v>0</v>
      </c>
    </row>
    <row r="42" spans="1:47" x14ac:dyDescent="0.2">
      <c r="A42" s="71"/>
      <c r="B42" s="3" t="s">
        <v>178</v>
      </c>
      <c r="C42" s="14">
        <v>0</v>
      </c>
      <c r="E42" s="14">
        <v>0</v>
      </c>
      <c r="G42" s="14">
        <v>0</v>
      </c>
      <c r="I42" s="14">
        <v>0</v>
      </c>
      <c r="K42" s="19">
        <v>0</v>
      </c>
      <c r="M42" s="19">
        <v>0</v>
      </c>
      <c r="O42" s="14">
        <v>-19403.82</v>
      </c>
      <c r="Q42" s="14">
        <v>0</v>
      </c>
      <c r="S42" s="14">
        <v>0</v>
      </c>
      <c r="U42" s="14">
        <v>0</v>
      </c>
      <c r="W42" s="14">
        <v>0</v>
      </c>
      <c r="Y42" s="92"/>
      <c r="AA42" s="14">
        <v>0</v>
      </c>
      <c r="AC42" s="14">
        <v>0</v>
      </c>
      <c r="AE42" s="14">
        <v>0</v>
      </c>
      <c r="AF42" s="14">
        <v>0</v>
      </c>
      <c r="AG42" s="14">
        <v>0</v>
      </c>
      <c r="AI42" s="14">
        <f t="shared" si="7"/>
        <v>-19403.82</v>
      </c>
      <c r="AK42" s="14">
        <f t="shared" si="8"/>
        <v>0</v>
      </c>
      <c r="AM42" s="14">
        <f t="shared" si="9"/>
        <v>0</v>
      </c>
      <c r="AO42" s="14">
        <f t="shared" si="10"/>
        <v>-19403.82</v>
      </c>
      <c r="AQ42" s="14">
        <f t="shared" si="11"/>
        <v>0</v>
      </c>
      <c r="AS42" s="14">
        <f>SUM(AK42:AQ42)</f>
        <v>-19403.82</v>
      </c>
      <c r="AU42" s="14">
        <f>+AI42-AS42</f>
        <v>0</v>
      </c>
    </row>
    <row r="43" spans="1:47" x14ac:dyDescent="0.2">
      <c r="A43" s="71"/>
      <c r="B43" s="3" t="s">
        <v>179</v>
      </c>
      <c r="C43" s="14">
        <v>0</v>
      </c>
      <c r="E43" s="14">
        <v>0</v>
      </c>
      <c r="G43" s="14">
        <v>0</v>
      </c>
      <c r="I43" s="14">
        <v>0</v>
      </c>
      <c r="K43" s="14">
        <v>0</v>
      </c>
      <c r="M43" s="14">
        <v>0</v>
      </c>
      <c r="O43" s="14">
        <v>0</v>
      </c>
      <c r="Q43" s="14">
        <v>0</v>
      </c>
      <c r="S43" s="14">
        <v>0</v>
      </c>
      <c r="U43" s="14">
        <v>0</v>
      </c>
      <c r="W43" s="14">
        <v>0</v>
      </c>
      <c r="Y43" s="14"/>
      <c r="AA43" s="14">
        <v>0</v>
      </c>
      <c r="AC43" s="14">
        <v>0</v>
      </c>
      <c r="AE43" s="14">
        <v>0</v>
      </c>
      <c r="AF43" s="14">
        <v>0</v>
      </c>
      <c r="AG43" s="14">
        <v>0</v>
      </c>
      <c r="AI43" s="14">
        <f t="shared" si="7"/>
        <v>0</v>
      </c>
      <c r="AK43" s="14">
        <f t="shared" si="8"/>
        <v>0</v>
      </c>
      <c r="AM43" s="14">
        <f t="shared" si="9"/>
        <v>0</v>
      </c>
      <c r="AO43" s="14">
        <f t="shared" si="10"/>
        <v>0</v>
      </c>
      <c r="AQ43" s="14">
        <f t="shared" si="11"/>
        <v>0</v>
      </c>
      <c r="AS43" s="14">
        <f t="shared" si="12"/>
        <v>0</v>
      </c>
      <c r="AU43" s="14">
        <f t="shared" si="6"/>
        <v>0</v>
      </c>
    </row>
    <row r="44" spans="1:47" x14ac:dyDescent="0.2">
      <c r="A44" s="71"/>
      <c r="B44" s="3" t="s">
        <v>180</v>
      </c>
      <c r="C44" s="14">
        <v>0</v>
      </c>
      <c r="E44" s="14">
        <v>0</v>
      </c>
      <c r="G44" s="14">
        <v>0</v>
      </c>
      <c r="I44" s="14">
        <v>0</v>
      </c>
      <c r="K44" s="14">
        <v>0</v>
      </c>
      <c r="M44" s="14">
        <v>0</v>
      </c>
      <c r="O44" s="14">
        <v>0</v>
      </c>
      <c r="Q44" s="14">
        <v>0</v>
      </c>
      <c r="S44" s="14">
        <v>0</v>
      </c>
      <c r="U44" s="14">
        <v>0</v>
      </c>
      <c r="W44" s="14">
        <v>0</v>
      </c>
      <c r="Y44" s="14"/>
      <c r="AA44" s="14">
        <v>0</v>
      </c>
      <c r="AC44" s="14">
        <v>0</v>
      </c>
      <c r="AE44" s="14">
        <v>0</v>
      </c>
      <c r="AF44" s="14">
        <v>0</v>
      </c>
      <c r="AG44" s="14">
        <v>0</v>
      </c>
      <c r="AI44" s="14">
        <f t="shared" si="7"/>
        <v>0</v>
      </c>
      <c r="AK44" s="14">
        <f t="shared" si="8"/>
        <v>0</v>
      </c>
      <c r="AM44" s="14">
        <f t="shared" si="9"/>
        <v>0</v>
      </c>
      <c r="AO44" s="14">
        <f t="shared" si="10"/>
        <v>0</v>
      </c>
      <c r="AQ44" s="14">
        <f t="shared" si="11"/>
        <v>0</v>
      </c>
      <c r="AS44" s="14">
        <f t="shared" si="12"/>
        <v>0</v>
      </c>
      <c r="AU44" s="14">
        <f t="shared" si="6"/>
        <v>0</v>
      </c>
    </row>
    <row r="45" spans="1:47" x14ac:dyDescent="0.2">
      <c r="A45" s="71"/>
      <c r="B45" s="3" t="s">
        <v>181</v>
      </c>
      <c r="C45" s="14">
        <v>0</v>
      </c>
      <c r="E45" s="14">
        <v>0</v>
      </c>
      <c r="G45" s="14">
        <v>0</v>
      </c>
      <c r="I45" s="14">
        <v>0</v>
      </c>
      <c r="K45" s="14">
        <v>0</v>
      </c>
      <c r="M45" s="14">
        <v>0</v>
      </c>
      <c r="O45" s="14">
        <v>0</v>
      </c>
      <c r="Q45" s="14">
        <v>0</v>
      </c>
      <c r="S45" s="14">
        <v>0</v>
      </c>
      <c r="U45" s="14">
        <v>0</v>
      </c>
      <c r="W45" s="14">
        <v>0</v>
      </c>
      <c r="Y45" s="14"/>
      <c r="AA45" s="14">
        <v>0</v>
      </c>
      <c r="AC45" s="14">
        <v>0</v>
      </c>
      <c r="AE45" s="14">
        <v>0</v>
      </c>
      <c r="AF45" s="14">
        <v>0</v>
      </c>
      <c r="AG45" s="14">
        <v>0</v>
      </c>
      <c r="AI45" s="14">
        <f t="shared" si="7"/>
        <v>0</v>
      </c>
      <c r="AK45" s="14">
        <f t="shared" si="8"/>
        <v>0</v>
      </c>
      <c r="AM45" s="14">
        <f t="shared" si="9"/>
        <v>0</v>
      </c>
      <c r="AO45" s="14">
        <f t="shared" si="10"/>
        <v>0</v>
      </c>
      <c r="AQ45" s="14">
        <f t="shared" si="11"/>
        <v>0</v>
      </c>
      <c r="AS45" s="14">
        <f t="shared" si="12"/>
        <v>0</v>
      </c>
      <c r="AU45" s="14">
        <f t="shared" si="6"/>
        <v>0</v>
      </c>
    </row>
    <row r="46" spans="1:47" x14ac:dyDescent="0.2">
      <c r="A46" s="71"/>
      <c r="B46" s="3" t="s">
        <v>182</v>
      </c>
      <c r="C46" s="14">
        <v>0</v>
      </c>
      <c r="E46" s="14">
        <v>0</v>
      </c>
      <c r="G46" s="14">
        <v>0</v>
      </c>
      <c r="I46" s="14">
        <v>0</v>
      </c>
      <c r="K46" s="14">
        <v>0</v>
      </c>
      <c r="M46" s="14">
        <v>0</v>
      </c>
      <c r="O46" s="14">
        <v>0</v>
      </c>
      <c r="Q46" s="14">
        <v>0</v>
      </c>
      <c r="S46" s="14">
        <v>0</v>
      </c>
      <c r="U46" s="14">
        <v>0</v>
      </c>
      <c r="W46" s="14">
        <v>0</v>
      </c>
      <c r="Y46" s="14"/>
      <c r="AA46" s="14">
        <v>0</v>
      </c>
      <c r="AC46" s="14">
        <v>0</v>
      </c>
      <c r="AE46" s="14">
        <v>0</v>
      </c>
      <c r="AF46" s="14">
        <v>0</v>
      </c>
      <c r="AG46" s="14">
        <v>0</v>
      </c>
      <c r="AI46" s="14">
        <f t="shared" si="7"/>
        <v>0</v>
      </c>
      <c r="AK46" s="14">
        <f t="shared" si="8"/>
        <v>0</v>
      </c>
      <c r="AM46" s="14">
        <f t="shared" si="9"/>
        <v>0</v>
      </c>
      <c r="AO46" s="14">
        <f t="shared" si="10"/>
        <v>0</v>
      </c>
      <c r="AQ46" s="14">
        <f t="shared" si="11"/>
        <v>0</v>
      </c>
      <c r="AS46" s="14">
        <f t="shared" si="12"/>
        <v>0</v>
      </c>
      <c r="AU46" s="14">
        <f t="shared" si="6"/>
        <v>0</v>
      </c>
    </row>
    <row r="47" spans="1:47" x14ac:dyDescent="0.2">
      <c r="A47" s="71"/>
      <c r="B47" s="43" t="s">
        <v>183</v>
      </c>
      <c r="C47" s="14">
        <v>0</v>
      </c>
      <c r="E47" s="14">
        <v>0</v>
      </c>
      <c r="G47" s="14">
        <v>0</v>
      </c>
      <c r="I47" s="14">
        <v>0</v>
      </c>
      <c r="K47" s="14">
        <v>0</v>
      </c>
      <c r="M47" s="14">
        <v>0</v>
      </c>
      <c r="O47" s="14">
        <v>0</v>
      </c>
      <c r="Q47" s="14">
        <v>0</v>
      </c>
      <c r="S47" s="14">
        <v>0</v>
      </c>
      <c r="U47" s="14">
        <v>0</v>
      </c>
      <c r="W47" s="14">
        <v>0</v>
      </c>
      <c r="Y47" s="74"/>
      <c r="AA47" s="14">
        <v>0</v>
      </c>
      <c r="AC47" s="14">
        <v>0</v>
      </c>
      <c r="AE47" s="14">
        <v>0</v>
      </c>
      <c r="AF47" s="14">
        <v>0</v>
      </c>
      <c r="AG47" s="14">
        <v>0</v>
      </c>
      <c r="AI47" s="14">
        <f t="shared" si="7"/>
        <v>0</v>
      </c>
      <c r="AK47" s="14">
        <f t="shared" si="8"/>
        <v>0</v>
      </c>
      <c r="AM47" s="14">
        <f t="shared" si="9"/>
        <v>0</v>
      </c>
      <c r="AO47" s="14">
        <f t="shared" si="10"/>
        <v>0</v>
      </c>
      <c r="AQ47" s="14">
        <f t="shared" si="11"/>
        <v>0</v>
      </c>
      <c r="AS47" s="14">
        <f t="shared" si="12"/>
        <v>0</v>
      </c>
      <c r="AU47" s="14">
        <f t="shared" si="6"/>
        <v>0</v>
      </c>
    </row>
    <row r="48" spans="1:47" x14ac:dyDescent="0.2">
      <c r="A48" s="71"/>
      <c r="B48" s="43" t="s">
        <v>184</v>
      </c>
      <c r="C48" s="14">
        <v>0</v>
      </c>
      <c r="E48" s="14">
        <v>0</v>
      </c>
      <c r="G48" s="14">
        <v>0</v>
      </c>
      <c r="I48" s="14">
        <v>0</v>
      </c>
      <c r="K48" s="14">
        <v>0</v>
      </c>
      <c r="M48" s="14">
        <v>0</v>
      </c>
      <c r="O48" s="14">
        <v>0</v>
      </c>
      <c r="Q48" s="14">
        <v>0</v>
      </c>
      <c r="S48" s="14">
        <v>0</v>
      </c>
      <c r="U48" s="14">
        <v>0</v>
      </c>
      <c r="W48" s="14">
        <v>0</v>
      </c>
      <c r="Y48" s="74"/>
      <c r="AA48" s="14">
        <v>0</v>
      </c>
      <c r="AC48" s="14">
        <v>0</v>
      </c>
      <c r="AE48" s="14">
        <v>0</v>
      </c>
      <c r="AF48" s="14">
        <v>0</v>
      </c>
      <c r="AG48" s="14">
        <v>0</v>
      </c>
      <c r="AI48" s="14">
        <f t="shared" si="7"/>
        <v>0</v>
      </c>
      <c r="AK48" s="14">
        <f t="shared" si="8"/>
        <v>0</v>
      </c>
      <c r="AM48" s="14">
        <f t="shared" si="9"/>
        <v>0</v>
      </c>
      <c r="AO48" s="14">
        <f t="shared" si="10"/>
        <v>0</v>
      </c>
      <c r="AQ48" s="14">
        <f t="shared" si="11"/>
        <v>0</v>
      </c>
      <c r="AS48" s="14">
        <f t="shared" si="12"/>
        <v>0</v>
      </c>
      <c r="AU48" s="14">
        <f t="shared" si="6"/>
        <v>0</v>
      </c>
    </row>
    <row r="49" spans="1:47" x14ac:dyDescent="0.2">
      <c r="A49" s="71"/>
      <c r="B49" s="3" t="s">
        <v>185</v>
      </c>
      <c r="C49" s="14">
        <v>0</v>
      </c>
      <c r="E49" s="14">
        <v>0</v>
      </c>
      <c r="G49" s="14">
        <v>0</v>
      </c>
      <c r="I49" s="14">
        <v>0</v>
      </c>
      <c r="K49" s="14">
        <v>0</v>
      </c>
      <c r="M49" s="14">
        <v>0</v>
      </c>
      <c r="O49" s="14">
        <v>0</v>
      </c>
      <c r="Q49" s="14">
        <v>0</v>
      </c>
      <c r="S49" s="14">
        <v>0</v>
      </c>
      <c r="U49" s="14">
        <v>0</v>
      </c>
      <c r="W49" s="14">
        <v>0</v>
      </c>
      <c r="Y49" s="74"/>
      <c r="AA49" s="14">
        <v>0</v>
      </c>
      <c r="AC49" s="14">
        <v>0</v>
      </c>
      <c r="AE49" s="14">
        <v>0</v>
      </c>
      <c r="AF49" s="14">
        <v>0</v>
      </c>
      <c r="AG49" s="14">
        <v>0</v>
      </c>
      <c r="AI49" s="14">
        <f t="shared" si="7"/>
        <v>0</v>
      </c>
      <c r="AK49" s="14">
        <f t="shared" si="8"/>
        <v>0</v>
      </c>
      <c r="AM49" s="14">
        <f t="shared" si="9"/>
        <v>0</v>
      </c>
      <c r="AO49" s="14">
        <f t="shared" si="10"/>
        <v>0</v>
      </c>
      <c r="AQ49" s="14">
        <f t="shared" si="11"/>
        <v>0</v>
      </c>
      <c r="AS49" s="14">
        <f t="shared" si="12"/>
        <v>0</v>
      </c>
      <c r="AU49" s="14">
        <f t="shared" si="6"/>
        <v>0</v>
      </c>
    </row>
    <row r="50" spans="1:47" x14ac:dyDescent="0.2">
      <c r="A50" s="71"/>
      <c r="B50" s="3" t="s">
        <v>186</v>
      </c>
      <c r="C50" s="14">
        <v>0</v>
      </c>
      <c r="E50" s="14">
        <v>0</v>
      </c>
      <c r="G50" s="14">
        <v>0</v>
      </c>
      <c r="I50" s="14">
        <v>0</v>
      </c>
      <c r="K50" s="14">
        <v>0</v>
      </c>
      <c r="M50" s="14">
        <v>0</v>
      </c>
      <c r="O50" s="14">
        <v>0</v>
      </c>
      <c r="Q50" s="14">
        <v>0</v>
      </c>
      <c r="S50" s="14">
        <v>0</v>
      </c>
      <c r="U50" s="14">
        <v>0</v>
      </c>
      <c r="W50" s="14">
        <v>0</v>
      </c>
      <c r="Y50" s="14">
        <v>0</v>
      </c>
      <c r="AA50" s="14">
        <v>0</v>
      </c>
      <c r="AC50" s="14">
        <v>0</v>
      </c>
      <c r="AE50" s="14">
        <v>0</v>
      </c>
      <c r="AF50" s="14">
        <v>0</v>
      </c>
      <c r="AG50" s="14">
        <v>0</v>
      </c>
      <c r="AI50" s="16">
        <f t="shared" si="7"/>
        <v>0</v>
      </c>
      <c r="AK50" s="14">
        <f t="shared" si="8"/>
        <v>0</v>
      </c>
      <c r="AM50" s="14">
        <f t="shared" si="9"/>
        <v>0</v>
      </c>
      <c r="AO50" s="14">
        <f t="shared" si="10"/>
        <v>0</v>
      </c>
      <c r="AQ50" s="14">
        <f t="shared" si="11"/>
        <v>0</v>
      </c>
      <c r="AS50" s="14">
        <f t="shared" si="12"/>
        <v>0</v>
      </c>
      <c r="AU50" s="14">
        <f t="shared" si="6"/>
        <v>0</v>
      </c>
    </row>
    <row r="51" spans="1:47" x14ac:dyDescent="0.2">
      <c r="A51" s="71"/>
      <c r="B51" s="12" t="s">
        <v>187</v>
      </c>
      <c r="C51" s="18">
        <f>SUM(C34:C50)</f>
        <v>0</v>
      </c>
      <c r="E51" s="18">
        <f>SUM(E34:E50)</f>
        <v>0</v>
      </c>
      <c r="G51" s="18">
        <f>SUM(G34:G50)</f>
        <v>0</v>
      </c>
      <c r="I51" s="18">
        <f>SUM(I34:I50)</f>
        <v>0</v>
      </c>
      <c r="K51" s="18">
        <f>SUM(K34:K50)</f>
        <v>0</v>
      </c>
      <c r="M51" s="18">
        <f>SUM(M34:M50)</f>
        <v>0</v>
      </c>
      <c r="O51" s="18">
        <f>SUM(O34:O50)</f>
        <v>0</v>
      </c>
      <c r="Q51" s="18">
        <f>SUM(Q34:Q50)</f>
        <v>0</v>
      </c>
      <c r="S51" s="18">
        <f>SUM(S34:S50)</f>
        <v>0</v>
      </c>
      <c r="U51" s="18">
        <f>SUM(U34:U50)</f>
        <v>0</v>
      </c>
      <c r="W51" s="18">
        <f>SUM(W34:W50)</f>
        <v>0</v>
      </c>
      <c r="Y51" s="18">
        <f>SUM(Y34:Y50)</f>
        <v>0</v>
      </c>
      <c r="AA51" s="18">
        <f>SUM(AA34:AA50)</f>
        <v>0</v>
      </c>
      <c r="AC51" s="18">
        <f>SUM(AC34:AC50)</f>
        <v>0</v>
      </c>
      <c r="AE51" s="18">
        <f>SUM(AE34:AE50)</f>
        <v>0</v>
      </c>
      <c r="AF51" s="18">
        <f>SUM(AF34:AF50)</f>
        <v>0</v>
      </c>
      <c r="AG51" s="18">
        <f>SUM(AG34:AG50)</f>
        <v>0</v>
      </c>
      <c r="AI51" s="18">
        <f>SUM(AI34:AI50)</f>
        <v>0</v>
      </c>
      <c r="AK51" s="18">
        <f>SUM(AK34:AK50)</f>
        <v>0</v>
      </c>
      <c r="AM51" s="18">
        <f>SUM(AM34:AM50)</f>
        <v>0</v>
      </c>
      <c r="AO51" s="18">
        <f>SUM(AO34:AO50)</f>
        <v>0</v>
      </c>
      <c r="AQ51" s="18">
        <f>SUM(AQ34:AQ50)</f>
        <v>0</v>
      </c>
      <c r="AS51" s="18">
        <f>SUM(AS34:AS50)</f>
        <v>0</v>
      </c>
      <c r="AU51" s="18">
        <f t="shared" si="6"/>
        <v>0</v>
      </c>
    </row>
    <row r="52" spans="1:47" x14ac:dyDescent="0.2">
      <c r="A52" s="71"/>
      <c r="C52" s="14"/>
      <c r="E52" s="14"/>
      <c r="G52" s="14"/>
      <c r="I52" s="14"/>
      <c r="K52" s="14"/>
      <c r="M52" s="14"/>
      <c r="O52" s="14"/>
      <c r="Q52" s="14"/>
      <c r="S52" s="14"/>
      <c r="U52" s="14"/>
      <c r="W52" s="14"/>
      <c r="Y52" s="14"/>
      <c r="AA52" s="14"/>
      <c r="AC52" s="14"/>
      <c r="AE52" s="14"/>
      <c r="AF52" s="14"/>
      <c r="AG52" s="14"/>
      <c r="AI52" s="14"/>
      <c r="AK52" s="14"/>
      <c r="AM52" s="14"/>
      <c r="AO52" s="14"/>
      <c r="AQ52" s="14"/>
      <c r="AS52" s="14"/>
      <c r="AU52" s="14"/>
    </row>
    <row r="53" spans="1:47" x14ac:dyDescent="0.2">
      <c r="A53" s="71"/>
      <c r="B53" s="12" t="s">
        <v>14</v>
      </c>
      <c r="C53" s="14"/>
      <c r="E53" s="14"/>
      <c r="G53" s="14"/>
      <c r="I53" s="14"/>
      <c r="K53" s="14"/>
      <c r="M53" s="14"/>
      <c r="O53" s="14"/>
      <c r="Q53" s="14"/>
      <c r="S53" s="14"/>
      <c r="U53" s="14"/>
      <c r="W53" s="14"/>
      <c r="Y53" s="14"/>
      <c r="AA53" s="14"/>
      <c r="AC53" s="14"/>
      <c r="AE53" s="14"/>
      <c r="AF53" s="14"/>
      <c r="AG53" s="14"/>
      <c r="AI53" s="14"/>
      <c r="AK53" s="14"/>
      <c r="AM53" s="14"/>
      <c r="AO53" s="14"/>
      <c r="AQ53" s="14"/>
      <c r="AS53" s="14"/>
      <c r="AU53" s="14"/>
    </row>
    <row r="54" spans="1:47" x14ac:dyDescent="0.2">
      <c r="A54" s="71"/>
      <c r="B54" s="43" t="s">
        <v>188</v>
      </c>
      <c r="C54" s="14">
        <v>0</v>
      </c>
      <c r="E54" s="14">
        <v>0</v>
      </c>
      <c r="G54" s="14">
        <v>0</v>
      </c>
      <c r="I54" s="14">
        <v>0</v>
      </c>
      <c r="K54" s="14">
        <v>0</v>
      </c>
      <c r="M54" s="14">
        <v>0</v>
      </c>
      <c r="O54" s="14">
        <v>0</v>
      </c>
      <c r="Q54" s="14">
        <v>0</v>
      </c>
      <c r="S54" s="14">
        <v>0</v>
      </c>
      <c r="U54" s="14">
        <v>0</v>
      </c>
      <c r="W54" s="14">
        <v>0</v>
      </c>
      <c r="Y54" s="14">
        <v>0</v>
      </c>
      <c r="AA54" s="14">
        <v>0</v>
      </c>
      <c r="AC54" s="14">
        <v>0</v>
      </c>
      <c r="AE54" s="14">
        <v>0</v>
      </c>
      <c r="AF54" s="14">
        <v>0</v>
      </c>
      <c r="AG54" s="14">
        <v>0</v>
      </c>
      <c r="AI54" s="17">
        <f t="shared" ref="AI54:AI61" si="13">SUM(C54:AF54)</f>
        <v>0</v>
      </c>
      <c r="AK54" s="14">
        <f t="shared" ref="AK54:AK61" si="14">SUMIF($C$9:$AH$9,"=Addition",$C54:$AH54)</f>
        <v>0</v>
      </c>
      <c r="AM54" s="14">
        <f t="shared" ref="AM54:AM61" si="15">SUMIF($C$9:$AH$9,"=Adjustment",$C54:$AH54)</f>
        <v>0</v>
      </c>
      <c r="AO54" s="14">
        <f t="shared" ref="AO54:AO61" si="16">SUMIF($C$9:$AH$9,"=Transfer",$C54:$AH54)</f>
        <v>0</v>
      </c>
      <c r="AQ54" s="14">
        <f t="shared" ref="AQ54:AQ61" si="17">SUMIF($C$9:$Z$9,"=N/A",$C54:$Z54)</f>
        <v>0</v>
      </c>
      <c r="AS54" s="14">
        <f t="shared" ref="AS54:AS61" si="18">SUM(AK54:AQ54)</f>
        <v>0</v>
      </c>
      <c r="AU54" s="14">
        <f t="shared" si="6"/>
        <v>0</v>
      </c>
    </row>
    <row r="55" spans="1:47" x14ac:dyDescent="0.2">
      <c r="A55" s="71"/>
      <c r="B55" s="3" t="s">
        <v>189</v>
      </c>
      <c r="C55" s="14">
        <v>0</v>
      </c>
      <c r="E55" s="14">
        <v>0</v>
      </c>
      <c r="G55" s="14">
        <v>0</v>
      </c>
      <c r="I55" s="14">
        <v>0</v>
      </c>
      <c r="K55" s="14">
        <v>0</v>
      </c>
      <c r="M55" s="14">
        <v>0</v>
      </c>
      <c r="O55" s="14">
        <v>0</v>
      </c>
      <c r="Q55" s="14">
        <v>0</v>
      </c>
      <c r="S55" s="14">
        <v>0</v>
      </c>
      <c r="U55" s="14">
        <v>0</v>
      </c>
      <c r="W55" s="14">
        <v>0</v>
      </c>
      <c r="Y55" s="14">
        <v>0</v>
      </c>
      <c r="AA55" s="14">
        <v>0</v>
      </c>
      <c r="AC55" s="14">
        <v>0</v>
      </c>
      <c r="AE55" s="14">
        <v>0</v>
      </c>
      <c r="AF55" s="14">
        <v>0</v>
      </c>
      <c r="AG55" s="14">
        <v>0</v>
      </c>
      <c r="AI55" s="17">
        <f t="shared" si="13"/>
        <v>0</v>
      </c>
      <c r="AK55" s="14">
        <f t="shared" si="14"/>
        <v>0</v>
      </c>
      <c r="AM55" s="14">
        <f t="shared" si="15"/>
        <v>0</v>
      </c>
      <c r="AO55" s="14">
        <f t="shared" si="16"/>
        <v>0</v>
      </c>
      <c r="AQ55" s="14">
        <f t="shared" si="17"/>
        <v>0</v>
      </c>
      <c r="AS55" s="14">
        <f t="shared" si="18"/>
        <v>0</v>
      </c>
      <c r="AU55" s="14">
        <f t="shared" si="6"/>
        <v>0</v>
      </c>
    </row>
    <row r="56" spans="1:47" x14ac:dyDescent="0.2">
      <c r="A56" s="71"/>
      <c r="B56" s="3" t="s">
        <v>190</v>
      </c>
      <c r="C56" s="14">
        <v>0</v>
      </c>
      <c r="E56" s="14">
        <v>0</v>
      </c>
      <c r="G56" s="14">
        <v>0</v>
      </c>
      <c r="I56" s="14">
        <v>0</v>
      </c>
      <c r="K56" s="14">
        <v>0</v>
      </c>
      <c r="M56" s="14">
        <v>0</v>
      </c>
      <c r="O56" s="14">
        <v>0</v>
      </c>
      <c r="Q56" s="14">
        <v>0</v>
      </c>
      <c r="S56" s="14">
        <v>0</v>
      </c>
      <c r="U56" s="14">
        <v>0</v>
      </c>
      <c r="W56" s="14">
        <v>0</v>
      </c>
      <c r="Y56" s="14">
        <v>0</v>
      </c>
      <c r="AA56" s="14">
        <v>0</v>
      </c>
      <c r="AC56" s="14">
        <v>0</v>
      </c>
      <c r="AE56" s="14">
        <v>0</v>
      </c>
      <c r="AF56" s="14">
        <v>0</v>
      </c>
      <c r="AG56" s="14">
        <v>0</v>
      </c>
      <c r="AI56" s="17">
        <f t="shared" si="13"/>
        <v>0</v>
      </c>
      <c r="AK56" s="14">
        <f t="shared" si="14"/>
        <v>0</v>
      </c>
      <c r="AM56" s="14">
        <f t="shared" si="15"/>
        <v>0</v>
      </c>
      <c r="AO56" s="14">
        <f t="shared" si="16"/>
        <v>0</v>
      </c>
      <c r="AQ56" s="14">
        <f t="shared" si="17"/>
        <v>0</v>
      </c>
      <c r="AS56" s="14">
        <f t="shared" si="18"/>
        <v>0</v>
      </c>
      <c r="AU56" s="14">
        <f t="shared" si="6"/>
        <v>0</v>
      </c>
    </row>
    <row r="57" spans="1:47" x14ac:dyDescent="0.2">
      <c r="A57" s="71"/>
      <c r="B57" s="3" t="s">
        <v>191</v>
      </c>
      <c r="C57" s="14">
        <v>0</v>
      </c>
      <c r="E57" s="14">
        <v>0</v>
      </c>
      <c r="G57" s="14">
        <v>0</v>
      </c>
      <c r="I57" s="14">
        <v>0</v>
      </c>
      <c r="K57" s="14">
        <v>0</v>
      </c>
      <c r="M57" s="14">
        <v>0</v>
      </c>
      <c r="O57" s="14">
        <v>0</v>
      </c>
      <c r="Q57" s="14">
        <v>0</v>
      </c>
      <c r="S57" s="14">
        <v>0</v>
      </c>
      <c r="U57" s="14">
        <v>0</v>
      </c>
      <c r="W57" s="14">
        <v>0</v>
      </c>
      <c r="Y57" s="14">
        <v>0</v>
      </c>
      <c r="AA57" s="14">
        <v>0</v>
      </c>
      <c r="AC57" s="14">
        <v>0</v>
      </c>
      <c r="AE57" s="14">
        <v>0</v>
      </c>
      <c r="AF57" s="14">
        <v>0</v>
      </c>
      <c r="AG57" s="14">
        <v>0</v>
      </c>
      <c r="AI57" s="17">
        <f t="shared" si="13"/>
        <v>0</v>
      </c>
      <c r="AK57" s="14">
        <f t="shared" si="14"/>
        <v>0</v>
      </c>
      <c r="AM57" s="14">
        <f t="shared" si="15"/>
        <v>0</v>
      </c>
      <c r="AO57" s="14">
        <f t="shared" si="16"/>
        <v>0</v>
      </c>
      <c r="AQ57" s="14">
        <f t="shared" si="17"/>
        <v>0</v>
      </c>
      <c r="AS57" s="14">
        <f t="shared" si="18"/>
        <v>0</v>
      </c>
      <c r="AU57" s="14">
        <f t="shared" si="6"/>
        <v>0</v>
      </c>
    </row>
    <row r="58" spans="1:47" x14ac:dyDescent="0.2">
      <c r="A58" s="71"/>
      <c r="B58" s="3" t="s">
        <v>192</v>
      </c>
      <c r="C58" s="14">
        <v>0</v>
      </c>
      <c r="E58" s="14">
        <v>0</v>
      </c>
      <c r="G58" s="14">
        <v>0</v>
      </c>
      <c r="I58" s="14">
        <v>0</v>
      </c>
      <c r="K58" s="14">
        <v>0</v>
      </c>
      <c r="M58" s="14">
        <v>0</v>
      </c>
      <c r="O58" s="14">
        <v>0</v>
      </c>
      <c r="Q58" s="14">
        <v>0</v>
      </c>
      <c r="S58" s="14">
        <v>0</v>
      </c>
      <c r="U58" s="14">
        <v>0</v>
      </c>
      <c r="W58" s="14">
        <v>0</v>
      </c>
      <c r="Y58" s="14">
        <v>0</v>
      </c>
      <c r="AA58" s="14">
        <v>0</v>
      </c>
      <c r="AC58" s="14">
        <v>0</v>
      </c>
      <c r="AE58" s="14">
        <v>0</v>
      </c>
      <c r="AF58" s="14">
        <v>0</v>
      </c>
      <c r="AG58" s="14">
        <v>0</v>
      </c>
      <c r="AI58" s="17">
        <f t="shared" si="13"/>
        <v>0</v>
      </c>
      <c r="AK58" s="14">
        <f t="shared" si="14"/>
        <v>0</v>
      </c>
      <c r="AM58" s="14">
        <f t="shared" si="15"/>
        <v>0</v>
      </c>
      <c r="AO58" s="14">
        <f t="shared" si="16"/>
        <v>0</v>
      </c>
      <c r="AQ58" s="14">
        <f t="shared" si="17"/>
        <v>0</v>
      </c>
      <c r="AS58" s="14">
        <f t="shared" si="18"/>
        <v>0</v>
      </c>
      <c r="AU58" s="14">
        <f t="shared" si="6"/>
        <v>0</v>
      </c>
    </row>
    <row r="59" spans="1:47" x14ac:dyDescent="0.2">
      <c r="A59" s="71"/>
      <c r="B59" s="3" t="s">
        <v>193</v>
      </c>
      <c r="C59" s="14">
        <v>0</v>
      </c>
      <c r="E59" s="14">
        <v>0</v>
      </c>
      <c r="G59" s="14">
        <v>0</v>
      </c>
      <c r="I59" s="14">
        <v>0</v>
      </c>
      <c r="K59" s="14">
        <v>0</v>
      </c>
      <c r="M59" s="14">
        <v>0</v>
      </c>
      <c r="O59" s="14">
        <v>0</v>
      </c>
      <c r="Q59" s="14">
        <v>0</v>
      </c>
      <c r="S59" s="14">
        <v>0</v>
      </c>
      <c r="U59" s="14">
        <v>0</v>
      </c>
      <c r="W59" s="14">
        <v>0</v>
      </c>
      <c r="Y59" s="14">
        <v>0</v>
      </c>
      <c r="AA59" s="14">
        <v>0</v>
      </c>
      <c r="AC59" s="14">
        <v>0</v>
      </c>
      <c r="AE59" s="14">
        <v>0</v>
      </c>
      <c r="AF59" s="14">
        <v>0</v>
      </c>
      <c r="AG59" s="14">
        <v>0</v>
      </c>
      <c r="AI59" s="17">
        <f t="shared" si="13"/>
        <v>0</v>
      </c>
      <c r="AK59" s="14">
        <f t="shared" si="14"/>
        <v>0</v>
      </c>
      <c r="AM59" s="14">
        <f t="shared" si="15"/>
        <v>0</v>
      </c>
      <c r="AO59" s="14">
        <f t="shared" si="16"/>
        <v>0</v>
      </c>
      <c r="AQ59" s="14">
        <f t="shared" si="17"/>
        <v>0</v>
      </c>
      <c r="AS59" s="14">
        <f t="shared" si="18"/>
        <v>0</v>
      </c>
      <c r="AU59" s="14">
        <f t="shared" si="6"/>
        <v>0</v>
      </c>
    </row>
    <row r="60" spans="1:47" x14ac:dyDescent="0.2">
      <c r="A60" s="71"/>
      <c r="B60" s="3" t="s">
        <v>194</v>
      </c>
      <c r="C60" s="14">
        <v>0</v>
      </c>
      <c r="E60" s="14">
        <v>0</v>
      </c>
      <c r="G60" s="14">
        <v>0</v>
      </c>
      <c r="I60" s="14">
        <v>0</v>
      </c>
      <c r="K60" s="14">
        <v>0</v>
      </c>
      <c r="M60" s="14">
        <v>0</v>
      </c>
      <c r="O60" s="14">
        <v>0</v>
      </c>
      <c r="Q60" s="14">
        <v>0</v>
      </c>
      <c r="S60" s="14">
        <v>0</v>
      </c>
      <c r="U60" s="14">
        <v>0</v>
      </c>
      <c r="W60" s="14">
        <v>0</v>
      </c>
      <c r="Y60" s="14">
        <v>0</v>
      </c>
      <c r="AA60" s="14">
        <v>0</v>
      </c>
      <c r="AC60" s="14">
        <v>0</v>
      </c>
      <c r="AE60" s="14">
        <v>0</v>
      </c>
      <c r="AF60" s="14">
        <v>0</v>
      </c>
      <c r="AG60" s="14">
        <v>0</v>
      </c>
      <c r="AI60" s="17">
        <f t="shared" si="13"/>
        <v>0</v>
      </c>
      <c r="AK60" s="14">
        <f t="shared" si="14"/>
        <v>0</v>
      </c>
      <c r="AM60" s="14">
        <f t="shared" si="15"/>
        <v>0</v>
      </c>
      <c r="AO60" s="14">
        <f t="shared" si="16"/>
        <v>0</v>
      </c>
      <c r="AQ60" s="14">
        <f t="shared" si="17"/>
        <v>0</v>
      </c>
      <c r="AS60" s="14">
        <f t="shared" si="18"/>
        <v>0</v>
      </c>
      <c r="AU60" s="14">
        <f t="shared" si="6"/>
        <v>0</v>
      </c>
    </row>
    <row r="61" spans="1:47" x14ac:dyDescent="0.2">
      <c r="A61" s="71"/>
      <c r="B61" s="3" t="s">
        <v>195</v>
      </c>
      <c r="C61" s="14">
        <v>0</v>
      </c>
      <c r="E61" s="14">
        <v>0</v>
      </c>
      <c r="G61" s="14">
        <v>0</v>
      </c>
      <c r="I61" s="14">
        <v>0</v>
      </c>
      <c r="K61" s="14">
        <v>0</v>
      </c>
      <c r="M61" s="14">
        <v>0</v>
      </c>
      <c r="O61" s="14">
        <v>0</v>
      </c>
      <c r="Q61" s="14">
        <v>0</v>
      </c>
      <c r="S61" s="14">
        <v>0</v>
      </c>
      <c r="U61" s="14">
        <v>0</v>
      </c>
      <c r="W61" s="14"/>
      <c r="Y61" s="14">
        <v>0</v>
      </c>
      <c r="AA61" s="14">
        <v>0</v>
      </c>
      <c r="AC61" s="14">
        <v>457959.79</v>
      </c>
      <c r="AE61" s="14">
        <v>0</v>
      </c>
      <c r="AF61" s="14">
        <v>0</v>
      </c>
      <c r="AG61" s="14">
        <v>0</v>
      </c>
      <c r="AI61" s="16">
        <f t="shared" si="13"/>
        <v>457959.79</v>
      </c>
      <c r="AK61" s="14">
        <f t="shared" si="14"/>
        <v>457959.79</v>
      </c>
      <c r="AM61" s="14">
        <f t="shared" si="15"/>
        <v>0</v>
      </c>
      <c r="AO61" s="14">
        <f t="shared" si="16"/>
        <v>0</v>
      </c>
      <c r="AQ61" s="14">
        <f t="shared" si="17"/>
        <v>0</v>
      </c>
      <c r="AS61" s="14">
        <f t="shared" si="18"/>
        <v>457959.79</v>
      </c>
      <c r="AU61" s="14">
        <f t="shared" si="6"/>
        <v>0</v>
      </c>
    </row>
    <row r="62" spans="1:47" x14ac:dyDescent="0.2">
      <c r="A62" s="71"/>
      <c r="B62" s="12" t="s">
        <v>196</v>
      </c>
      <c r="C62" s="18">
        <f>SUM(C54:C61)</f>
        <v>0</v>
      </c>
      <c r="E62" s="18">
        <f>SUM(E54:E61)</f>
        <v>0</v>
      </c>
      <c r="G62" s="18">
        <f>SUM(G54:G61)</f>
        <v>0</v>
      </c>
      <c r="I62" s="18">
        <f>SUM(I54:I61)</f>
        <v>0</v>
      </c>
      <c r="K62" s="18">
        <f>SUM(K54:K61)</f>
        <v>0</v>
      </c>
      <c r="M62" s="18">
        <f>SUM(M54:M61)</f>
        <v>0</v>
      </c>
      <c r="O62" s="18">
        <f>SUM(O54:O61)</f>
        <v>0</v>
      </c>
      <c r="Q62" s="18">
        <f>SUM(Q54:Q61)</f>
        <v>0</v>
      </c>
      <c r="S62" s="18">
        <f>SUM(S54:S61)</f>
        <v>0</v>
      </c>
      <c r="U62" s="18">
        <f>SUM(U54:U61)</f>
        <v>0</v>
      </c>
      <c r="W62" s="18">
        <f>SUM(W54:W61)</f>
        <v>0</v>
      </c>
      <c r="Y62" s="18">
        <f>SUM(Y54:Y61)</f>
        <v>0</v>
      </c>
      <c r="AA62" s="18">
        <f>SUM(AA54:AA61)</f>
        <v>0</v>
      </c>
      <c r="AC62" s="18">
        <f>SUM(AC54:AC61)</f>
        <v>457959.79</v>
      </c>
      <c r="AE62" s="18">
        <f>SUM(AE54:AE61)</f>
        <v>0</v>
      </c>
      <c r="AF62" s="18">
        <f>SUM(AF54:AF61)</f>
        <v>0</v>
      </c>
      <c r="AG62" s="18">
        <f>SUM(AG54:AG61)</f>
        <v>0</v>
      </c>
      <c r="AI62" s="18">
        <f>SUM(AI54:AI61)</f>
        <v>457959.79</v>
      </c>
      <c r="AK62" s="18">
        <f>SUM(AK54:AK61)</f>
        <v>457959.79</v>
      </c>
      <c r="AM62" s="18">
        <f>SUM(AM54:AM61)</f>
        <v>0</v>
      </c>
      <c r="AO62" s="18">
        <f>SUM(AO54:AO61)</f>
        <v>0</v>
      </c>
      <c r="AQ62" s="18">
        <f>SUM(AQ54:AQ61)</f>
        <v>0</v>
      </c>
      <c r="AS62" s="18">
        <f>SUM(AS54:AS61)</f>
        <v>457959.79</v>
      </c>
      <c r="AU62" s="18">
        <f t="shared" si="6"/>
        <v>0</v>
      </c>
    </row>
    <row r="63" spans="1:47" x14ac:dyDescent="0.2">
      <c r="A63" s="71"/>
      <c r="C63" s="14"/>
      <c r="E63" s="14"/>
      <c r="G63" s="14"/>
      <c r="I63" s="14"/>
      <c r="K63" s="14"/>
      <c r="M63" s="14"/>
      <c r="O63" s="14"/>
      <c r="Q63" s="14"/>
      <c r="S63" s="14"/>
      <c r="U63" s="14"/>
      <c r="W63" s="14"/>
      <c r="Y63" s="14"/>
      <c r="AA63" s="14"/>
      <c r="AC63" s="14"/>
      <c r="AE63" s="14"/>
      <c r="AF63" s="14"/>
      <c r="AG63" s="14"/>
      <c r="AI63" s="14"/>
      <c r="AK63" s="14"/>
      <c r="AM63" s="14"/>
      <c r="AO63" s="14"/>
      <c r="AQ63" s="14"/>
      <c r="AS63" s="14"/>
      <c r="AU63" s="14"/>
    </row>
    <row r="64" spans="1:47" x14ac:dyDescent="0.2">
      <c r="A64" s="71"/>
      <c r="B64" s="12" t="s">
        <v>15</v>
      </c>
      <c r="C64" s="14"/>
      <c r="E64" s="14"/>
      <c r="G64" s="14"/>
      <c r="I64" s="14"/>
      <c r="K64" s="14"/>
      <c r="M64" s="14"/>
      <c r="O64" s="14"/>
      <c r="Q64" s="14"/>
      <c r="S64" s="14"/>
      <c r="U64" s="14"/>
      <c r="W64" s="14"/>
      <c r="Y64" s="14"/>
      <c r="AA64" s="14"/>
      <c r="AC64" s="14"/>
      <c r="AE64" s="14"/>
      <c r="AF64" s="14"/>
      <c r="AG64" s="14"/>
      <c r="AI64" s="14"/>
      <c r="AK64" s="14"/>
      <c r="AM64" s="14"/>
      <c r="AO64" s="14"/>
      <c r="AQ64" s="14"/>
      <c r="AS64" s="14"/>
      <c r="AU64" s="14"/>
    </row>
    <row r="65" spans="1:47" x14ac:dyDescent="0.2">
      <c r="A65" s="71"/>
      <c r="B65" s="43" t="s">
        <v>197</v>
      </c>
      <c r="C65" s="14">
        <v>0</v>
      </c>
      <c r="E65" s="14">
        <v>0</v>
      </c>
      <c r="G65" s="14">
        <v>0</v>
      </c>
      <c r="I65" s="14">
        <v>0</v>
      </c>
      <c r="K65" s="14">
        <v>0</v>
      </c>
      <c r="M65" s="14">
        <v>0</v>
      </c>
      <c r="O65" s="14">
        <v>0</v>
      </c>
      <c r="Q65" s="14">
        <v>0</v>
      </c>
      <c r="S65" s="14">
        <v>0</v>
      </c>
      <c r="U65" s="14">
        <v>0</v>
      </c>
      <c r="W65" s="14">
        <v>0</v>
      </c>
      <c r="Y65" s="14">
        <v>0</v>
      </c>
      <c r="AA65" s="14">
        <v>0</v>
      </c>
      <c r="AC65" s="14">
        <v>0</v>
      </c>
      <c r="AE65" s="14">
        <v>0</v>
      </c>
      <c r="AF65" s="14">
        <v>0</v>
      </c>
      <c r="AG65" s="14">
        <v>0</v>
      </c>
      <c r="AI65" s="17">
        <f>SUM(C65:AF65)</f>
        <v>0</v>
      </c>
      <c r="AK65" s="14">
        <f>SUMIF($C$9:$AH$9,"=Addition",$C65:$AH65)</f>
        <v>0</v>
      </c>
      <c r="AM65" s="14">
        <f>SUMIF($C$9:$AH$9,"=Adjustment",$C65:$AH65)</f>
        <v>0</v>
      </c>
      <c r="AO65" s="14">
        <f>SUMIF($C$9:$AH$9,"=Transfer",$C65:$AH65)</f>
        <v>0</v>
      </c>
      <c r="AQ65" s="14">
        <f>SUMIF($C$9:$Z$9,"=N/A",$C65:$Z65)</f>
        <v>0</v>
      </c>
      <c r="AS65" s="14">
        <f>SUM(AK65:AQ65)</f>
        <v>0</v>
      </c>
      <c r="AU65" s="14">
        <f t="shared" si="6"/>
        <v>0</v>
      </c>
    </row>
    <row r="66" spans="1:47" x14ac:dyDescent="0.2">
      <c r="A66" s="71"/>
      <c r="B66" s="3" t="s">
        <v>198</v>
      </c>
      <c r="C66" s="14">
        <v>0</v>
      </c>
      <c r="E66" s="14">
        <v>0</v>
      </c>
      <c r="G66" s="14">
        <v>0</v>
      </c>
      <c r="I66" s="14">
        <v>0</v>
      </c>
      <c r="K66" s="14">
        <v>0</v>
      </c>
      <c r="M66" s="14">
        <v>0</v>
      </c>
      <c r="O66" s="14">
        <v>0</v>
      </c>
      <c r="Q66" s="14">
        <v>0</v>
      </c>
      <c r="S66" s="14">
        <v>0</v>
      </c>
      <c r="U66" s="14">
        <v>0</v>
      </c>
      <c r="W66" s="14">
        <v>0</v>
      </c>
      <c r="Y66" s="14">
        <v>0</v>
      </c>
      <c r="AA66" s="14">
        <v>0</v>
      </c>
      <c r="AC66" s="14">
        <v>0</v>
      </c>
      <c r="AE66" s="14">
        <v>0</v>
      </c>
      <c r="AF66" s="14">
        <v>0</v>
      </c>
      <c r="AG66" s="14">
        <v>0</v>
      </c>
      <c r="AI66" s="17">
        <f>SUM(C66:AF66)</f>
        <v>0</v>
      </c>
      <c r="AK66" s="14">
        <f>SUMIF($C$9:$AH$9,"=Addition",$C66:$AH66)</f>
        <v>0</v>
      </c>
      <c r="AM66" s="14">
        <f>SUMIF($C$9:$AH$9,"=Adjustment",$C66:$AH66)</f>
        <v>0</v>
      </c>
      <c r="AO66" s="14">
        <f>SUMIF($C$9:$AH$9,"=Transfer",$C66:$AH66)</f>
        <v>0</v>
      </c>
      <c r="AQ66" s="14">
        <f>SUMIF($C$9:$Z$9,"=N/A",$C66:$Z66)</f>
        <v>0</v>
      </c>
      <c r="AS66" s="14">
        <f>SUM(AK66:AQ66)</f>
        <v>0</v>
      </c>
      <c r="AU66" s="14">
        <f t="shared" si="6"/>
        <v>0</v>
      </c>
    </row>
    <row r="67" spans="1:47" x14ac:dyDescent="0.2">
      <c r="A67" s="71"/>
      <c r="B67" s="3" t="s">
        <v>199</v>
      </c>
      <c r="C67" s="14">
        <v>0</v>
      </c>
      <c r="E67" s="14">
        <v>0</v>
      </c>
      <c r="G67" s="14">
        <v>0</v>
      </c>
      <c r="I67" s="14">
        <v>0</v>
      </c>
      <c r="K67" s="14">
        <v>0</v>
      </c>
      <c r="M67" s="14">
        <v>0</v>
      </c>
      <c r="O67" s="14">
        <v>0</v>
      </c>
      <c r="Q67" s="14">
        <v>0</v>
      </c>
      <c r="S67" s="14">
        <v>0</v>
      </c>
      <c r="U67" s="14">
        <v>0</v>
      </c>
      <c r="W67" s="14">
        <v>0</v>
      </c>
      <c r="Y67" s="14">
        <v>0</v>
      </c>
      <c r="AA67" s="14">
        <v>0</v>
      </c>
      <c r="AC67" s="14">
        <v>0</v>
      </c>
      <c r="AE67" s="14">
        <v>0</v>
      </c>
      <c r="AF67" s="14">
        <v>0</v>
      </c>
      <c r="AG67" s="14">
        <v>0</v>
      </c>
      <c r="AI67" s="17">
        <f>SUM(C67:AF67)</f>
        <v>0</v>
      </c>
      <c r="AK67" s="14">
        <f>SUMIF($C$9:$AH$9,"=Addition",$C67:$AH67)</f>
        <v>0</v>
      </c>
      <c r="AM67" s="14">
        <f>SUMIF($C$9:$AH$9,"=Adjustment",$C67:$AH67)</f>
        <v>0</v>
      </c>
      <c r="AO67" s="14">
        <f>SUMIF($C$9:$AH$9,"=Transfer",$C67:$AH67)</f>
        <v>0</v>
      </c>
      <c r="AQ67" s="14">
        <f>SUMIF($C$9:$Z$9,"=N/A",$C67:$Z67)</f>
        <v>0</v>
      </c>
      <c r="AS67" s="14">
        <f>SUM(AK67:AQ67)</f>
        <v>0</v>
      </c>
      <c r="AU67" s="14">
        <f t="shared" si="6"/>
        <v>0</v>
      </c>
    </row>
    <row r="68" spans="1:47" x14ac:dyDescent="0.2">
      <c r="A68" s="71"/>
      <c r="B68" s="3" t="s">
        <v>200</v>
      </c>
      <c r="C68" s="14">
        <v>0</v>
      </c>
      <c r="E68" s="14">
        <v>0</v>
      </c>
      <c r="G68" s="14">
        <v>0</v>
      </c>
      <c r="I68" s="14">
        <v>0</v>
      </c>
      <c r="K68" s="14">
        <v>0</v>
      </c>
      <c r="M68" s="14">
        <v>0</v>
      </c>
      <c r="O68" s="14">
        <v>0</v>
      </c>
      <c r="Q68" s="14">
        <v>0</v>
      </c>
      <c r="S68" s="14">
        <v>0</v>
      </c>
      <c r="U68" s="14">
        <v>0</v>
      </c>
      <c r="W68" s="14">
        <v>0</v>
      </c>
      <c r="Y68" s="14">
        <v>0</v>
      </c>
      <c r="AA68" s="14">
        <v>0</v>
      </c>
      <c r="AC68" s="14">
        <v>0</v>
      </c>
      <c r="AE68" s="14">
        <v>0</v>
      </c>
      <c r="AF68" s="14">
        <v>0</v>
      </c>
      <c r="AG68" s="14">
        <v>0</v>
      </c>
      <c r="AI68" s="16">
        <f>SUM(C68:AF68)</f>
        <v>0</v>
      </c>
      <c r="AK68" s="14">
        <f>SUMIF($C$9:$AH$9,"=Addition",$C68:$AH68)</f>
        <v>0</v>
      </c>
      <c r="AM68" s="14">
        <f>SUMIF($C$9:$AH$9,"=Adjustment",$C68:$AH68)</f>
        <v>0</v>
      </c>
      <c r="AO68" s="14">
        <f>SUMIF($C$9:$AH$9,"=Transfer",$C68:$AH68)</f>
        <v>0</v>
      </c>
      <c r="AQ68" s="14">
        <f>SUMIF($C$9:$Z$9,"=N/A",$C68:$Z68)</f>
        <v>0</v>
      </c>
      <c r="AS68" s="14">
        <f>SUM(AK68:AQ68)</f>
        <v>0</v>
      </c>
      <c r="AU68" s="14">
        <f t="shared" si="6"/>
        <v>0</v>
      </c>
    </row>
    <row r="69" spans="1:47" x14ac:dyDescent="0.2">
      <c r="A69" s="71"/>
      <c r="B69" s="12" t="s">
        <v>201</v>
      </c>
      <c r="C69" s="18">
        <f>SUM(C65:C68)</f>
        <v>0</v>
      </c>
      <c r="E69" s="18">
        <f>SUM(E65:E68)</f>
        <v>0</v>
      </c>
      <c r="G69" s="18">
        <f>SUM(G65:G68)</f>
        <v>0</v>
      </c>
      <c r="I69" s="18">
        <f>SUM(I65:I68)</f>
        <v>0</v>
      </c>
      <c r="K69" s="18">
        <f>SUM(K65:K68)</f>
        <v>0</v>
      </c>
      <c r="M69" s="18">
        <f>SUM(M65:M68)</f>
        <v>0</v>
      </c>
      <c r="O69" s="18">
        <f>SUM(O65:O68)</f>
        <v>0</v>
      </c>
      <c r="Q69" s="18">
        <f>SUM(Q65:Q68)</f>
        <v>0</v>
      </c>
      <c r="S69" s="18">
        <f>SUM(S65:S68)</f>
        <v>0</v>
      </c>
      <c r="U69" s="18">
        <f>SUM(U65:U68)</f>
        <v>0</v>
      </c>
      <c r="W69" s="18">
        <f>SUM(W65:W68)</f>
        <v>0</v>
      </c>
      <c r="Y69" s="18">
        <f>SUM(Y65:Y68)</f>
        <v>0</v>
      </c>
      <c r="AA69" s="18">
        <f>SUM(AA65:AA68)</f>
        <v>0</v>
      </c>
      <c r="AC69" s="18">
        <f>SUM(AC65:AC68)</f>
        <v>0</v>
      </c>
      <c r="AE69" s="18">
        <f>SUM(AE65:AE68)</f>
        <v>0</v>
      </c>
      <c r="AF69" s="18">
        <f>SUM(AF65:AF68)</f>
        <v>0</v>
      </c>
      <c r="AG69" s="18">
        <f>SUM(AG65:AG68)</f>
        <v>0</v>
      </c>
      <c r="AI69" s="18">
        <f>SUM(AI65:AI68)</f>
        <v>0</v>
      </c>
      <c r="AK69" s="18">
        <f>SUM(AK65:AK68)</f>
        <v>0</v>
      </c>
      <c r="AM69" s="18">
        <f>SUM(AM65:AM68)</f>
        <v>0</v>
      </c>
      <c r="AO69" s="18">
        <f>SUM(AO65:AO68)</f>
        <v>0</v>
      </c>
      <c r="AQ69" s="18">
        <f>SUM(AQ65:AQ68)</f>
        <v>0</v>
      </c>
      <c r="AS69" s="18">
        <f>SUM(AS65:AS68)</f>
        <v>0</v>
      </c>
      <c r="AU69" s="18">
        <f t="shared" si="6"/>
        <v>0</v>
      </c>
    </row>
    <row r="70" spans="1:47" x14ac:dyDescent="0.2">
      <c r="A70" s="71"/>
      <c r="C70" s="14"/>
      <c r="E70" s="14"/>
      <c r="G70" s="14"/>
      <c r="I70" s="14"/>
      <c r="K70" s="14"/>
      <c r="M70" s="14"/>
      <c r="O70" s="14"/>
      <c r="Q70" s="14"/>
      <c r="S70" s="14"/>
      <c r="U70" s="14"/>
      <c r="W70" s="14"/>
      <c r="Y70" s="14"/>
      <c r="AA70" s="14"/>
      <c r="AC70" s="14"/>
      <c r="AE70" s="14"/>
      <c r="AF70" s="14"/>
      <c r="AG70" s="14"/>
      <c r="AI70" s="14"/>
      <c r="AK70" s="14"/>
      <c r="AM70" s="14"/>
      <c r="AO70" s="14"/>
      <c r="AQ70" s="14"/>
      <c r="AS70" s="14"/>
      <c r="AU70" s="14"/>
    </row>
    <row r="71" spans="1:47" x14ac:dyDescent="0.2">
      <c r="A71" s="71"/>
      <c r="B71" s="12" t="s">
        <v>16</v>
      </c>
      <c r="C71" s="14"/>
      <c r="E71" s="14"/>
      <c r="G71" s="14"/>
      <c r="I71" s="14"/>
      <c r="K71" s="14"/>
      <c r="M71" s="14"/>
      <c r="O71" s="14"/>
      <c r="Q71" s="14"/>
      <c r="S71" s="14"/>
      <c r="U71" s="14"/>
      <c r="W71" s="14"/>
      <c r="Y71" s="14"/>
      <c r="AA71" s="14"/>
      <c r="AC71" s="14"/>
      <c r="AE71" s="14"/>
      <c r="AF71" s="14"/>
      <c r="AG71" s="14"/>
      <c r="AI71" s="14"/>
      <c r="AK71" s="14"/>
      <c r="AM71" s="14"/>
      <c r="AO71" s="14"/>
      <c r="AQ71" s="14"/>
      <c r="AS71" s="14"/>
      <c r="AU71" s="14"/>
    </row>
    <row r="72" spans="1:47" x14ac:dyDescent="0.2">
      <c r="A72" s="71"/>
      <c r="B72" s="3" t="s">
        <v>202</v>
      </c>
      <c r="C72" s="14">
        <v>0</v>
      </c>
      <c r="E72" s="14">
        <v>0</v>
      </c>
      <c r="G72" s="14">
        <v>0</v>
      </c>
      <c r="I72" s="14">
        <v>0</v>
      </c>
      <c r="K72" s="14">
        <v>0</v>
      </c>
      <c r="M72" s="14">
        <v>0</v>
      </c>
      <c r="O72" s="14">
        <v>0</v>
      </c>
      <c r="Q72" s="14">
        <v>0</v>
      </c>
      <c r="S72" s="14">
        <v>0</v>
      </c>
      <c r="U72" s="14">
        <v>0</v>
      </c>
      <c r="W72" s="14">
        <v>0</v>
      </c>
      <c r="Y72" s="14">
        <v>0</v>
      </c>
      <c r="AA72" s="14">
        <v>0</v>
      </c>
      <c r="AC72" s="14">
        <v>0</v>
      </c>
      <c r="AE72" s="14">
        <v>0</v>
      </c>
      <c r="AF72" s="14">
        <v>0</v>
      </c>
      <c r="AG72" s="14">
        <v>0</v>
      </c>
      <c r="AI72" s="17">
        <f t="shared" ref="AI72:AI82" si="19">SUM(C72:AF72)</f>
        <v>0</v>
      </c>
      <c r="AK72" s="14">
        <f t="shared" ref="AK72:AK82" si="20">SUMIF($C$9:$AH$9,"=Addition",$C72:$AH72)</f>
        <v>0</v>
      </c>
      <c r="AM72" s="14">
        <f t="shared" ref="AM72:AM82" si="21">SUMIF($C$9:$AH$9,"=Adjustment",$C72:$AH72)</f>
        <v>0</v>
      </c>
      <c r="AO72" s="14">
        <f t="shared" ref="AO72:AO82" si="22">SUMIF($C$9:$AH$9,"=Transfer",$C72:$AH72)</f>
        <v>0</v>
      </c>
      <c r="AQ72" s="14">
        <f t="shared" ref="AQ72:AQ82" si="23">SUMIF($C$9:$Z$9,"=N/A",$C72:$Z72)</f>
        <v>0</v>
      </c>
      <c r="AS72" s="14">
        <f t="shared" ref="AS72:AS82" si="24">SUM(AK72:AQ72)</f>
        <v>0</v>
      </c>
      <c r="AU72" s="14">
        <f t="shared" si="6"/>
        <v>0</v>
      </c>
    </row>
    <row r="73" spans="1:47" x14ac:dyDescent="0.2">
      <c r="A73" s="71"/>
      <c r="B73" s="3" t="s">
        <v>203</v>
      </c>
      <c r="C73" s="14">
        <v>0</v>
      </c>
      <c r="E73" s="14">
        <v>0</v>
      </c>
      <c r="G73" s="14">
        <v>0</v>
      </c>
      <c r="I73" s="14">
        <v>0</v>
      </c>
      <c r="K73" s="14">
        <v>0</v>
      </c>
      <c r="M73" s="14">
        <v>0</v>
      </c>
      <c r="O73" s="14">
        <v>162070.19</v>
      </c>
      <c r="Q73" s="14">
        <v>0</v>
      </c>
      <c r="S73" s="14">
        <v>0</v>
      </c>
      <c r="U73" s="14">
        <v>0</v>
      </c>
      <c r="W73" s="14">
        <v>0</v>
      </c>
      <c r="Y73" s="14">
        <v>0</v>
      </c>
      <c r="AA73" s="14">
        <v>0</v>
      </c>
      <c r="AC73" s="14">
        <v>0</v>
      </c>
      <c r="AE73" s="14">
        <v>0</v>
      </c>
      <c r="AF73" s="14">
        <v>0</v>
      </c>
      <c r="AG73" s="14">
        <v>0</v>
      </c>
      <c r="AI73" s="17">
        <f t="shared" si="19"/>
        <v>162070.19</v>
      </c>
      <c r="AK73" s="14">
        <f t="shared" si="20"/>
        <v>0</v>
      </c>
      <c r="AM73" s="14">
        <f t="shared" si="21"/>
        <v>0</v>
      </c>
      <c r="AO73" s="14">
        <f t="shared" si="22"/>
        <v>162070.19</v>
      </c>
      <c r="AQ73" s="14">
        <f t="shared" si="23"/>
        <v>0</v>
      </c>
      <c r="AS73" s="14">
        <f t="shared" si="24"/>
        <v>162070.19</v>
      </c>
      <c r="AU73" s="14">
        <f t="shared" si="6"/>
        <v>0</v>
      </c>
    </row>
    <row r="74" spans="1:47" x14ac:dyDescent="0.2">
      <c r="A74" s="71"/>
      <c r="B74" s="3" t="s">
        <v>204</v>
      </c>
      <c r="C74" s="14">
        <v>0</v>
      </c>
      <c r="E74" s="14">
        <v>0</v>
      </c>
      <c r="G74" s="14">
        <v>0</v>
      </c>
      <c r="I74" s="14">
        <v>0</v>
      </c>
      <c r="K74" s="14">
        <v>0</v>
      </c>
      <c r="M74" s="14">
        <v>0</v>
      </c>
      <c r="O74" s="14">
        <v>0</v>
      </c>
      <c r="Q74" s="14">
        <v>0</v>
      </c>
      <c r="S74" s="14">
        <v>0</v>
      </c>
      <c r="U74" s="14">
        <v>0</v>
      </c>
      <c r="W74" s="14">
        <v>0</v>
      </c>
      <c r="Y74" s="14">
        <v>0</v>
      </c>
      <c r="AA74" s="14">
        <v>0</v>
      </c>
      <c r="AC74" s="14">
        <v>0</v>
      </c>
      <c r="AE74" s="14">
        <v>0</v>
      </c>
      <c r="AF74" s="14">
        <v>0</v>
      </c>
      <c r="AG74" s="14">
        <v>0</v>
      </c>
      <c r="AI74" s="17">
        <f t="shared" si="19"/>
        <v>0</v>
      </c>
      <c r="AK74" s="14">
        <f t="shared" si="20"/>
        <v>0</v>
      </c>
      <c r="AM74" s="14">
        <f t="shared" si="21"/>
        <v>0</v>
      </c>
      <c r="AO74" s="14">
        <f t="shared" si="22"/>
        <v>0</v>
      </c>
      <c r="AQ74" s="14">
        <f t="shared" si="23"/>
        <v>0</v>
      </c>
      <c r="AS74" s="14">
        <f t="shared" si="24"/>
        <v>0</v>
      </c>
      <c r="AU74" s="14">
        <f t="shared" si="6"/>
        <v>0</v>
      </c>
    </row>
    <row r="75" spans="1:47" x14ac:dyDescent="0.2">
      <c r="A75" s="71"/>
      <c r="B75" s="3" t="s">
        <v>205</v>
      </c>
      <c r="C75" s="14">
        <v>0</v>
      </c>
      <c r="E75" s="14">
        <v>0</v>
      </c>
      <c r="G75" s="14">
        <v>0</v>
      </c>
      <c r="I75" s="14">
        <v>0</v>
      </c>
      <c r="K75" s="14">
        <v>0</v>
      </c>
      <c r="M75" s="14">
        <v>0</v>
      </c>
      <c r="O75" s="14">
        <v>0</v>
      </c>
      <c r="Q75" s="14">
        <v>0</v>
      </c>
      <c r="S75" s="14">
        <v>0</v>
      </c>
      <c r="U75" s="14">
        <v>0</v>
      </c>
      <c r="W75" s="14">
        <v>0</v>
      </c>
      <c r="Y75" s="14">
        <v>0</v>
      </c>
      <c r="AA75" s="14">
        <v>0</v>
      </c>
      <c r="AC75" s="14">
        <v>0</v>
      </c>
      <c r="AE75" s="14">
        <v>0</v>
      </c>
      <c r="AF75" s="14">
        <v>0</v>
      </c>
      <c r="AG75" s="14">
        <v>0</v>
      </c>
      <c r="AI75" s="17">
        <f t="shared" si="19"/>
        <v>0</v>
      </c>
      <c r="AK75" s="14">
        <f t="shared" si="20"/>
        <v>0</v>
      </c>
      <c r="AM75" s="14">
        <f t="shared" si="21"/>
        <v>0</v>
      </c>
      <c r="AO75" s="14">
        <f t="shared" si="22"/>
        <v>0</v>
      </c>
      <c r="AQ75" s="14">
        <f t="shared" si="23"/>
        <v>0</v>
      </c>
      <c r="AS75" s="14">
        <f t="shared" si="24"/>
        <v>0</v>
      </c>
      <c r="AU75" s="14">
        <f t="shared" si="6"/>
        <v>0</v>
      </c>
    </row>
    <row r="76" spans="1:47" x14ac:dyDescent="0.2">
      <c r="A76" s="71"/>
      <c r="B76" s="3" t="s">
        <v>206</v>
      </c>
      <c r="C76" s="14">
        <v>0</v>
      </c>
      <c r="E76" s="14">
        <v>0</v>
      </c>
      <c r="G76" s="14">
        <v>0</v>
      </c>
      <c r="I76" s="14">
        <v>0</v>
      </c>
      <c r="K76" s="14">
        <v>0</v>
      </c>
      <c r="M76" s="14">
        <v>0</v>
      </c>
      <c r="O76" s="14">
        <v>0</v>
      </c>
      <c r="Q76" s="14">
        <v>0</v>
      </c>
      <c r="S76" s="14">
        <v>0</v>
      </c>
      <c r="U76" s="14">
        <v>0</v>
      </c>
      <c r="W76" s="14">
        <v>0</v>
      </c>
      <c r="Y76" s="14">
        <v>0</v>
      </c>
      <c r="AA76" s="14">
        <v>0</v>
      </c>
      <c r="AC76" s="14">
        <v>0</v>
      </c>
      <c r="AE76" s="14">
        <v>0</v>
      </c>
      <c r="AF76" s="14">
        <v>0</v>
      </c>
      <c r="AG76" s="14">
        <v>0</v>
      </c>
      <c r="AI76" s="17">
        <f t="shared" si="19"/>
        <v>0</v>
      </c>
      <c r="AK76" s="14">
        <f t="shared" si="20"/>
        <v>0</v>
      </c>
      <c r="AM76" s="14">
        <f t="shared" si="21"/>
        <v>0</v>
      </c>
      <c r="AO76" s="14">
        <f t="shared" si="22"/>
        <v>0</v>
      </c>
      <c r="AQ76" s="14">
        <f t="shared" si="23"/>
        <v>0</v>
      </c>
      <c r="AS76" s="14">
        <f t="shared" si="24"/>
        <v>0</v>
      </c>
      <c r="AU76" s="14">
        <f t="shared" si="6"/>
        <v>0</v>
      </c>
    </row>
    <row r="77" spans="1:47" x14ac:dyDescent="0.2">
      <c r="A77" s="71"/>
      <c r="B77" s="3" t="s">
        <v>207</v>
      </c>
      <c r="C77" s="14">
        <v>0</v>
      </c>
      <c r="E77" s="14">
        <v>0</v>
      </c>
      <c r="G77" s="14">
        <v>0</v>
      </c>
      <c r="I77" s="14">
        <v>0</v>
      </c>
      <c r="K77" s="14">
        <v>0</v>
      </c>
      <c r="M77" s="14">
        <v>0</v>
      </c>
      <c r="O77" s="14">
        <v>0</v>
      </c>
      <c r="Q77" s="14">
        <v>0</v>
      </c>
      <c r="S77" s="14">
        <v>0</v>
      </c>
      <c r="U77" s="14">
        <v>0</v>
      </c>
      <c r="W77" s="14">
        <v>0</v>
      </c>
      <c r="Y77" s="14">
        <v>0</v>
      </c>
      <c r="AA77" s="14">
        <v>0</v>
      </c>
      <c r="AC77" s="14">
        <v>0</v>
      </c>
      <c r="AE77" s="14">
        <v>0</v>
      </c>
      <c r="AF77" s="14">
        <v>0</v>
      </c>
      <c r="AG77" s="14">
        <v>0</v>
      </c>
      <c r="AI77" s="17">
        <f t="shared" si="19"/>
        <v>0</v>
      </c>
      <c r="AK77" s="14">
        <f t="shared" si="20"/>
        <v>0</v>
      </c>
      <c r="AM77" s="14">
        <f t="shared" si="21"/>
        <v>0</v>
      </c>
      <c r="AO77" s="14">
        <f t="shared" si="22"/>
        <v>0</v>
      </c>
      <c r="AQ77" s="14">
        <f t="shared" si="23"/>
        <v>0</v>
      </c>
      <c r="AS77" s="14">
        <f t="shared" si="24"/>
        <v>0</v>
      </c>
      <c r="AU77" s="14">
        <f t="shared" si="6"/>
        <v>0</v>
      </c>
    </row>
    <row r="78" spans="1:47" x14ac:dyDescent="0.2">
      <c r="A78" s="71"/>
      <c r="B78" s="3" t="s">
        <v>208</v>
      </c>
      <c r="C78" s="14">
        <v>0</v>
      </c>
      <c r="E78" s="14">
        <v>0</v>
      </c>
      <c r="G78" s="14">
        <v>0</v>
      </c>
      <c r="I78" s="14">
        <v>0</v>
      </c>
      <c r="K78" s="14">
        <v>0</v>
      </c>
      <c r="M78" s="14">
        <v>0</v>
      </c>
      <c r="O78" s="14">
        <v>0</v>
      </c>
      <c r="Q78" s="14">
        <v>0</v>
      </c>
      <c r="S78" s="14">
        <v>0</v>
      </c>
      <c r="U78" s="14">
        <v>0</v>
      </c>
      <c r="W78" s="14">
        <v>0</v>
      </c>
      <c r="Y78" s="14">
        <v>0</v>
      </c>
      <c r="AA78" s="14">
        <v>0</v>
      </c>
      <c r="AC78" s="14">
        <v>0</v>
      </c>
      <c r="AE78" s="14">
        <v>0</v>
      </c>
      <c r="AF78" s="14">
        <v>0</v>
      </c>
      <c r="AG78" s="14">
        <v>0</v>
      </c>
      <c r="AI78" s="17">
        <f t="shared" si="19"/>
        <v>0</v>
      </c>
      <c r="AK78" s="14">
        <f t="shared" si="20"/>
        <v>0</v>
      </c>
      <c r="AM78" s="14">
        <f t="shared" si="21"/>
        <v>0</v>
      </c>
      <c r="AO78" s="14">
        <f t="shared" si="22"/>
        <v>0</v>
      </c>
      <c r="AQ78" s="14">
        <f t="shared" si="23"/>
        <v>0</v>
      </c>
      <c r="AS78" s="14">
        <f t="shared" si="24"/>
        <v>0</v>
      </c>
      <c r="AU78" s="14">
        <f t="shared" si="6"/>
        <v>0</v>
      </c>
    </row>
    <row r="79" spans="1:47" x14ac:dyDescent="0.2">
      <c r="A79" s="71"/>
      <c r="B79" s="3" t="s">
        <v>209</v>
      </c>
      <c r="C79" s="14">
        <v>0</v>
      </c>
      <c r="E79" s="14">
        <v>0</v>
      </c>
      <c r="G79" s="14">
        <v>0</v>
      </c>
      <c r="I79" s="14">
        <v>0</v>
      </c>
      <c r="K79" s="14">
        <v>0</v>
      </c>
      <c r="M79" s="14">
        <v>0</v>
      </c>
      <c r="O79" s="14">
        <v>0</v>
      </c>
      <c r="Q79" s="14">
        <v>0</v>
      </c>
      <c r="S79" s="14">
        <v>0</v>
      </c>
      <c r="U79" s="14">
        <v>0</v>
      </c>
      <c r="W79" s="14">
        <v>0</v>
      </c>
      <c r="Y79" s="14">
        <v>0</v>
      </c>
      <c r="AA79" s="14">
        <v>0</v>
      </c>
      <c r="AC79" s="14">
        <v>0</v>
      </c>
      <c r="AE79" s="14">
        <v>0</v>
      </c>
      <c r="AF79" s="14">
        <v>0</v>
      </c>
      <c r="AG79" s="14">
        <v>0</v>
      </c>
      <c r="AI79" s="17">
        <f t="shared" si="19"/>
        <v>0</v>
      </c>
      <c r="AK79" s="14">
        <f t="shared" si="20"/>
        <v>0</v>
      </c>
      <c r="AM79" s="14">
        <f t="shared" si="21"/>
        <v>0</v>
      </c>
      <c r="AO79" s="14">
        <f t="shared" si="22"/>
        <v>0</v>
      </c>
      <c r="AQ79" s="14">
        <f t="shared" si="23"/>
        <v>0</v>
      </c>
      <c r="AS79" s="14">
        <f t="shared" si="24"/>
        <v>0</v>
      </c>
      <c r="AU79" s="14">
        <f t="shared" si="6"/>
        <v>0</v>
      </c>
    </row>
    <row r="80" spans="1:47" x14ac:dyDescent="0.2">
      <c r="A80" s="71"/>
      <c r="B80" s="3" t="s">
        <v>210</v>
      </c>
      <c r="C80" s="14">
        <v>0</v>
      </c>
      <c r="E80" s="14">
        <v>0</v>
      </c>
      <c r="G80" s="14">
        <v>0</v>
      </c>
      <c r="I80" s="14">
        <v>0</v>
      </c>
      <c r="K80" s="14">
        <v>0</v>
      </c>
      <c r="M80" s="14">
        <v>0</v>
      </c>
      <c r="O80" s="14">
        <v>0</v>
      </c>
      <c r="Q80" s="14">
        <v>0</v>
      </c>
      <c r="S80" s="14">
        <v>0</v>
      </c>
      <c r="U80" s="14">
        <v>0</v>
      </c>
      <c r="W80" s="14">
        <v>0</v>
      </c>
      <c r="Y80" s="14">
        <v>0</v>
      </c>
      <c r="AA80" s="14">
        <v>0</v>
      </c>
      <c r="AC80" s="14">
        <v>0</v>
      </c>
      <c r="AE80" s="14">
        <v>0</v>
      </c>
      <c r="AF80" s="14">
        <v>0</v>
      </c>
      <c r="AG80" s="14">
        <v>0</v>
      </c>
      <c r="AI80" s="17">
        <f t="shared" si="19"/>
        <v>0</v>
      </c>
      <c r="AK80" s="14">
        <f t="shared" si="20"/>
        <v>0</v>
      </c>
      <c r="AM80" s="14">
        <f t="shared" si="21"/>
        <v>0</v>
      </c>
      <c r="AO80" s="14">
        <f t="shared" si="22"/>
        <v>0</v>
      </c>
      <c r="AQ80" s="14">
        <f t="shared" si="23"/>
        <v>0</v>
      </c>
      <c r="AS80" s="14">
        <f t="shared" si="24"/>
        <v>0</v>
      </c>
      <c r="AU80" s="14">
        <f t="shared" si="6"/>
        <v>0</v>
      </c>
    </row>
    <row r="81" spans="1:47" x14ac:dyDescent="0.2">
      <c r="A81" s="71"/>
      <c r="B81" s="3" t="s">
        <v>211</v>
      </c>
      <c r="C81" s="14">
        <v>0</v>
      </c>
      <c r="E81" s="14">
        <v>0</v>
      </c>
      <c r="G81" s="14">
        <v>0</v>
      </c>
      <c r="I81" s="14">
        <v>0</v>
      </c>
      <c r="K81" s="14">
        <v>0</v>
      </c>
      <c r="M81" s="14">
        <v>0</v>
      </c>
      <c r="O81" s="14">
        <v>0</v>
      </c>
      <c r="Q81" s="14">
        <v>0</v>
      </c>
      <c r="S81" s="14">
        <v>0</v>
      </c>
      <c r="U81" s="14">
        <v>0</v>
      </c>
      <c r="W81" s="14">
        <v>0</v>
      </c>
      <c r="Y81" s="14">
        <v>0</v>
      </c>
      <c r="AA81" s="14">
        <v>0</v>
      </c>
      <c r="AC81" s="14">
        <v>0</v>
      </c>
      <c r="AE81" s="14">
        <v>0</v>
      </c>
      <c r="AF81" s="14">
        <v>0</v>
      </c>
      <c r="AG81" s="14">
        <v>0</v>
      </c>
      <c r="AI81" s="17">
        <f t="shared" si="19"/>
        <v>0</v>
      </c>
      <c r="AK81" s="14">
        <f t="shared" si="20"/>
        <v>0</v>
      </c>
      <c r="AM81" s="14">
        <f t="shared" si="21"/>
        <v>0</v>
      </c>
      <c r="AO81" s="14">
        <f t="shared" si="22"/>
        <v>0</v>
      </c>
      <c r="AQ81" s="14">
        <f t="shared" si="23"/>
        <v>0</v>
      </c>
      <c r="AS81" s="14">
        <f t="shared" si="24"/>
        <v>0</v>
      </c>
      <c r="AU81" s="14">
        <f t="shared" si="6"/>
        <v>0</v>
      </c>
    </row>
    <row r="82" spans="1:47" x14ac:dyDescent="0.2">
      <c r="A82" s="71"/>
      <c r="B82" s="3" t="s">
        <v>212</v>
      </c>
      <c r="C82" s="14">
        <v>0</v>
      </c>
      <c r="E82" s="14">
        <v>0</v>
      </c>
      <c r="G82" s="14">
        <v>0</v>
      </c>
      <c r="I82" s="14">
        <v>0</v>
      </c>
      <c r="K82" s="14">
        <v>0</v>
      </c>
      <c r="M82" s="14">
        <v>0</v>
      </c>
      <c r="O82" s="14">
        <v>0</v>
      </c>
      <c r="Q82" s="14">
        <v>0</v>
      </c>
      <c r="S82" s="14">
        <v>0</v>
      </c>
      <c r="U82" s="14">
        <v>0</v>
      </c>
      <c r="W82" s="14">
        <v>0</v>
      </c>
      <c r="Y82" s="14">
        <v>0</v>
      </c>
      <c r="AA82" s="14">
        <v>0</v>
      </c>
      <c r="AC82" s="14">
        <v>0</v>
      </c>
      <c r="AE82" s="14">
        <v>0</v>
      </c>
      <c r="AF82" s="14">
        <v>0</v>
      </c>
      <c r="AG82" s="14">
        <v>0</v>
      </c>
      <c r="AI82" s="16">
        <f t="shared" si="19"/>
        <v>0</v>
      </c>
      <c r="AK82" s="14">
        <f t="shared" si="20"/>
        <v>0</v>
      </c>
      <c r="AM82" s="14">
        <f t="shared" si="21"/>
        <v>0</v>
      </c>
      <c r="AO82" s="14">
        <f t="shared" si="22"/>
        <v>0</v>
      </c>
      <c r="AQ82" s="14">
        <f t="shared" si="23"/>
        <v>0</v>
      </c>
      <c r="AS82" s="14">
        <f t="shared" si="24"/>
        <v>0</v>
      </c>
      <c r="AU82" s="14">
        <f t="shared" ref="AU82:AU148" si="25">+AI82-AS82</f>
        <v>0</v>
      </c>
    </row>
    <row r="83" spans="1:47" x14ac:dyDescent="0.2">
      <c r="A83" s="71"/>
      <c r="B83" s="12" t="s">
        <v>213</v>
      </c>
      <c r="C83" s="18">
        <f>SUM(C72:C82)</f>
        <v>0</v>
      </c>
      <c r="E83" s="18">
        <f>SUM(E72:E82)</f>
        <v>0</v>
      </c>
      <c r="G83" s="18">
        <f>SUM(G72:G82)</f>
        <v>0</v>
      </c>
      <c r="I83" s="18">
        <f>SUM(I72:I82)</f>
        <v>0</v>
      </c>
      <c r="K83" s="18">
        <f>SUM(K72:K82)</f>
        <v>0</v>
      </c>
      <c r="M83" s="18">
        <f>SUM(M72:M82)</f>
        <v>0</v>
      </c>
      <c r="O83" s="18">
        <f>SUM(O72:O82)</f>
        <v>162070.19</v>
      </c>
      <c r="Q83" s="18">
        <f>SUM(Q72:Q82)</f>
        <v>0</v>
      </c>
      <c r="S83" s="18">
        <f>SUM(S72:S82)</f>
        <v>0</v>
      </c>
      <c r="U83" s="18">
        <f>SUM(U72:U82)</f>
        <v>0</v>
      </c>
      <c r="W83" s="18">
        <f>SUM(W72:W82)</f>
        <v>0</v>
      </c>
      <c r="Y83" s="18">
        <f>SUM(Y72:Y82)</f>
        <v>0</v>
      </c>
      <c r="AA83" s="18">
        <f>SUM(AA72:AA82)</f>
        <v>0</v>
      </c>
      <c r="AC83" s="18">
        <f>SUM(AC72:AC82)</f>
        <v>0</v>
      </c>
      <c r="AE83" s="18">
        <f>SUM(AE72:AE82)</f>
        <v>0</v>
      </c>
      <c r="AF83" s="18">
        <f>SUM(AF72:AF82)</f>
        <v>0</v>
      </c>
      <c r="AG83" s="18">
        <f>SUM(AG72:AG82)</f>
        <v>0</v>
      </c>
      <c r="AI83" s="18">
        <f>SUM(AI72:AI82)</f>
        <v>162070.19</v>
      </c>
      <c r="AK83" s="18">
        <f>SUM(AK72:AK82)</f>
        <v>0</v>
      </c>
      <c r="AM83" s="18">
        <f>SUM(AM72:AM82)</f>
        <v>0</v>
      </c>
      <c r="AO83" s="18">
        <f>SUM(AO72:AO82)</f>
        <v>162070.19</v>
      </c>
      <c r="AQ83" s="18">
        <f>SUM(AQ72:AQ82)</f>
        <v>0</v>
      </c>
      <c r="AS83" s="18">
        <f>SUM(AS72:AS82)</f>
        <v>162070.19</v>
      </c>
      <c r="AU83" s="18">
        <f t="shared" si="25"/>
        <v>0</v>
      </c>
    </row>
    <row r="84" spans="1:47" x14ac:dyDescent="0.2">
      <c r="A84" s="8"/>
      <c r="C84" s="14"/>
      <c r="E84" s="14"/>
      <c r="G84" s="14"/>
      <c r="I84" s="14"/>
      <c r="K84" s="14"/>
      <c r="M84" s="14"/>
      <c r="O84" s="14"/>
      <c r="Q84" s="14"/>
      <c r="S84" s="14"/>
      <c r="U84" s="14"/>
      <c r="W84" s="14"/>
      <c r="Y84" s="14"/>
      <c r="AA84" s="14"/>
      <c r="AC84" s="14"/>
      <c r="AE84" s="14"/>
      <c r="AF84" s="14"/>
      <c r="AG84" s="14"/>
      <c r="AI84" s="14"/>
      <c r="AK84" s="14"/>
      <c r="AM84" s="14"/>
      <c r="AO84" s="14"/>
      <c r="AQ84" s="14"/>
      <c r="AS84" s="14"/>
      <c r="AU84" s="14"/>
    </row>
    <row r="85" spans="1:47" x14ac:dyDescent="0.2">
      <c r="A85" s="8"/>
      <c r="B85" s="12" t="s">
        <v>17</v>
      </c>
      <c r="C85" s="14"/>
      <c r="E85" s="14"/>
      <c r="G85" s="14"/>
      <c r="I85" s="14"/>
      <c r="K85" s="14"/>
      <c r="M85" s="14"/>
      <c r="O85" s="14"/>
      <c r="Q85" s="14"/>
      <c r="S85" s="14"/>
      <c r="U85" s="14"/>
      <c r="W85" s="14"/>
      <c r="Y85" s="14"/>
      <c r="AA85" s="14"/>
      <c r="AC85" s="14"/>
      <c r="AE85" s="14"/>
      <c r="AF85" s="14"/>
      <c r="AG85" s="14"/>
      <c r="AI85" s="14"/>
      <c r="AK85" s="14"/>
      <c r="AM85" s="14"/>
      <c r="AO85" s="14"/>
      <c r="AQ85" s="14"/>
      <c r="AS85" s="14"/>
      <c r="AU85" s="14"/>
    </row>
    <row r="86" spans="1:47" x14ac:dyDescent="0.2">
      <c r="A86" s="8"/>
      <c r="B86" s="3" t="s">
        <v>214</v>
      </c>
      <c r="C86" s="14">
        <v>0</v>
      </c>
      <c r="E86" s="14">
        <v>0</v>
      </c>
      <c r="G86" s="14">
        <v>0</v>
      </c>
      <c r="I86" s="14">
        <v>0</v>
      </c>
      <c r="K86" s="14">
        <v>0</v>
      </c>
      <c r="M86" s="14">
        <v>0</v>
      </c>
      <c r="O86" s="14">
        <v>-162070.19</v>
      </c>
      <c r="Q86" s="14">
        <v>-103618.65</v>
      </c>
      <c r="S86" s="14">
        <v>0</v>
      </c>
      <c r="U86" s="14">
        <v>0</v>
      </c>
      <c r="W86" s="14">
        <v>0</v>
      </c>
      <c r="Y86" s="14">
        <v>0</v>
      </c>
      <c r="AA86" s="14">
        <v>0</v>
      </c>
      <c r="AC86" s="14">
        <v>0</v>
      </c>
      <c r="AE86" s="14">
        <v>0</v>
      </c>
      <c r="AF86" s="14">
        <v>0</v>
      </c>
      <c r="AG86" s="14">
        <v>0</v>
      </c>
      <c r="AI86" s="17">
        <f>SUM(C86:AG86)</f>
        <v>-265688.83999999997</v>
      </c>
      <c r="AK86" s="14">
        <f t="shared" ref="AK86:AK96" si="26">SUMIF($C$9:$AH$9,"=Addition",$C86:$AH86)</f>
        <v>0</v>
      </c>
      <c r="AM86" s="14">
        <f t="shared" ref="AM86:AM97" si="27">SUMIF($C$9:$AH$9,"=Adjustment",$C86:$AH86)</f>
        <v>0</v>
      </c>
      <c r="AO86" s="14">
        <f t="shared" ref="AO86:AO97" si="28">SUMIF($C$9:$AH$9,"=Transfer",$C86:$AH86)</f>
        <v>-265688.83999999997</v>
      </c>
      <c r="AQ86" s="14">
        <f t="shared" ref="AQ86:AQ97" si="29">SUMIF($C$9:$Z$9,"=N/A",$C86:$Z86)</f>
        <v>0</v>
      </c>
      <c r="AS86" s="14">
        <f t="shared" ref="AS86:AS97" si="30">SUM(AK86:AQ86)</f>
        <v>-265688.83999999997</v>
      </c>
      <c r="AU86" s="14">
        <f t="shared" si="25"/>
        <v>0</v>
      </c>
    </row>
    <row r="87" spans="1:47" x14ac:dyDescent="0.2">
      <c r="A87" s="8"/>
      <c r="B87" s="3" t="s">
        <v>215</v>
      </c>
      <c r="C87" s="14">
        <v>0</v>
      </c>
      <c r="E87" s="14">
        <v>0</v>
      </c>
      <c r="G87" s="14">
        <v>0</v>
      </c>
      <c r="I87" s="14">
        <v>0</v>
      </c>
      <c r="K87" s="14">
        <v>0</v>
      </c>
      <c r="M87" s="14">
        <v>-4924909.4000000004</v>
      </c>
      <c r="O87" s="14">
        <v>0</v>
      </c>
      <c r="Q87" s="14">
        <v>0</v>
      </c>
      <c r="S87" s="14">
        <v>0</v>
      </c>
      <c r="U87" s="14">
        <v>0</v>
      </c>
      <c r="W87" s="14">
        <v>0</v>
      </c>
      <c r="Y87" s="14">
        <v>0</v>
      </c>
      <c r="AA87" s="14">
        <v>0</v>
      </c>
      <c r="AC87" s="14">
        <v>0</v>
      </c>
      <c r="AE87" s="14">
        <v>0</v>
      </c>
      <c r="AF87" s="14">
        <v>0</v>
      </c>
      <c r="AG87" s="14">
        <v>0</v>
      </c>
      <c r="AI87" s="17">
        <f t="shared" ref="AI87:AI96" si="31">SUM(C87:AF87)</f>
        <v>-4924909.4000000004</v>
      </c>
      <c r="AK87" s="14">
        <f t="shared" si="26"/>
        <v>0</v>
      </c>
      <c r="AM87" s="14">
        <f t="shared" si="27"/>
        <v>0</v>
      </c>
      <c r="AO87" s="14">
        <f t="shared" si="28"/>
        <v>-4924909.4000000004</v>
      </c>
      <c r="AQ87" s="14">
        <f t="shared" si="29"/>
        <v>0</v>
      </c>
      <c r="AS87" s="14">
        <f t="shared" si="30"/>
        <v>-4924909.4000000004</v>
      </c>
      <c r="AU87" s="14">
        <f t="shared" si="25"/>
        <v>0</v>
      </c>
    </row>
    <row r="88" spans="1:47" x14ac:dyDescent="0.2">
      <c r="A88" s="8"/>
      <c r="B88" s="3" t="s">
        <v>216</v>
      </c>
      <c r="C88" s="14">
        <v>0</v>
      </c>
      <c r="E88" s="14">
        <v>0</v>
      </c>
      <c r="G88" s="14">
        <v>0</v>
      </c>
      <c r="I88" s="14">
        <v>0</v>
      </c>
      <c r="K88" s="14">
        <v>0</v>
      </c>
      <c r="M88" s="14">
        <v>0</v>
      </c>
      <c r="O88" s="14">
        <v>0</v>
      </c>
      <c r="Q88" s="14">
        <v>0</v>
      </c>
      <c r="S88" s="14">
        <v>0</v>
      </c>
      <c r="U88" s="14">
        <v>0</v>
      </c>
      <c r="W88" s="14">
        <v>0</v>
      </c>
      <c r="Y88" s="14">
        <v>0</v>
      </c>
      <c r="AA88" s="14">
        <v>0</v>
      </c>
      <c r="AC88" s="14">
        <v>0</v>
      </c>
      <c r="AE88" s="14">
        <v>0</v>
      </c>
      <c r="AF88" s="14">
        <v>0</v>
      </c>
      <c r="AG88" s="14">
        <v>0</v>
      </c>
      <c r="AI88" s="17">
        <f t="shared" si="31"/>
        <v>0</v>
      </c>
      <c r="AK88" s="14">
        <f t="shared" si="26"/>
        <v>0</v>
      </c>
      <c r="AM88" s="14">
        <f t="shared" si="27"/>
        <v>0</v>
      </c>
      <c r="AO88" s="14">
        <f t="shared" si="28"/>
        <v>0</v>
      </c>
      <c r="AQ88" s="14">
        <f t="shared" si="29"/>
        <v>0</v>
      </c>
      <c r="AS88" s="14">
        <f t="shared" si="30"/>
        <v>0</v>
      </c>
      <c r="AU88" s="14">
        <f t="shared" si="25"/>
        <v>0</v>
      </c>
    </row>
    <row r="89" spans="1:47" x14ac:dyDescent="0.2">
      <c r="A89" s="8"/>
      <c r="B89" s="3" t="s">
        <v>217</v>
      </c>
      <c r="C89" s="14">
        <v>0</v>
      </c>
      <c r="E89" s="14">
        <v>0</v>
      </c>
      <c r="G89" s="14">
        <v>0</v>
      </c>
      <c r="I89" s="14">
        <v>0</v>
      </c>
      <c r="K89" s="14">
        <v>0</v>
      </c>
      <c r="M89" s="14">
        <f>-M87</f>
        <v>4924909.4000000004</v>
      </c>
      <c r="O89" s="14">
        <v>57817.46</v>
      </c>
      <c r="Q89" s="14">
        <v>0</v>
      </c>
      <c r="S89" s="14">
        <v>0</v>
      </c>
      <c r="U89" s="14">
        <v>0</v>
      </c>
      <c r="W89" s="14">
        <v>0</v>
      </c>
      <c r="Y89" s="14">
        <v>0</v>
      </c>
      <c r="AA89" s="14">
        <v>0</v>
      </c>
      <c r="AC89" s="14">
        <v>0</v>
      </c>
      <c r="AE89" s="14">
        <v>0</v>
      </c>
      <c r="AF89" s="14">
        <v>0</v>
      </c>
      <c r="AG89" s="14">
        <v>0</v>
      </c>
      <c r="AI89" s="17">
        <f t="shared" si="31"/>
        <v>4982726.8600000003</v>
      </c>
      <c r="AK89" s="14">
        <f t="shared" si="26"/>
        <v>0</v>
      </c>
      <c r="AM89" s="14">
        <f t="shared" si="27"/>
        <v>0</v>
      </c>
      <c r="AO89" s="14">
        <f t="shared" si="28"/>
        <v>4982726.8600000003</v>
      </c>
      <c r="AQ89" s="14">
        <f t="shared" si="29"/>
        <v>0</v>
      </c>
      <c r="AS89" s="14">
        <f t="shared" si="30"/>
        <v>4982726.8600000003</v>
      </c>
      <c r="AU89" s="14">
        <f t="shared" si="25"/>
        <v>0</v>
      </c>
    </row>
    <row r="90" spans="1:47" x14ac:dyDescent="0.2">
      <c r="A90" s="8"/>
      <c r="B90" s="3" t="s">
        <v>218</v>
      </c>
      <c r="C90" s="14">
        <v>0</v>
      </c>
      <c r="E90" s="14">
        <v>0</v>
      </c>
      <c r="G90" s="14">
        <v>0</v>
      </c>
      <c r="I90" s="14">
        <v>0</v>
      </c>
      <c r="K90" s="14">
        <v>0</v>
      </c>
      <c r="M90" s="14">
        <v>0</v>
      </c>
      <c r="O90" s="14">
        <v>0</v>
      </c>
      <c r="Q90" s="14">
        <v>0</v>
      </c>
      <c r="S90" s="14">
        <v>0</v>
      </c>
      <c r="U90" s="14">
        <v>0</v>
      </c>
      <c r="W90" s="14">
        <v>0</v>
      </c>
      <c r="Y90" s="14">
        <v>0</v>
      </c>
      <c r="AA90" s="14">
        <v>0</v>
      </c>
      <c r="AC90" s="14">
        <v>0</v>
      </c>
      <c r="AE90" s="14">
        <v>0</v>
      </c>
      <c r="AF90" s="14">
        <v>0</v>
      </c>
      <c r="AG90" s="14">
        <v>0</v>
      </c>
      <c r="AI90" s="17">
        <f t="shared" si="31"/>
        <v>0</v>
      </c>
      <c r="AK90" s="14">
        <f t="shared" si="26"/>
        <v>0</v>
      </c>
      <c r="AM90" s="14">
        <f t="shared" si="27"/>
        <v>0</v>
      </c>
      <c r="AO90" s="14">
        <f t="shared" si="28"/>
        <v>0</v>
      </c>
      <c r="AQ90" s="14">
        <f t="shared" si="29"/>
        <v>0</v>
      </c>
      <c r="AS90" s="14">
        <f t="shared" si="30"/>
        <v>0</v>
      </c>
      <c r="AU90" s="14">
        <f t="shared" si="25"/>
        <v>0</v>
      </c>
    </row>
    <row r="91" spans="1:47" x14ac:dyDescent="0.2">
      <c r="A91" s="8"/>
      <c r="B91" s="3" t="s">
        <v>219</v>
      </c>
      <c r="C91" s="14">
        <v>0</v>
      </c>
      <c r="E91" s="14">
        <v>0</v>
      </c>
      <c r="G91" s="14">
        <v>0</v>
      </c>
      <c r="I91" s="14">
        <v>0</v>
      </c>
      <c r="K91" s="14">
        <v>0</v>
      </c>
      <c r="M91" s="14">
        <v>0</v>
      </c>
      <c r="O91" s="14">
        <v>0</v>
      </c>
      <c r="Q91" s="14">
        <v>0</v>
      </c>
      <c r="S91" s="14">
        <v>0</v>
      </c>
      <c r="U91" s="14">
        <v>0</v>
      </c>
      <c r="W91" s="14">
        <v>0</v>
      </c>
      <c r="Y91" s="14">
        <v>0</v>
      </c>
      <c r="AA91" s="14">
        <v>0</v>
      </c>
      <c r="AC91" s="14">
        <v>0</v>
      </c>
      <c r="AE91" s="14">
        <v>0</v>
      </c>
      <c r="AF91" s="14">
        <v>0</v>
      </c>
      <c r="AG91" s="14">
        <v>0</v>
      </c>
      <c r="AI91" s="17">
        <f t="shared" si="31"/>
        <v>0</v>
      </c>
      <c r="AK91" s="14">
        <f t="shared" si="26"/>
        <v>0</v>
      </c>
      <c r="AM91" s="14">
        <f t="shared" si="27"/>
        <v>0</v>
      </c>
      <c r="AO91" s="14">
        <f t="shared" si="28"/>
        <v>0</v>
      </c>
      <c r="AQ91" s="14">
        <f t="shared" si="29"/>
        <v>0</v>
      </c>
      <c r="AS91" s="14">
        <f t="shared" si="30"/>
        <v>0</v>
      </c>
      <c r="AU91" s="14">
        <f t="shared" si="25"/>
        <v>0</v>
      </c>
    </row>
    <row r="92" spans="1:47" x14ac:dyDescent="0.2">
      <c r="A92" s="8"/>
      <c r="B92" s="3" t="s">
        <v>220</v>
      </c>
      <c r="C92" s="14">
        <v>0</v>
      </c>
      <c r="E92" s="14">
        <v>0</v>
      </c>
      <c r="G92" s="14">
        <v>0</v>
      </c>
      <c r="I92" s="14">
        <v>0</v>
      </c>
      <c r="K92" s="14">
        <v>0</v>
      </c>
      <c r="M92" s="14">
        <v>0</v>
      </c>
      <c r="O92" s="14">
        <v>0</v>
      </c>
      <c r="Q92" s="14">
        <v>0</v>
      </c>
      <c r="S92" s="14">
        <v>0</v>
      </c>
      <c r="U92" s="14">
        <v>0</v>
      </c>
      <c r="W92" s="14">
        <v>0</v>
      </c>
      <c r="Y92" s="14">
        <v>0</v>
      </c>
      <c r="AA92" s="14">
        <v>0</v>
      </c>
      <c r="AC92" s="14">
        <v>0</v>
      </c>
      <c r="AE92" s="14">
        <v>0</v>
      </c>
      <c r="AF92" s="14">
        <v>0</v>
      </c>
      <c r="AG92" s="14">
        <v>0</v>
      </c>
      <c r="AI92" s="17">
        <f t="shared" si="31"/>
        <v>0</v>
      </c>
      <c r="AK92" s="14">
        <f t="shared" si="26"/>
        <v>0</v>
      </c>
      <c r="AM92" s="14">
        <f t="shared" si="27"/>
        <v>0</v>
      </c>
      <c r="AO92" s="14">
        <f t="shared" si="28"/>
        <v>0</v>
      </c>
      <c r="AQ92" s="14">
        <f t="shared" si="29"/>
        <v>0</v>
      </c>
      <c r="AS92" s="14">
        <f t="shared" si="30"/>
        <v>0</v>
      </c>
      <c r="AU92" s="14">
        <f t="shared" si="25"/>
        <v>0</v>
      </c>
    </row>
    <row r="93" spans="1:47" x14ac:dyDescent="0.2">
      <c r="A93" s="8"/>
      <c r="B93" s="3" t="s">
        <v>221</v>
      </c>
      <c r="C93" s="14">
        <v>0</v>
      </c>
      <c r="E93" s="14">
        <v>0</v>
      </c>
      <c r="G93" s="14">
        <v>0</v>
      </c>
      <c r="I93" s="14">
        <v>0</v>
      </c>
      <c r="K93" s="14">
        <v>0</v>
      </c>
      <c r="M93" s="14">
        <v>0</v>
      </c>
      <c r="O93" s="14">
        <v>0</v>
      </c>
      <c r="Q93" s="14">
        <v>0</v>
      </c>
      <c r="S93" s="14">
        <v>0</v>
      </c>
      <c r="U93" s="14">
        <v>0</v>
      </c>
      <c r="W93" s="14">
        <v>0</v>
      </c>
      <c r="Y93" s="14">
        <v>0</v>
      </c>
      <c r="AA93" s="14">
        <v>0</v>
      </c>
      <c r="AC93" s="14">
        <v>0</v>
      </c>
      <c r="AE93" s="14">
        <v>0</v>
      </c>
      <c r="AF93" s="14">
        <v>0</v>
      </c>
      <c r="AG93" s="14">
        <v>0</v>
      </c>
      <c r="AI93" s="17">
        <f t="shared" si="31"/>
        <v>0</v>
      </c>
      <c r="AK93" s="14">
        <f t="shared" si="26"/>
        <v>0</v>
      </c>
      <c r="AM93" s="14">
        <f t="shared" si="27"/>
        <v>0</v>
      </c>
      <c r="AO93" s="14">
        <f t="shared" si="28"/>
        <v>0</v>
      </c>
      <c r="AQ93" s="14">
        <f t="shared" si="29"/>
        <v>0</v>
      </c>
      <c r="AS93" s="14">
        <f t="shared" si="30"/>
        <v>0</v>
      </c>
      <c r="AU93" s="14">
        <f t="shared" si="25"/>
        <v>0</v>
      </c>
    </row>
    <row r="94" spans="1:47" x14ac:dyDescent="0.2">
      <c r="A94" s="8"/>
      <c r="B94" s="3" t="s">
        <v>222</v>
      </c>
      <c r="C94" s="14">
        <v>0</v>
      </c>
      <c r="E94" s="14">
        <v>0</v>
      </c>
      <c r="G94" s="14">
        <v>0</v>
      </c>
      <c r="I94" s="14">
        <v>0</v>
      </c>
      <c r="K94" s="14">
        <v>0</v>
      </c>
      <c r="M94" s="14">
        <v>0</v>
      </c>
      <c r="O94" s="14">
        <v>0</v>
      </c>
      <c r="Q94" s="14">
        <v>0</v>
      </c>
      <c r="S94" s="14">
        <v>0</v>
      </c>
      <c r="U94" s="14">
        <v>0</v>
      </c>
      <c r="W94" s="14">
        <v>0</v>
      </c>
      <c r="Y94" s="14">
        <v>0</v>
      </c>
      <c r="AA94" s="14">
        <v>0</v>
      </c>
      <c r="AC94" s="14">
        <v>0</v>
      </c>
      <c r="AE94" s="14">
        <v>0</v>
      </c>
      <c r="AF94" s="14">
        <v>0</v>
      </c>
      <c r="AG94" s="14">
        <v>0</v>
      </c>
      <c r="AI94" s="17">
        <f t="shared" si="31"/>
        <v>0</v>
      </c>
      <c r="AK94" s="14">
        <f t="shared" si="26"/>
        <v>0</v>
      </c>
      <c r="AM94" s="14">
        <f t="shared" si="27"/>
        <v>0</v>
      </c>
      <c r="AO94" s="14">
        <f t="shared" si="28"/>
        <v>0</v>
      </c>
      <c r="AQ94" s="14">
        <f t="shared" si="29"/>
        <v>0</v>
      </c>
      <c r="AS94" s="14">
        <f t="shared" si="30"/>
        <v>0</v>
      </c>
      <c r="AU94" s="14">
        <f t="shared" si="25"/>
        <v>0</v>
      </c>
    </row>
    <row r="95" spans="1:47" x14ac:dyDescent="0.2">
      <c r="A95" s="8"/>
      <c r="B95" s="3" t="s">
        <v>223</v>
      </c>
      <c r="C95" s="14">
        <v>0</v>
      </c>
      <c r="E95" s="14">
        <v>0</v>
      </c>
      <c r="G95" s="14">
        <v>0</v>
      </c>
      <c r="I95" s="14">
        <v>0</v>
      </c>
      <c r="K95" s="14">
        <v>0</v>
      </c>
      <c r="M95" s="14">
        <v>0</v>
      </c>
      <c r="O95" s="14">
        <v>-57817.46</v>
      </c>
      <c r="Q95" s="14">
        <v>0</v>
      </c>
      <c r="S95" s="14">
        <v>0</v>
      </c>
      <c r="U95" s="14">
        <v>0</v>
      </c>
      <c r="W95" s="14">
        <v>0</v>
      </c>
      <c r="Y95" s="14">
        <v>0</v>
      </c>
      <c r="AA95" s="14">
        <v>0</v>
      </c>
      <c r="AC95" s="14">
        <v>0</v>
      </c>
      <c r="AE95" s="14">
        <v>0</v>
      </c>
      <c r="AF95" s="14">
        <v>0</v>
      </c>
      <c r="AG95" s="14">
        <v>0</v>
      </c>
      <c r="AI95" s="17">
        <f t="shared" si="31"/>
        <v>-57817.46</v>
      </c>
      <c r="AK95" s="14">
        <f t="shared" si="26"/>
        <v>0</v>
      </c>
      <c r="AM95" s="14">
        <f t="shared" si="27"/>
        <v>0</v>
      </c>
      <c r="AO95" s="14">
        <f t="shared" si="28"/>
        <v>-57817.46</v>
      </c>
      <c r="AQ95" s="14">
        <f t="shared" si="29"/>
        <v>0</v>
      </c>
      <c r="AS95" s="14">
        <f t="shared" si="30"/>
        <v>-57817.46</v>
      </c>
      <c r="AU95" s="14">
        <f t="shared" si="25"/>
        <v>0</v>
      </c>
    </row>
    <row r="96" spans="1:47" x14ac:dyDescent="0.2">
      <c r="A96" s="8"/>
      <c r="B96" s="3" t="s">
        <v>224</v>
      </c>
      <c r="C96" s="14">
        <v>0</v>
      </c>
      <c r="E96" s="14">
        <v>0</v>
      </c>
      <c r="G96" s="14">
        <v>0</v>
      </c>
      <c r="I96" s="14">
        <v>0</v>
      </c>
      <c r="K96" s="14">
        <v>0</v>
      </c>
      <c r="M96" s="14">
        <v>0</v>
      </c>
      <c r="O96" s="14">
        <v>0</v>
      </c>
      <c r="Q96" s="14">
        <v>0</v>
      </c>
      <c r="S96" s="14">
        <v>0</v>
      </c>
      <c r="U96" s="14">
        <v>1780993.09</v>
      </c>
      <c r="W96" s="14">
        <v>-312656414.22000003</v>
      </c>
      <c r="Y96" s="14">
        <v>-1030240.43</v>
      </c>
      <c r="AA96" s="14">
        <v>0</v>
      </c>
      <c r="AC96" s="14">
        <v>15351424.01</v>
      </c>
      <c r="AE96" s="14">
        <f>-461054.08-2380135.57</f>
        <v>-2841189.65</v>
      </c>
      <c r="AF96" s="14">
        <v>0</v>
      </c>
      <c r="AG96" s="14">
        <v>0</v>
      </c>
      <c r="AI96" s="17">
        <f t="shared" si="31"/>
        <v>-299395427.20000005</v>
      </c>
      <c r="AK96" s="14">
        <f t="shared" si="26"/>
        <v>17132417.100000001</v>
      </c>
      <c r="AM96" s="14">
        <f t="shared" si="27"/>
        <v>-3871430.08</v>
      </c>
      <c r="AO96" s="14">
        <f t="shared" si="28"/>
        <v>-312656414.22000003</v>
      </c>
      <c r="AQ96" s="14">
        <f t="shared" si="29"/>
        <v>0</v>
      </c>
      <c r="AS96" s="14">
        <f t="shared" si="30"/>
        <v>-299395427.20000005</v>
      </c>
      <c r="AU96" s="14">
        <f t="shared" si="25"/>
        <v>0</v>
      </c>
    </row>
    <row r="97" spans="1:47" x14ac:dyDescent="0.2">
      <c r="A97" s="8"/>
      <c r="B97" s="3" t="s">
        <v>225</v>
      </c>
      <c r="C97" s="14"/>
      <c r="E97" s="14"/>
      <c r="G97" s="14"/>
      <c r="I97" s="14"/>
      <c r="K97" s="14"/>
      <c r="M97" s="14"/>
      <c r="O97" s="14"/>
      <c r="Q97" s="14"/>
      <c r="S97" s="14"/>
      <c r="U97" s="14"/>
      <c r="W97" s="14">
        <v>312656414.22000003</v>
      </c>
      <c r="Y97" s="14">
        <f>406534.69-92732064.96</f>
        <v>-92325530.269999996</v>
      </c>
      <c r="AA97" s="14"/>
      <c r="AC97" s="14">
        <v>160574.20000000001</v>
      </c>
      <c r="AE97" s="14"/>
      <c r="AF97" s="14"/>
      <c r="AG97" s="14"/>
      <c r="AI97" s="16">
        <f>SUM(C97:AF97)</f>
        <v>220491458.15000004</v>
      </c>
      <c r="AK97" s="14">
        <f>SUMIF($C$9:$AH$9,"=Addition",$C97:$AH97)</f>
        <v>160574.20000000001</v>
      </c>
      <c r="AM97" s="14">
        <f t="shared" si="27"/>
        <v>-92325530.269999996</v>
      </c>
      <c r="AO97" s="14">
        <f t="shared" si="28"/>
        <v>312656414.22000003</v>
      </c>
      <c r="AQ97" s="14">
        <f t="shared" si="29"/>
        <v>0</v>
      </c>
      <c r="AS97" s="14">
        <f t="shared" si="30"/>
        <v>220491458.15000004</v>
      </c>
      <c r="AU97" s="14"/>
    </row>
    <row r="98" spans="1:47" x14ac:dyDescent="0.2">
      <c r="A98" s="8"/>
      <c r="B98" s="12" t="s">
        <v>226</v>
      </c>
      <c r="C98" s="18">
        <f>SUM(C86:C96)</f>
        <v>0</v>
      </c>
      <c r="E98" s="18">
        <f>SUM(E86:E96)</f>
        <v>0</v>
      </c>
      <c r="G98" s="18">
        <f>SUM(G86:G96)</f>
        <v>0</v>
      </c>
      <c r="I98" s="18">
        <f>SUM(I86:I96)</f>
        <v>0</v>
      </c>
      <c r="K98" s="18">
        <f>SUM(K86:K96)</f>
        <v>0</v>
      </c>
      <c r="M98" s="18">
        <f>SUM(M86:M96)</f>
        <v>0</v>
      </c>
      <c r="O98" s="18">
        <f>SUM(O86:O96)</f>
        <v>-162070.19</v>
      </c>
      <c r="Q98" s="18">
        <f>SUM(Q86:Q96)</f>
        <v>-103618.65</v>
      </c>
      <c r="S98" s="18">
        <f>SUM(S86:S96)</f>
        <v>0</v>
      </c>
      <c r="U98" s="18">
        <f>SUM(U86:U96)</f>
        <v>1780993.09</v>
      </c>
      <c r="W98" s="18">
        <f>SUM(W86:W97)</f>
        <v>0</v>
      </c>
      <c r="Y98" s="18">
        <f>SUM(Y86:Y96)</f>
        <v>-1030240.43</v>
      </c>
      <c r="AA98" s="18">
        <f>SUM(AA86:AA96)</f>
        <v>0</v>
      </c>
      <c r="AC98" s="18">
        <f>SUM(AC86:AC97)</f>
        <v>15511998.209999999</v>
      </c>
      <c r="AE98" s="18">
        <f>SUM(AE86:AE96)</f>
        <v>-2841189.65</v>
      </c>
      <c r="AF98" s="18">
        <f>SUM(AF86:AF96)</f>
        <v>0</v>
      </c>
      <c r="AG98" s="18">
        <f>SUM(AG86:AG96)</f>
        <v>0</v>
      </c>
      <c r="AI98" s="17">
        <f>SUM(AI86:AI97)</f>
        <v>-79169657.889999986</v>
      </c>
      <c r="AK98" s="18">
        <f>SUM(AK86:AK97)</f>
        <v>17292991.300000001</v>
      </c>
      <c r="AM98" s="18">
        <f>SUM(AM86:AM97)</f>
        <v>-96196960.349999994</v>
      </c>
      <c r="AO98" s="18">
        <f>SUM(AO86:AO97)</f>
        <v>-265688.83999997377</v>
      </c>
      <c r="AQ98" s="18">
        <f>SUM(AQ86:AQ97)</f>
        <v>0</v>
      </c>
      <c r="AS98" s="18">
        <f>SUM(AS86:AS97)</f>
        <v>-79169657.889999986</v>
      </c>
      <c r="AU98" s="18">
        <f t="shared" si="25"/>
        <v>0</v>
      </c>
    </row>
    <row r="99" spans="1:47" x14ac:dyDescent="0.2">
      <c r="A99" s="8"/>
      <c r="C99" s="14"/>
      <c r="E99" s="14"/>
      <c r="G99" s="14"/>
      <c r="I99" s="14"/>
      <c r="K99" s="14"/>
      <c r="M99" s="14"/>
      <c r="O99" s="14"/>
      <c r="Q99" s="14"/>
      <c r="S99" s="14"/>
      <c r="U99" s="14"/>
      <c r="W99" s="14"/>
      <c r="Y99" s="14"/>
      <c r="AA99" s="14"/>
      <c r="AC99" s="14"/>
      <c r="AE99" s="14"/>
      <c r="AF99" s="14"/>
      <c r="AG99" s="14"/>
      <c r="AI99" s="14"/>
      <c r="AK99" s="14"/>
      <c r="AM99" s="14"/>
      <c r="AO99" s="14"/>
      <c r="AQ99" s="14"/>
      <c r="AS99" s="14"/>
      <c r="AU99" s="14"/>
    </row>
    <row r="100" spans="1:47" x14ac:dyDescent="0.2">
      <c r="A100" s="8"/>
      <c r="B100" s="12" t="s">
        <v>18</v>
      </c>
      <c r="C100" s="14"/>
      <c r="E100" s="14"/>
      <c r="G100" s="14"/>
      <c r="I100" s="14"/>
      <c r="K100" s="14"/>
      <c r="M100" s="14"/>
      <c r="O100" s="14"/>
      <c r="Q100" s="14"/>
      <c r="S100" s="14"/>
      <c r="U100" s="14"/>
      <c r="W100" s="14"/>
      <c r="Y100" s="14"/>
      <c r="AA100" s="14"/>
      <c r="AC100" s="14"/>
      <c r="AE100" s="14"/>
      <c r="AF100" s="14"/>
      <c r="AG100" s="14"/>
      <c r="AI100" s="14"/>
      <c r="AK100" s="14"/>
      <c r="AM100" s="14"/>
      <c r="AO100" s="14"/>
      <c r="AQ100" s="14"/>
      <c r="AS100" s="14"/>
      <c r="AU100" s="14"/>
    </row>
    <row r="101" spans="1:47" x14ac:dyDescent="0.2">
      <c r="A101" s="8"/>
      <c r="B101" s="3" t="s">
        <v>227</v>
      </c>
      <c r="C101" s="14">
        <v>0</v>
      </c>
      <c r="E101" s="14">
        <f>-1732030.19+1732030.19</f>
        <v>0</v>
      </c>
      <c r="G101" s="14">
        <v>0</v>
      </c>
      <c r="I101" s="14">
        <v>0</v>
      </c>
      <c r="K101" s="14">
        <v>0</v>
      </c>
      <c r="M101" s="14">
        <v>0</v>
      </c>
      <c r="O101" s="14">
        <v>0</v>
      </c>
      <c r="Q101" s="14">
        <v>0</v>
      </c>
      <c r="S101" s="14">
        <v>0</v>
      </c>
      <c r="U101" s="14">
        <v>0</v>
      </c>
      <c r="W101" s="14">
        <v>0</v>
      </c>
      <c r="Y101" s="14">
        <v>0</v>
      </c>
      <c r="AA101" s="14">
        <v>0</v>
      </c>
      <c r="AC101" s="14">
        <v>0</v>
      </c>
      <c r="AE101" s="14">
        <v>0</v>
      </c>
      <c r="AF101" s="14">
        <v>0</v>
      </c>
      <c r="AG101" s="14">
        <v>0</v>
      </c>
      <c r="AI101" s="17">
        <f t="shared" ref="AI101:AI114" si="32">SUM(C101:AF101)</f>
        <v>0</v>
      </c>
      <c r="AK101" s="14">
        <f t="shared" ref="AK101:AK114" si="33">SUMIF($C$9:$AH$9,"=Addition",$C101:$AH101)</f>
        <v>0</v>
      </c>
      <c r="AM101" s="14">
        <f t="shared" ref="AM101:AM114" si="34">SUMIF($C$9:$AH$9,"=Adjustment",$C101:$AH101)</f>
        <v>0</v>
      </c>
      <c r="AO101" s="14">
        <f t="shared" ref="AO101:AO114" si="35">SUMIF($C$9:$AH$9,"=Transfer",$C101:$AH101)</f>
        <v>0</v>
      </c>
      <c r="AQ101" s="14">
        <f t="shared" ref="AQ101:AQ114" si="36">SUMIF($C$9:$Z$9,"=N/A",$C101:$Z101)</f>
        <v>0</v>
      </c>
      <c r="AS101" s="14">
        <f t="shared" ref="AS101:AS114" si="37">SUM(AK101:AQ101)</f>
        <v>0</v>
      </c>
      <c r="AU101" s="14">
        <f t="shared" si="25"/>
        <v>0</v>
      </c>
    </row>
    <row r="102" spans="1:47" x14ac:dyDescent="0.2">
      <c r="A102" s="8"/>
      <c r="B102" s="3" t="s">
        <v>228</v>
      </c>
      <c r="C102" s="14">
        <v>0</v>
      </c>
      <c r="E102" s="14">
        <v>0</v>
      </c>
      <c r="G102" s="14">
        <v>0</v>
      </c>
      <c r="I102" s="14">
        <v>0</v>
      </c>
      <c r="K102" s="14">
        <v>0</v>
      </c>
      <c r="M102" s="14">
        <v>0</v>
      </c>
      <c r="O102" s="14">
        <v>0</v>
      </c>
      <c r="Q102" s="14">
        <v>0</v>
      </c>
      <c r="S102" s="14">
        <v>0</v>
      </c>
      <c r="U102" s="14">
        <v>0</v>
      </c>
      <c r="W102" s="14">
        <v>0</v>
      </c>
      <c r="Y102" s="14">
        <v>0</v>
      </c>
      <c r="AA102" s="14">
        <v>0</v>
      </c>
      <c r="AC102" s="14">
        <v>0</v>
      </c>
      <c r="AE102" s="14">
        <v>0</v>
      </c>
      <c r="AF102" s="14">
        <v>0</v>
      </c>
      <c r="AG102" s="14">
        <v>0</v>
      </c>
      <c r="AI102" s="17">
        <f t="shared" si="32"/>
        <v>0</v>
      </c>
      <c r="AK102" s="14">
        <f t="shared" si="33"/>
        <v>0</v>
      </c>
      <c r="AM102" s="14">
        <f t="shared" si="34"/>
        <v>0</v>
      </c>
      <c r="AO102" s="14">
        <f t="shared" si="35"/>
        <v>0</v>
      </c>
      <c r="AQ102" s="14">
        <f t="shared" si="36"/>
        <v>0</v>
      </c>
      <c r="AS102" s="14">
        <f t="shared" si="37"/>
        <v>0</v>
      </c>
      <c r="AU102" s="14">
        <f t="shared" si="25"/>
        <v>0</v>
      </c>
    </row>
    <row r="103" spans="1:47" x14ac:dyDescent="0.2">
      <c r="A103" s="8"/>
      <c r="B103" s="3" t="s">
        <v>229</v>
      </c>
      <c r="C103" s="14">
        <v>0</v>
      </c>
      <c r="E103" s="14">
        <v>0</v>
      </c>
      <c r="G103" s="14">
        <v>0</v>
      </c>
      <c r="I103" s="14">
        <v>0</v>
      </c>
      <c r="K103" s="14">
        <v>0</v>
      </c>
      <c r="M103" s="14">
        <v>0</v>
      </c>
      <c r="O103" s="14">
        <v>0</v>
      </c>
      <c r="Q103" s="14">
        <v>0</v>
      </c>
      <c r="S103" s="14">
        <v>0</v>
      </c>
      <c r="U103" s="14">
        <v>0</v>
      </c>
      <c r="W103" s="14">
        <v>0</v>
      </c>
      <c r="Y103" s="14">
        <v>0</v>
      </c>
      <c r="AA103" s="14">
        <v>0</v>
      </c>
      <c r="AC103" s="14">
        <v>0</v>
      </c>
      <c r="AE103" s="14">
        <v>0</v>
      </c>
      <c r="AF103" s="14">
        <v>-4946.97</v>
      </c>
      <c r="AG103" s="14">
        <v>0</v>
      </c>
      <c r="AI103" s="17">
        <f t="shared" si="32"/>
        <v>-4946.97</v>
      </c>
      <c r="AK103" s="14">
        <f t="shared" si="33"/>
        <v>0</v>
      </c>
      <c r="AM103" s="14">
        <f t="shared" si="34"/>
        <v>0</v>
      </c>
      <c r="AO103" s="14">
        <f t="shared" si="35"/>
        <v>-4946.97</v>
      </c>
      <c r="AQ103" s="14">
        <f t="shared" si="36"/>
        <v>0</v>
      </c>
      <c r="AS103" s="14">
        <f t="shared" si="37"/>
        <v>-4946.97</v>
      </c>
      <c r="AU103" s="14">
        <f t="shared" si="25"/>
        <v>0</v>
      </c>
    </row>
    <row r="104" spans="1:47" x14ac:dyDescent="0.2">
      <c r="A104" s="8"/>
      <c r="B104" s="3" t="s">
        <v>230</v>
      </c>
      <c r="C104" s="14">
        <v>0</v>
      </c>
      <c r="E104" s="14">
        <v>0</v>
      </c>
      <c r="G104" s="14">
        <v>0</v>
      </c>
      <c r="I104" s="14">
        <v>0</v>
      </c>
      <c r="K104" s="14">
        <v>0</v>
      </c>
      <c r="M104" s="14">
        <v>0</v>
      </c>
      <c r="O104" s="14">
        <v>0</v>
      </c>
      <c r="Q104" s="14">
        <v>0</v>
      </c>
      <c r="S104" s="14">
        <v>0</v>
      </c>
      <c r="U104" s="14">
        <v>0</v>
      </c>
      <c r="W104" s="14">
        <v>0</v>
      </c>
      <c r="Y104" s="14">
        <v>0</v>
      </c>
      <c r="AA104" s="14">
        <v>0</v>
      </c>
      <c r="AC104" s="14">
        <v>0</v>
      </c>
      <c r="AE104" s="14">
        <v>0</v>
      </c>
      <c r="AF104" s="14">
        <v>0</v>
      </c>
      <c r="AG104" s="14">
        <v>0</v>
      </c>
      <c r="AI104" s="17">
        <f t="shared" si="32"/>
        <v>0</v>
      </c>
      <c r="AK104" s="14">
        <f t="shared" si="33"/>
        <v>0</v>
      </c>
      <c r="AM104" s="14">
        <f t="shared" si="34"/>
        <v>0</v>
      </c>
      <c r="AO104" s="14">
        <f t="shared" si="35"/>
        <v>0</v>
      </c>
      <c r="AQ104" s="14">
        <f t="shared" si="36"/>
        <v>0</v>
      </c>
      <c r="AS104" s="14">
        <f t="shared" si="37"/>
        <v>0</v>
      </c>
      <c r="AU104" s="14">
        <f t="shared" si="25"/>
        <v>0</v>
      </c>
    </row>
    <row r="105" spans="1:47" x14ac:dyDescent="0.2">
      <c r="A105" s="8"/>
      <c r="B105" s="3" t="s">
        <v>231</v>
      </c>
      <c r="C105" s="14">
        <v>0</v>
      </c>
      <c r="E105" s="14">
        <v>0</v>
      </c>
      <c r="G105" s="14">
        <v>170157.37</v>
      </c>
      <c r="I105" s="14">
        <v>0</v>
      </c>
      <c r="K105" s="14">
        <v>0</v>
      </c>
      <c r="M105" s="14">
        <v>0</v>
      </c>
      <c r="O105" s="14">
        <v>0</v>
      </c>
      <c r="Q105" s="14">
        <v>0</v>
      </c>
      <c r="S105" s="14">
        <f>254769.21-G105+51847.62</f>
        <v>136459.46</v>
      </c>
      <c r="U105" s="14">
        <v>0</v>
      </c>
      <c r="W105" s="14">
        <v>0</v>
      </c>
      <c r="Y105" s="14">
        <v>0</v>
      </c>
      <c r="AA105" s="14">
        <v>0</v>
      </c>
      <c r="AC105" s="14">
        <v>0</v>
      </c>
      <c r="AE105" s="14">
        <v>0</v>
      </c>
      <c r="AF105" s="14">
        <v>-96291.839999999997</v>
      </c>
      <c r="AG105" s="14">
        <v>0</v>
      </c>
      <c r="AI105" s="17">
        <f t="shared" si="32"/>
        <v>210324.98999999996</v>
      </c>
      <c r="AK105" s="14">
        <f t="shared" si="33"/>
        <v>0</v>
      </c>
      <c r="AM105" s="14">
        <f t="shared" si="34"/>
        <v>0</v>
      </c>
      <c r="AO105" s="14">
        <f t="shared" si="35"/>
        <v>210324.98999999996</v>
      </c>
      <c r="AQ105" s="14">
        <f t="shared" si="36"/>
        <v>0</v>
      </c>
      <c r="AS105" s="14">
        <f t="shared" si="37"/>
        <v>210324.98999999996</v>
      </c>
      <c r="AU105" s="14">
        <f t="shared" si="25"/>
        <v>0</v>
      </c>
    </row>
    <row r="106" spans="1:47" x14ac:dyDescent="0.2">
      <c r="A106" s="8"/>
      <c r="B106" s="3" t="s">
        <v>232</v>
      </c>
      <c r="C106" s="14">
        <v>0</v>
      </c>
      <c r="E106" s="14">
        <v>0</v>
      </c>
      <c r="G106" s="14">
        <v>0</v>
      </c>
      <c r="I106" s="14">
        <v>0</v>
      </c>
      <c r="K106" s="14">
        <v>0</v>
      </c>
      <c r="M106" s="14">
        <v>0</v>
      </c>
      <c r="O106" s="14">
        <v>0</v>
      </c>
      <c r="Q106" s="14">
        <v>0</v>
      </c>
      <c r="S106" s="14">
        <v>0</v>
      </c>
      <c r="U106" s="14">
        <v>0</v>
      </c>
      <c r="W106" s="14">
        <v>0</v>
      </c>
      <c r="Y106" s="14">
        <v>0</v>
      </c>
      <c r="AA106" s="14">
        <v>0</v>
      </c>
      <c r="AC106" s="14">
        <v>0</v>
      </c>
      <c r="AE106" s="14">
        <v>0</v>
      </c>
      <c r="AF106" s="14">
        <v>0</v>
      </c>
      <c r="AG106" s="14">
        <v>0</v>
      </c>
      <c r="AI106" s="17">
        <f t="shared" si="32"/>
        <v>0</v>
      </c>
      <c r="AK106" s="14">
        <f t="shared" si="33"/>
        <v>0</v>
      </c>
      <c r="AM106" s="14">
        <f t="shared" si="34"/>
        <v>0</v>
      </c>
      <c r="AO106" s="14">
        <f t="shared" si="35"/>
        <v>0</v>
      </c>
      <c r="AQ106" s="14">
        <f t="shared" si="36"/>
        <v>0</v>
      </c>
      <c r="AS106" s="14">
        <f t="shared" si="37"/>
        <v>0</v>
      </c>
      <c r="AU106" s="14">
        <f t="shared" si="25"/>
        <v>0</v>
      </c>
    </row>
    <row r="107" spans="1:47" x14ac:dyDescent="0.2">
      <c r="A107" s="8"/>
      <c r="B107" s="3" t="s">
        <v>233</v>
      </c>
      <c r="C107" s="14">
        <v>0</v>
      </c>
      <c r="E107" s="14">
        <v>0</v>
      </c>
      <c r="G107" s="14">
        <v>0</v>
      </c>
      <c r="I107" s="14">
        <v>0</v>
      </c>
      <c r="K107" s="14">
        <v>0</v>
      </c>
      <c r="M107" s="14">
        <v>0</v>
      </c>
      <c r="O107" s="14">
        <v>0</v>
      </c>
      <c r="Q107" s="14">
        <v>0</v>
      </c>
      <c r="S107" s="14">
        <v>0</v>
      </c>
      <c r="U107" s="14">
        <v>0</v>
      </c>
      <c r="W107" s="14">
        <v>0</v>
      </c>
      <c r="Y107" s="14">
        <v>0</v>
      </c>
      <c r="AA107" s="14">
        <v>0</v>
      </c>
      <c r="AC107" s="14">
        <v>0</v>
      </c>
      <c r="AE107" s="14">
        <v>0</v>
      </c>
      <c r="AF107" s="14">
        <v>0</v>
      </c>
      <c r="AG107" s="14">
        <v>0</v>
      </c>
      <c r="AI107" s="17">
        <f t="shared" si="32"/>
        <v>0</v>
      </c>
      <c r="AK107" s="14">
        <f t="shared" si="33"/>
        <v>0</v>
      </c>
      <c r="AM107" s="14">
        <f t="shared" si="34"/>
        <v>0</v>
      </c>
      <c r="AO107" s="14">
        <f t="shared" si="35"/>
        <v>0</v>
      </c>
      <c r="AQ107" s="14">
        <f t="shared" si="36"/>
        <v>0</v>
      </c>
      <c r="AS107" s="14">
        <f t="shared" si="37"/>
        <v>0</v>
      </c>
      <c r="AU107" s="14">
        <f t="shared" si="25"/>
        <v>0</v>
      </c>
    </row>
    <row r="108" spans="1:47" x14ac:dyDescent="0.2">
      <c r="A108" s="8"/>
      <c r="B108" s="3" t="s">
        <v>234</v>
      </c>
      <c r="C108" s="14">
        <v>0</v>
      </c>
      <c r="E108" s="14">
        <v>0</v>
      </c>
      <c r="G108" s="14">
        <v>0</v>
      </c>
      <c r="I108" s="14">
        <v>0</v>
      </c>
      <c r="K108" s="14">
        <v>0</v>
      </c>
      <c r="M108" s="14">
        <v>0</v>
      </c>
      <c r="O108" s="14">
        <v>0</v>
      </c>
      <c r="Q108" s="14">
        <v>0</v>
      </c>
      <c r="S108" s="14">
        <v>0</v>
      </c>
      <c r="U108" s="14">
        <v>0</v>
      </c>
      <c r="W108" s="14">
        <v>0</v>
      </c>
      <c r="Y108" s="14">
        <v>0</v>
      </c>
      <c r="AA108" s="14">
        <v>0</v>
      </c>
      <c r="AC108" s="14">
        <v>0</v>
      </c>
      <c r="AE108" s="14">
        <v>0</v>
      </c>
      <c r="AF108" s="14">
        <v>0</v>
      </c>
      <c r="AG108" s="14">
        <v>0</v>
      </c>
      <c r="AI108" s="17">
        <f t="shared" si="32"/>
        <v>0</v>
      </c>
      <c r="AK108" s="14">
        <f t="shared" si="33"/>
        <v>0</v>
      </c>
      <c r="AM108" s="14">
        <f t="shared" si="34"/>
        <v>0</v>
      </c>
      <c r="AO108" s="14">
        <f t="shared" si="35"/>
        <v>0</v>
      </c>
      <c r="AQ108" s="14">
        <f t="shared" si="36"/>
        <v>0</v>
      </c>
      <c r="AS108" s="14">
        <f t="shared" si="37"/>
        <v>0</v>
      </c>
      <c r="AU108" s="14">
        <f t="shared" si="25"/>
        <v>0</v>
      </c>
    </row>
    <row r="109" spans="1:47" x14ac:dyDescent="0.2">
      <c r="A109" s="8"/>
      <c r="B109" s="3" t="s">
        <v>235</v>
      </c>
      <c r="C109" s="14">
        <v>0</v>
      </c>
      <c r="E109" s="14">
        <v>0</v>
      </c>
      <c r="G109" s="14">
        <v>0</v>
      </c>
      <c r="I109" s="14">
        <v>0</v>
      </c>
      <c r="K109" s="14">
        <v>0</v>
      </c>
      <c r="M109" s="14">
        <v>0</v>
      </c>
      <c r="O109" s="14">
        <v>0</v>
      </c>
      <c r="Q109" s="14">
        <v>0</v>
      </c>
      <c r="S109" s="14">
        <f>-84611.84-51847.62</f>
        <v>-136459.46</v>
      </c>
      <c r="U109" s="14">
        <v>0</v>
      </c>
      <c r="W109" s="14">
        <v>0</v>
      </c>
      <c r="Y109" s="14">
        <v>0</v>
      </c>
      <c r="AA109" s="14">
        <v>0</v>
      </c>
      <c r="AC109" s="14">
        <v>0</v>
      </c>
      <c r="AE109" s="14">
        <v>0</v>
      </c>
      <c r="AF109" s="14">
        <v>0</v>
      </c>
      <c r="AG109" s="14">
        <v>0</v>
      </c>
      <c r="AI109" s="17">
        <f t="shared" si="32"/>
        <v>-136459.46</v>
      </c>
      <c r="AK109" s="14">
        <f t="shared" si="33"/>
        <v>0</v>
      </c>
      <c r="AM109" s="14">
        <f t="shared" si="34"/>
        <v>0</v>
      </c>
      <c r="AO109" s="14">
        <f t="shared" si="35"/>
        <v>-136459.46</v>
      </c>
      <c r="AQ109" s="14">
        <f t="shared" si="36"/>
        <v>0</v>
      </c>
      <c r="AS109" s="14">
        <f t="shared" si="37"/>
        <v>-136459.46</v>
      </c>
      <c r="AU109" s="14">
        <f t="shared" si="25"/>
        <v>0</v>
      </c>
    </row>
    <row r="110" spans="1:47" x14ac:dyDescent="0.2">
      <c r="A110" s="8"/>
      <c r="B110" s="3" t="s">
        <v>236</v>
      </c>
      <c r="C110" s="14">
        <v>0</v>
      </c>
      <c r="E110" s="14">
        <v>0</v>
      </c>
      <c r="G110" s="14">
        <v>0</v>
      </c>
      <c r="I110" s="14">
        <v>0</v>
      </c>
      <c r="K110" s="14">
        <v>0</v>
      </c>
      <c r="M110" s="14">
        <v>0</v>
      </c>
      <c r="O110" s="14">
        <v>0</v>
      </c>
      <c r="Q110" s="14">
        <v>0</v>
      </c>
      <c r="S110" s="14">
        <v>0</v>
      </c>
      <c r="U110" s="14">
        <v>0</v>
      </c>
      <c r="W110" s="14">
        <v>0</v>
      </c>
      <c r="Y110" s="14">
        <v>0</v>
      </c>
      <c r="AA110" s="14">
        <v>0</v>
      </c>
      <c r="AC110" s="14">
        <v>0</v>
      </c>
      <c r="AE110" s="14">
        <v>0</v>
      </c>
      <c r="AF110" s="14">
        <v>0</v>
      </c>
      <c r="AG110" s="14">
        <v>0</v>
      </c>
      <c r="AI110" s="17">
        <f t="shared" si="32"/>
        <v>0</v>
      </c>
      <c r="AK110" s="14">
        <f t="shared" si="33"/>
        <v>0</v>
      </c>
      <c r="AM110" s="14">
        <f t="shared" si="34"/>
        <v>0</v>
      </c>
      <c r="AO110" s="14">
        <f t="shared" si="35"/>
        <v>0</v>
      </c>
      <c r="AQ110" s="14">
        <f t="shared" si="36"/>
        <v>0</v>
      </c>
      <c r="AS110" s="14">
        <f t="shared" si="37"/>
        <v>0</v>
      </c>
      <c r="AU110" s="14">
        <f t="shared" si="25"/>
        <v>0</v>
      </c>
    </row>
    <row r="111" spans="1:47" x14ac:dyDescent="0.2">
      <c r="A111" s="8"/>
      <c r="B111" s="3" t="s">
        <v>237</v>
      </c>
      <c r="C111" s="14">
        <v>0</v>
      </c>
      <c r="E111" s="14">
        <v>0</v>
      </c>
      <c r="G111" s="14">
        <v>0</v>
      </c>
      <c r="I111" s="14">
        <v>0</v>
      </c>
      <c r="K111" s="14">
        <v>0</v>
      </c>
      <c r="M111" s="14">
        <v>0</v>
      </c>
      <c r="O111" s="14">
        <v>0</v>
      </c>
      <c r="Q111" s="14">
        <v>0</v>
      </c>
      <c r="S111" s="14">
        <v>0</v>
      </c>
      <c r="U111" s="14">
        <v>0</v>
      </c>
      <c r="W111" s="14">
        <v>0</v>
      </c>
      <c r="Y111" s="14">
        <v>0</v>
      </c>
      <c r="AA111" s="14">
        <v>0</v>
      </c>
      <c r="AC111" s="14">
        <v>0</v>
      </c>
      <c r="AE111" s="14">
        <v>0</v>
      </c>
      <c r="AF111" s="14">
        <v>0</v>
      </c>
      <c r="AG111" s="14">
        <v>0</v>
      </c>
      <c r="AI111" s="17">
        <f t="shared" si="32"/>
        <v>0</v>
      </c>
      <c r="AK111" s="14">
        <f t="shared" si="33"/>
        <v>0</v>
      </c>
      <c r="AM111" s="14">
        <f t="shared" si="34"/>
        <v>0</v>
      </c>
      <c r="AO111" s="14">
        <f t="shared" si="35"/>
        <v>0</v>
      </c>
      <c r="AQ111" s="14">
        <f t="shared" si="36"/>
        <v>0</v>
      </c>
      <c r="AS111" s="14">
        <f t="shared" si="37"/>
        <v>0</v>
      </c>
      <c r="AU111" s="14">
        <f t="shared" si="25"/>
        <v>0</v>
      </c>
    </row>
    <row r="112" spans="1:47" x14ac:dyDescent="0.2">
      <c r="A112" s="8"/>
      <c r="B112" s="3" t="s">
        <v>238</v>
      </c>
      <c r="C112" s="14">
        <v>0</v>
      </c>
      <c r="E112" s="14">
        <v>0</v>
      </c>
      <c r="G112" s="14">
        <v>0</v>
      </c>
      <c r="I112" s="14">
        <v>0</v>
      </c>
      <c r="K112" s="14">
        <v>0</v>
      </c>
      <c r="M112" s="14">
        <v>0</v>
      </c>
      <c r="O112" s="14">
        <v>0</v>
      </c>
      <c r="Q112" s="14">
        <v>0</v>
      </c>
      <c r="S112" s="14">
        <f>-53.49+269.09-53291.79-1100.96</f>
        <v>-54177.15</v>
      </c>
      <c r="U112" s="14">
        <v>0</v>
      </c>
      <c r="W112" s="14">
        <v>0</v>
      </c>
      <c r="Y112" s="14">
        <v>0</v>
      </c>
      <c r="AA112" s="14">
        <v>0</v>
      </c>
      <c r="AC112" s="14">
        <v>0</v>
      </c>
      <c r="AE112" s="14">
        <v>0</v>
      </c>
      <c r="AF112" s="14">
        <v>0</v>
      </c>
      <c r="AG112" s="14">
        <v>0</v>
      </c>
      <c r="AI112" s="17">
        <f t="shared" si="32"/>
        <v>-54177.15</v>
      </c>
      <c r="AK112" s="14">
        <f t="shared" si="33"/>
        <v>0</v>
      </c>
      <c r="AM112" s="14">
        <f t="shared" si="34"/>
        <v>0</v>
      </c>
      <c r="AO112" s="14">
        <f t="shared" si="35"/>
        <v>-54177.15</v>
      </c>
      <c r="AQ112" s="14">
        <f t="shared" si="36"/>
        <v>0</v>
      </c>
      <c r="AS112" s="14">
        <f t="shared" si="37"/>
        <v>-54177.15</v>
      </c>
      <c r="AU112" s="14">
        <f t="shared" si="25"/>
        <v>0</v>
      </c>
    </row>
    <row r="113" spans="1:47" x14ac:dyDescent="0.2">
      <c r="A113" s="8"/>
      <c r="B113" s="3" t="s">
        <v>239</v>
      </c>
      <c r="C113" s="14">
        <v>0</v>
      </c>
      <c r="E113" s="14">
        <v>0</v>
      </c>
      <c r="G113" s="14">
        <v>0</v>
      </c>
      <c r="I113" s="14">
        <v>0</v>
      </c>
      <c r="K113" s="14">
        <v>0</v>
      </c>
      <c r="M113" s="14">
        <v>0</v>
      </c>
      <c r="O113" s="14">
        <v>0</v>
      </c>
      <c r="Q113" s="14">
        <v>0</v>
      </c>
      <c r="S113" s="14">
        <v>0</v>
      </c>
      <c r="U113" s="14">
        <v>0</v>
      </c>
      <c r="W113" s="14">
        <v>0</v>
      </c>
      <c r="Y113" s="14">
        <v>0</v>
      </c>
      <c r="AA113" s="14">
        <v>0</v>
      </c>
      <c r="AC113" s="14">
        <v>32711.919999999998</v>
      </c>
      <c r="AE113" s="14">
        <v>0</v>
      </c>
      <c r="AF113" s="14">
        <v>0</v>
      </c>
      <c r="AG113" s="14">
        <v>0</v>
      </c>
      <c r="AI113" s="17">
        <f t="shared" si="32"/>
        <v>32711.919999999998</v>
      </c>
      <c r="AK113" s="14">
        <f t="shared" si="33"/>
        <v>32711.919999999998</v>
      </c>
      <c r="AM113" s="14">
        <f t="shared" si="34"/>
        <v>0</v>
      </c>
      <c r="AO113" s="14">
        <f t="shared" si="35"/>
        <v>0</v>
      </c>
      <c r="AQ113" s="14">
        <f t="shared" si="36"/>
        <v>0</v>
      </c>
      <c r="AS113" s="14">
        <f t="shared" si="37"/>
        <v>32711.919999999998</v>
      </c>
      <c r="AU113" s="14">
        <f t="shared" si="25"/>
        <v>0</v>
      </c>
    </row>
    <row r="114" spans="1:47" x14ac:dyDescent="0.2">
      <c r="A114" s="8"/>
      <c r="B114" s="3" t="s">
        <v>240</v>
      </c>
      <c r="C114" s="14">
        <v>0</v>
      </c>
      <c r="E114" s="14">
        <v>0</v>
      </c>
      <c r="G114" s="14">
        <v>0</v>
      </c>
      <c r="I114" s="14">
        <v>0</v>
      </c>
      <c r="K114" s="14">
        <v>0</v>
      </c>
      <c r="M114" s="14">
        <v>0</v>
      </c>
      <c r="O114" s="14">
        <v>0</v>
      </c>
      <c r="Q114" s="14">
        <v>0</v>
      </c>
      <c r="S114" s="14">
        <v>0</v>
      </c>
      <c r="U114" s="14">
        <v>0</v>
      </c>
      <c r="W114" s="14">
        <v>0</v>
      </c>
      <c r="Y114" s="14">
        <v>0</v>
      </c>
      <c r="AA114" s="14">
        <v>0</v>
      </c>
      <c r="AC114" s="14">
        <v>122519.28</v>
      </c>
      <c r="AE114" s="14">
        <v>0</v>
      </c>
      <c r="AF114" s="14">
        <v>0</v>
      </c>
      <c r="AG114" s="14">
        <v>0</v>
      </c>
      <c r="AI114" s="16">
        <f t="shared" si="32"/>
        <v>122519.28</v>
      </c>
      <c r="AK114" s="14">
        <f t="shared" si="33"/>
        <v>122519.28</v>
      </c>
      <c r="AM114" s="14">
        <f t="shared" si="34"/>
        <v>0</v>
      </c>
      <c r="AO114" s="14">
        <f t="shared" si="35"/>
        <v>0</v>
      </c>
      <c r="AQ114" s="14">
        <f t="shared" si="36"/>
        <v>0</v>
      </c>
      <c r="AS114" s="14">
        <f t="shared" si="37"/>
        <v>122519.28</v>
      </c>
      <c r="AU114" s="14">
        <f t="shared" si="25"/>
        <v>0</v>
      </c>
    </row>
    <row r="115" spans="1:47" x14ac:dyDescent="0.2">
      <c r="A115" s="8"/>
      <c r="B115" s="12" t="s">
        <v>241</v>
      </c>
      <c r="C115" s="18">
        <f>SUM(C101:C114)</f>
        <v>0</v>
      </c>
      <c r="E115" s="18">
        <f>SUM(E101:E114)</f>
        <v>0</v>
      </c>
      <c r="G115" s="18">
        <f>SUM(G101:G114)</f>
        <v>170157.37</v>
      </c>
      <c r="I115" s="18">
        <f>SUM(I101:I114)</f>
        <v>0</v>
      </c>
      <c r="K115" s="18">
        <f>SUM(K101:K114)</f>
        <v>0</v>
      </c>
      <c r="M115" s="18">
        <f>SUM(M101:M114)</f>
        <v>0</v>
      </c>
      <c r="O115" s="18">
        <f>SUM(O101:O114)</f>
        <v>0</v>
      </c>
      <c r="Q115" s="18">
        <f>SUM(Q101:Q114)</f>
        <v>0</v>
      </c>
      <c r="S115" s="18">
        <f>SUM(S101:S114)</f>
        <v>-54177.15</v>
      </c>
      <c r="U115" s="18">
        <f>SUM(U101:U114)</f>
        <v>0</v>
      </c>
      <c r="W115" s="18">
        <f>SUM(W101:W114)</f>
        <v>0</v>
      </c>
      <c r="Y115" s="18">
        <f>SUM(Y101:Y114)</f>
        <v>0</v>
      </c>
      <c r="AA115" s="18">
        <f>SUM(AA101:AA114)</f>
        <v>0</v>
      </c>
      <c r="AC115" s="18">
        <f>SUM(AC101:AC114)</f>
        <v>155231.20000000001</v>
      </c>
      <c r="AE115" s="18">
        <f>SUM(AE101:AE114)</f>
        <v>0</v>
      </c>
      <c r="AF115" s="18">
        <f>SUM(AF101:AF114)</f>
        <v>-101238.81</v>
      </c>
      <c r="AG115" s="18">
        <f>SUM(AG101:AG114)</f>
        <v>0</v>
      </c>
      <c r="AI115" s="18">
        <f>SUM(AI101:AI114)</f>
        <v>169972.60999999996</v>
      </c>
      <c r="AK115" s="18">
        <f>SUM(AK101:AK114)</f>
        <v>155231.20000000001</v>
      </c>
      <c r="AM115" s="18">
        <f>SUM(AM101:AM114)</f>
        <v>0</v>
      </c>
      <c r="AO115" s="18">
        <f>SUM(AO101:AO114)</f>
        <v>14741.409999999967</v>
      </c>
      <c r="AQ115" s="18">
        <f>SUM(AQ101:AQ114)</f>
        <v>0</v>
      </c>
      <c r="AS115" s="18">
        <f>SUM(AS101:AS114)</f>
        <v>169972.60999999996</v>
      </c>
      <c r="AU115" s="18">
        <f t="shared" si="25"/>
        <v>0</v>
      </c>
    </row>
    <row r="116" spans="1:47" x14ac:dyDescent="0.2">
      <c r="A116" s="8"/>
      <c r="B116" s="12"/>
      <c r="C116" s="16"/>
      <c r="E116" s="16"/>
      <c r="G116" s="16"/>
      <c r="I116" s="16"/>
      <c r="K116" s="16"/>
      <c r="M116" s="16"/>
      <c r="O116" s="16"/>
      <c r="Q116" s="16"/>
      <c r="S116" s="16"/>
      <c r="U116" s="16"/>
      <c r="W116" s="16"/>
      <c r="Y116" s="16"/>
      <c r="AA116" s="16"/>
      <c r="AC116" s="16"/>
      <c r="AE116" s="16"/>
      <c r="AF116" s="16"/>
      <c r="AG116" s="16"/>
      <c r="AI116" s="16"/>
      <c r="AK116" s="16"/>
      <c r="AM116" s="16"/>
      <c r="AO116" s="16"/>
      <c r="AQ116" s="16"/>
      <c r="AS116" s="16"/>
      <c r="AU116" s="16"/>
    </row>
    <row r="117" spans="1:47" x14ac:dyDescent="0.2">
      <c r="A117" s="8"/>
      <c r="C117" s="17"/>
      <c r="D117" s="14"/>
      <c r="E117" s="17"/>
      <c r="F117" s="14"/>
      <c r="G117" s="17"/>
      <c r="H117" s="14"/>
      <c r="I117" s="17"/>
      <c r="J117" s="14"/>
      <c r="K117" s="17"/>
      <c r="L117" s="14"/>
      <c r="M117" s="17"/>
      <c r="N117" s="14"/>
      <c r="O117" s="17"/>
      <c r="P117" s="14"/>
      <c r="Q117" s="17"/>
      <c r="R117" s="14"/>
      <c r="S117" s="17"/>
      <c r="T117" s="14"/>
      <c r="U117" s="17"/>
      <c r="V117" s="14"/>
      <c r="W117" s="17"/>
      <c r="X117" s="14"/>
      <c r="Y117" s="17"/>
      <c r="Z117" s="14"/>
      <c r="AA117" s="17"/>
      <c r="AB117" s="14"/>
      <c r="AC117" s="17"/>
      <c r="AD117" s="14"/>
      <c r="AE117" s="17"/>
      <c r="AF117" s="17"/>
      <c r="AG117" s="17"/>
      <c r="AH117" s="14"/>
      <c r="AI117" s="17"/>
      <c r="AJ117" s="4"/>
      <c r="AK117" s="17"/>
      <c r="AL117" s="14"/>
      <c r="AM117" s="17"/>
      <c r="AN117" s="14"/>
      <c r="AO117" s="17"/>
      <c r="AP117" s="14"/>
      <c r="AQ117" s="17"/>
      <c r="AR117" s="14"/>
      <c r="AS117" s="17"/>
      <c r="AT117" s="14"/>
      <c r="AU117" s="17"/>
    </row>
    <row r="118" spans="1:47" x14ac:dyDescent="0.2">
      <c r="A118" s="8"/>
      <c r="B118" s="12" t="s">
        <v>19</v>
      </c>
      <c r="C118" s="16">
        <f>+C31+C51+C62+C69+C83+C98+C115</f>
        <v>0</v>
      </c>
      <c r="D118" s="14"/>
      <c r="E118" s="16">
        <f>+E31+E51+E62+E69+E83+E98+E115</f>
        <v>0</v>
      </c>
      <c r="F118" s="14"/>
      <c r="G118" s="16">
        <f>+G31+G51+G62+G69+G83+G98+G115</f>
        <v>0</v>
      </c>
      <c r="H118" s="14"/>
      <c r="I118" s="16">
        <f>+I31+I51+I62+I69+I83+I98+I115</f>
        <v>0</v>
      </c>
      <c r="J118" s="14"/>
      <c r="K118" s="16">
        <f>+K31+K51+K62+K69+K83+K98+K115</f>
        <v>-113882.25</v>
      </c>
      <c r="L118" s="14"/>
      <c r="M118" s="16">
        <f>+M31+M51+M62+M69+M83+M98+M115</f>
        <v>0</v>
      </c>
      <c r="N118" s="14"/>
      <c r="O118" s="16">
        <f>+O31+O51+O62+O69+O83+O98+O115</f>
        <v>0</v>
      </c>
      <c r="P118" s="14"/>
      <c r="Q118" s="16">
        <f>+Q31+Q51+Q62+Q69+Q83+Q98+Q115</f>
        <v>-103618.65</v>
      </c>
      <c r="R118" s="14"/>
      <c r="S118" s="16">
        <f>+S31+S51+S62+S69+S83+S98+S115</f>
        <v>-9.4587448984384537E-11</v>
      </c>
      <c r="T118" s="14"/>
      <c r="U118" s="16">
        <f>+U31+U51+U62+U69+U83+U98+U115</f>
        <v>1780993.09</v>
      </c>
      <c r="V118" s="14"/>
      <c r="W118" s="16">
        <f>+W31+W51+W62+W69+W83+W98+W115</f>
        <v>0</v>
      </c>
      <c r="X118" s="14"/>
      <c r="Y118" s="16">
        <f>+Y31+Y51+Y62+Y69+Y83+Y98+Y115</f>
        <v>-1030240.43</v>
      </c>
      <c r="Z118" s="14"/>
      <c r="AA118" s="16">
        <f>+AA31+AA51+AA62+AA69+AA83+AA98+AA115</f>
        <v>0</v>
      </c>
      <c r="AB118" s="14"/>
      <c r="AC118" s="16">
        <f>+AC31+AC51+AC62+AC69+AC83+AC98+AC115</f>
        <v>16464681.059999999</v>
      </c>
      <c r="AD118" s="14"/>
      <c r="AE118" s="16">
        <f>+AE31+AE51+AE62+AE69+AE83+AE98+AE115</f>
        <v>-3392175.3</v>
      </c>
      <c r="AF118" s="16">
        <f>+AF31+AF51+AF62+AF69+AF83+AF98+AF115</f>
        <v>0</v>
      </c>
      <c r="AG118" s="16">
        <f>+AG31+AG51+AG62+AG69+AG83+AG98+AG115</f>
        <v>0</v>
      </c>
      <c r="AH118" s="14"/>
      <c r="AI118" s="16">
        <f>+AI31+AI51+AI62+AI69+AI83+AI98+AI115</f>
        <v>-78719772.749999985</v>
      </c>
      <c r="AJ118" s="4"/>
      <c r="AK118" s="16">
        <f>+AK31+AK51+AK62+AK69+AK83+AK98+AK115</f>
        <v>18245674.149999999</v>
      </c>
      <c r="AL118" s="14"/>
      <c r="AM118" s="16">
        <f>+AM31+AM51+AM62+AM69+AM83+AM98+AM115</f>
        <v>-96747946</v>
      </c>
      <c r="AN118" s="14"/>
      <c r="AO118" s="16">
        <f>+AO31+AO51+AO62+AO69+AO83+AO98+AO115</f>
        <v>-217500.89999997395</v>
      </c>
      <c r="AP118" s="14"/>
      <c r="AQ118" s="16">
        <f>+AQ31+AQ51+AQ62+AQ69+AQ83+AQ98+AQ115</f>
        <v>0</v>
      </c>
      <c r="AR118" s="14"/>
      <c r="AS118" s="16">
        <f>+AS31+AS51+AS62+AS69+AS83+AS98+AS115</f>
        <v>-78719772.749999985</v>
      </c>
      <c r="AT118" s="14"/>
      <c r="AU118" s="16">
        <f t="shared" si="25"/>
        <v>0</v>
      </c>
    </row>
    <row r="119" spans="1:47" x14ac:dyDescent="0.2">
      <c r="A119" s="8"/>
      <c r="C119" s="12"/>
      <c r="D119" s="17"/>
      <c r="E119" s="12"/>
      <c r="F119" s="17"/>
      <c r="G119" s="12"/>
      <c r="H119" s="17"/>
      <c r="I119" s="12"/>
      <c r="J119" s="17"/>
      <c r="K119" s="12"/>
      <c r="L119" s="17"/>
      <c r="M119" s="12"/>
      <c r="N119" s="17"/>
      <c r="O119" s="12"/>
      <c r="P119" s="17"/>
      <c r="Q119" s="12"/>
      <c r="R119" s="17"/>
      <c r="S119" s="12"/>
      <c r="T119" s="17"/>
      <c r="U119" s="12"/>
      <c r="V119" s="17"/>
      <c r="W119" s="12"/>
      <c r="X119" s="17"/>
      <c r="Y119" s="12"/>
      <c r="Z119" s="17"/>
      <c r="AA119" s="12"/>
      <c r="AB119" s="17"/>
      <c r="AC119" s="12"/>
      <c r="AD119" s="17"/>
      <c r="AE119" s="12"/>
      <c r="AF119" s="12"/>
      <c r="AG119" s="12"/>
      <c r="AH119" s="17"/>
      <c r="AI119" s="12"/>
      <c r="AJ119" s="17"/>
      <c r="AK119" s="12"/>
      <c r="AL119" s="17"/>
      <c r="AM119" s="12"/>
      <c r="AN119" s="17"/>
      <c r="AO119" s="12"/>
      <c r="AP119" s="17"/>
      <c r="AQ119" s="12"/>
      <c r="AR119" s="17"/>
      <c r="AS119" s="12"/>
      <c r="AT119" s="17"/>
      <c r="AU119" s="12"/>
    </row>
    <row r="120" spans="1:47" x14ac:dyDescent="0.2">
      <c r="A120" s="8">
        <v>102</v>
      </c>
      <c r="B120" s="75" t="s">
        <v>242</v>
      </c>
      <c r="C120" s="12"/>
      <c r="D120" s="17"/>
      <c r="E120" s="12"/>
      <c r="F120" s="17"/>
      <c r="G120" s="12"/>
      <c r="H120" s="17"/>
      <c r="I120" s="12"/>
      <c r="J120" s="17"/>
      <c r="K120" s="12"/>
      <c r="L120" s="17"/>
      <c r="M120" s="12"/>
      <c r="N120" s="17"/>
      <c r="O120" s="12"/>
      <c r="P120" s="17"/>
      <c r="Q120" s="12"/>
      <c r="R120" s="17"/>
      <c r="S120" s="12"/>
      <c r="T120" s="17"/>
      <c r="U120" s="12"/>
      <c r="V120" s="17"/>
      <c r="W120" s="12"/>
      <c r="X120" s="17"/>
      <c r="Y120" s="12"/>
      <c r="Z120" s="17"/>
      <c r="AA120" s="12"/>
      <c r="AB120" s="17"/>
      <c r="AC120" s="12"/>
      <c r="AD120" s="17"/>
      <c r="AE120" s="12"/>
      <c r="AF120" s="12"/>
      <c r="AG120" s="12"/>
      <c r="AH120" s="17"/>
      <c r="AI120" s="12"/>
      <c r="AJ120" s="17"/>
      <c r="AK120" s="12"/>
      <c r="AL120" s="17"/>
      <c r="AM120" s="12"/>
      <c r="AN120" s="17"/>
      <c r="AO120" s="12"/>
      <c r="AP120" s="17"/>
      <c r="AQ120" s="12"/>
      <c r="AR120" s="17"/>
      <c r="AS120" s="12"/>
      <c r="AT120" s="17"/>
      <c r="AU120" s="12"/>
    </row>
    <row r="121" spans="1:47" x14ac:dyDescent="0.2">
      <c r="A121" s="8"/>
      <c r="B121" s="76" t="s">
        <v>13</v>
      </c>
      <c r="C121" s="14">
        <v>0</v>
      </c>
      <c r="D121" s="17"/>
      <c r="E121" s="14">
        <v>0</v>
      </c>
      <c r="F121" s="17"/>
      <c r="G121" s="14">
        <v>0</v>
      </c>
      <c r="H121" s="17"/>
      <c r="I121" s="14">
        <v>0</v>
      </c>
      <c r="J121" s="17"/>
      <c r="K121" s="14">
        <v>0</v>
      </c>
      <c r="L121" s="17"/>
      <c r="M121" s="14">
        <v>0</v>
      </c>
      <c r="N121" s="17"/>
      <c r="O121" s="14">
        <v>0</v>
      </c>
      <c r="P121" s="17"/>
      <c r="Q121" s="14">
        <v>0</v>
      </c>
      <c r="R121" s="17"/>
      <c r="S121" s="14">
        <v>0</v>
      </c>
      <c r="T121" s="17"/>
      <c r="U121" s="35">
        <v>0</v>
      </c>
      <c r="V121" s="17"/>
      <c r="W121" s="35">
        <v>0</v>
      </c>
      <c r="X121" s="17"/>
      <c r="Y121" s="35">
        <v>0</v>
      </c>
      <c r="Z121" s="17"/>
      <c r="AA121" s="35">
        <v>0</v>
      </c>
      <c r="AB121" s="17"/>
      <c r="AC121" s="35">
        <v>0</v>
      </c>
      <c r="AD121" s="17"/>
      <c r="AE121" s="35">
        <v>0</v>
      </c>
      <c r="AF121" s="35">
        <v>0</v>
      </c>
      <c r="AG121" s="14">
        <v>0</v>
      </c>
      <c r="AH121" s="17"/>
      <c r="AI121" s="14">
        <f>SUM(C121:AF121)</f>
        <v>0</v>
      </c>
      <c r="AJ121" s="17"/>
      <c r="AK121" s="14">
        <f>SUMIF($C$9:$AH$9,"=Addition",$C121:$AH121)</f>
        <v>0</v>
      </c>
      <c r="AM121" s="14">
        <f>SUMIF($C$9:$AH$9,"=Adjustment",$C121:$AH121)</f>
        <v>0</v>
      </c>
      <c r="AO121" s="14">
        <f>SUMIF($C$9:$AH$9,"=Transfer",$C121:$AH121)</f>
        <v>0</v>
      </c>
      <c r="AQ121" s="14">
        <f>SUMIF($C$9:$Z$9,"=N/A",$C121:$Z121)</f>
        <v>0</v>
      </c>
      <c r="AS121" s="14">
        <f>SUM(AK121:AQ121)</f>
        <v>0</v>
      </c>
      <c r="AT121" s="17"/>
      <c r="AU121" s="14">
        <f t="shared" si="25"/>
        <v>0</v>
      </c>
    </row>
    <row r="122" spans="1:47" x14ac:dyDescent="0.2">
      <c r="A122" s="8"/>
      <c r="B122" s="73" t="s">
        <v>21</v>
      </c>
      <c r="C122" s="16">
        <v>0</v>
      </c>
      <c r="D122" s="17"/>
      <c r="E122" s="16">
        <v>0</v>
      </c>
      <c r="F122" s="17"/>
      <c r="G122" s="16">
        <v>0</v>
      </c>
      <c r="H122" s="17"/>
      <c r="I122" s="16">
        <v>0</v>
      </c>
      <c r="J122" s="17"/>
      <c r="K122" s="16">
        <v>0</v>
      </c>
      <c r="L122" s="17"/>
      <c r="M122" s="16">
        <v>0</v>
      </c>
      <c r="N122" s="17"/>
      <c r="O122" s="16">
        <v>0</v>
      </c>
      <c r="P122" s="17"/>
      <c r="Q122" s="16">
        <v>0</v>
      </c>
      <c r="R122" s="17"/>
      <c r="S122" s="16">
        <v>0</v>
      </c>
      <c r="T122" s="17"/>
      <c r="U122" s="16">
        <v>0</v>
      </c>
      <c r="V122" s="17"/>
      <c r="W122" s="16">
        <v>0</v>
      </c>
      <c r="X122" s="17"/>
      <c r="Y122" s="16">
        <v>0</v>
      </c>
      <c r="Z122" s="17"/>
      <c r="AA122" s="16">
        <v>0</v>
      </c>
      <c r="AB122" s="17"/>
      <c r="AC122" s="16">
        <v>0</v>
      </c>
      <c r="AD122" s="17"/>
      <c r="AE122" s="16">
        <v>0</v>
      </c>
      <c r="AF122" s="16">
        <v>0</v>
      </c>
      <c r="AG122" s="16">
        <v>0</v>
      </c>
      <c r="AH122" s="17"/>
      <c r="AI122" s="16">
        <f>SUM(C122:AF122)</f>
        <v>0</v>
      </c>
      <c r="AJ122" s="17"/>
      <c r="AK122" s="14">
        <f>SUMIF($C$9:$AH$9,"=Addition",$C122:$AH122)</f>
        <v>0</v>
      </c>
      <c r="AM122" s="14">
        <f>SUMIF($C$9:$AH$9,"=Adjustment",$C122:$AH122)</f>
        <v>0</v>
      </c>
      <c r="AO122" s="14">
        <f>SUMIF($C$9:$AH$9,"=Transfer",$C122:$AH122)</f>
        <v>0</v>
      </c>
      <c r="AQ122" s="14">
        <f>SUMIF($C$9:$Z$9,"=N/A",$C122:$Z122)</f>
        <v>0</v>
      </c>
      <c r="AS122" s="16">
        <f>SUM(AK122:AQ122)</f>
        <v>0</v>
      </c>
      <c r="AT122" s="17"/>
      <c r="AU122" s="16">
        <f t="shared" si="25"/>
        <v>0</v>
      </c>
    </row>
    <row r="123" spans="1:47" x14ac:dyDescent="0.2">
      <c r="A123" s="8"/>
      <c r="B123" s="73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8"/>
      <c r="AL123" s="17"/>
      <c r="AM123" s="18"/>
      <c r="AN123" s="17"/>
      <c r="AO123" s="18"/>
      <c r="AP123" s="17"/>
      <c r="AQ123" s="18"/>
      <c r="AR123" s="17"/>
      <c r="AS123" s="17"/>
      <c r="AT123" s="17"/>
      <c r="AU123" s="17">
        <f t="shared" si="25"/>
        <v>0</v>
      </c>
    </row>
    <row r="124" spans="1:47" x14ac:dyDescent="0.2">
      <c r="A124" s="8"/>
      <c r="B124" s="12" t="s">
        <v>243</v>
      </c>
      <c r="C124" s="16">
        <f>SUM(C121:C122)</f>
        <v>0</v>
      </c>
      <c r="D124" s="14"/>
      <c r="E124" s="16">
        <f>SUM(E121:E122)</f>
        <v>0</v>
      </c>
      <c r="F124" s="14"/>
      <c r="G124" s="16">
        <f>SUM(G121:G122)</f>
        <v>0</v>
      </c>
      <c r="H124" s="14"/>
      <c r="I124" s="16">
        <f>SUM(I121:I122)</f>
        <v>0</v>
      </c>
      <c r="J124" s="14"/>
      <c r="K124" s="16">
        <f>SUM(K121:K122)</f>
        <v>0</v>
      </c>
      <c r="L124" s="14"/>
      <c r="M124" s="16">
        <f>SUM(M121:M122)</f>
        <v>0</v>
      </c>
      <c r="N124" s="14"/>
      <c r="O124" s="16">
        <f>SUM(O121:O122)</f>
        <v>0</v>
      </c>
      <c r="P124" s="14"/>
      <c r="Q124" s="16">
        <f>SUM(Q121:Q122)</f>
        <v>0</v>
      </c>
      <c r="R124" s="14"/>
      <c r="S124" s="16">
        <f>SUM(S121:S122)</f>
        <v>0</v>
      </c>
      <c r="T124" s="14"/>
      <c r="U124" s="16">
        <f>SUM(U121:U122)</f>
        <v>0</v>
      </c>
      <c r="V124" s="14"/>
      <c r="W124" s="16">
        <f>SUM(W121:W122)</f>
        <v>0</v>
      </c>
      <c r="X124" s="14"/>
      <c r="Y124" s="16">
        <f>SUM(Y121:Y122)</f>
        <v>0</v>
      </c>
      <c r="Z124" s="14"/>
      <c r="AA124" s="16">
        <f>SUM(AA121:AA122)</f>
        <v>0</v>
      </c>
      <c r="AB124" s="14"/>
      <c r="AC124" s="16">
        <f>SUM(AC121:AC122)</f>
        <v>0</v>
      </c>
      <c r="AD124" s="14"/>
      <c r="AE124" s="16">
        <f>SUM(AE121:AE122)</f>
        <v>0</v>
      </c>
      <c r="AF124" s="16">
        <f>SUM(AF121:AF122)</f>
        <v>0</v>
      </c>
      <c r="AG124" s="16">
        <f>SUM(AG121:AG122)</f>
        <v>0</v>
      </c>
      <c r="AH124" s="14"/>
      <c r="AI124" s="16">
        <f>SUM(AI121:AI122)</f>
        <v>0</v>
      </c>
      <c r="AJ124" s="17"/>
      <c r="AK124" s="16">
        <f>SUM(AK121:AK122)</f>
        <v>0</v>
      </c>
      <c r="AL124" s="14"/>
      <c r="AM124" s="16">
        <f>SUM(AM121:AM122)</f>
        <v>0</v>
      </c>
      <c r="AN124" s="14"/>
      <c r="AO124" s="16">
        <f>SUM(AO121:AO122)</f>
        <v>0</v>
      </c>
      <c r="AP124" s="14"/>
      <c r="AQ124" s="16">
        <f>SUM(AQ121:AQ122)</f>
        <v>0</v>
      </c>
      <c r="AR124" s="14"/>
      <c r="AS124" s="16">
        <f>SUM(AS121:AS122)</f>
        <v>0</v>
      </c>
      <c r="AT124" s="14"/>
      <c r="AU124" s="16">
        <f t="shared" si="25"/>
        <v>0</v>
      </c>
    </row>
    <row r="125" spans="1:47" x14ac:dyDescent="0.2">
      <c r="A125" s="8"/>
      <c r="D125" s="14"/>
      <c r="F125" s="14"/>
      <c r="H125" s="14"/>
      <c r="J125" s="14"/>
      <c r="L125" s="14"/>
      <c r="N125" s="14"/>
      <c r="P125" s="14"/>
      <c r="R125" s="14"/>
      <c r="T125" s="14"/>
      <c r="V125" s="14"/>
      <c r="X125" s="14"/>
      <c r="Z125" s="14"/>
      <c r="AB125" s="14"/>
      <c r="AD125" s="14"/>
      <c r="AH125" s="14"/>
      <c r="AJ125" s="14"/>
      <c r="AL125" s="14"/>
      <c r="AN125" s="14"/>
      <c r="AP125" s="14"/>
      <c r="AR125" s="14"/>
      <c r="AT125" s="14"/>
    </row>
    <row r="126" spans="1:47" x14ac:dyDescent="0.2">
      <c r="A126" s="8">
        <v>105</v>
      </c>
      <c r="B126" s="12" t="s">
        <v>23</v>
      </c>
      <c r="C126" s="12"/>
      <c r="D126" s="14"/>
      <c r="E126" s="12"/>
      <c r="F126" s="14"/>
      <c r="G126" s="12"/>
      <c r="H126" s="14"/>
      <c r="I126" s="12"/>
      <c r="J126" s="14"/>
      <c r="K126" s="12"/>
      <c r="L126" s="14"/>
      <c r="M126" s="12"/>
      <c r="N126" s="14"/>
      <c r="O126" s="12"/>
      <c r="P126" s="14"/>
      <c r="Q126" s="12"/>
      <c r="R126" s="14"/>
      <c r="S126" s="12"/>
      <c r="T126" s="14"/>
      <c r="U126" s="12"/>
      <c r="V126" s="14"/>
      <c r="W126" s="12"/>
      <c r="X126" s="14"/>
      <c r="Y126" s="12"/>
      <c r="Z126" s="14"/>
      <c r="AA126" s="12"/>
      <c r="AB126" s="14"/>
      <c r="AC126" s="12"/>
      <c r="AD126" s="14"/>
      <c r="AE126" s="12"/>
      <c r="AF126" s="12"/>
      <c r="AG126" s="12"/>
      <c r="AH126" s="14"/>
      <c r="AI126" s="12"/>
      <c r="AJ126" s="14"/>
      <c r="AK126" s="12"/>
      <c r="AL126" s="14"/>
      <c r="AM126" s="12"/>
      <c r="AN126" s="14"/>
      <c r="AO126" s="12"/>
      <c r="AP126" s="14"/>
      <c r="AQ126" s="12"/>
      <c r="AR126" s="14"/>
      <c r="AS126" s="12"/>
      <c r="AT126" s="14"/>
      <c r="AU126" s="12"/>
    </row>
    <row r="127" spans="1:47" x14ac:dyDescent="0.2">
      <c r="A127" s="8"/>
      <c r="B127" s="12" t="s">
        <v>11</v>
      </c>
      <c r="D127" s="14"/>
      <c r="F127" s="14"/>
      <c r="H127" s="14"/>
      <c r="J127" s="14"/>
      <c r="L127" s="14"/>
      <c r="N127" s="14"/>
      <c r="P127" s="14"/>
      <c r="R127" s="14"/>
      <c r="T127" s="14"/>
      <c r="V127" s="14"/>
      <c r="X127" s="14"/>
      <c r="Z127" s="14"/>
      <c r="AB127" s="14"/>
      <c r="AD127" s="14"/>
      <c r="AH127" s="14"/>
      <c r="AJ127" s="14"/>
      <c r="AK127" s="14"/>
      <c r="AM127" s="14"/>
      <c r="AO127" s="14"/>
      <c r="AQ127" s="14"/>
      <c r="AS127" s="14"/>
      <c r="AT127" s="14"/>
      <c r="AU127" s="14"/>
    </row>
    <row r="128" spans="1:47" x14ac:dyDescent="0.2">
      <c r="A128" s="8"/>
      <c r="B128" s="73" t="s">
        <v>12</v>
      </c>
      <c r="C128" s="17">
        <v>0</v>
      </c>
      <c r="D128" s="17"/>
      <c r="E128" s="17">
        <v>0</v>
      </c>
      <c r="F128" s="17"/>
      <c r="G128" s="17">
        <v>0</v>
      </c>
      <c r="H128" s="17"/>
      <c r="I128" s="17">
        <v>0</v>
      </c>
      <c r="J128" s="17"/>
      <c r="K128" s="17">
        <v>113882.25</v>
      </c>
      <c r="L128" s="17"/>
      <c r="M128" s="17">
        <v>0</v>
      </c>
      <c r="N128" s="17"/>
      <c r="O128" s="17">
        <v>0</v>
      </c>
      <c r="P128" s="17"/>
      <c r="Q128" s="17">
        <v>0</v>
      </c>
      <c r="R128" s="17"/>
      <c r="S128" s="17">
        <v>0</v>
      </c>
      <c r="T128" s="17"/>
      <c r="U128" s="17">
        <v>0</v>
      </c>
      <c r="V128" s="17"/>
      <c r="W128" s="17">
        <v>0</v>
      </c>
      <c r="X128" s="17"/>
      <c r="Y128" s="17">
        <v>0</v>
      </c>
      <c r="Z128" s="17"/>
      <c r="AA128" s="17">
        <v>0</v>
      </c>
      <c r="AB128" s="17"/>
      <c r="AC128" s="17">
        <v>0</v>
      </c>
      <c r="AD128" s="17"/>
      <c r="AE128" s="17">
        <v>0</v>
      </c>
      <c r="AF128" s="17">
        <v>0</v>
      </c>
      <c r="AG128" s="17">
        <v>0</v>
      </c>
      <c r="AH128" s="17"/>
      <c r="AI128" s="14">
        <f t="shared" ref="AI128:AI129" si="38">SUM(C128:AF128)</f>
        <v>113882.25</v>
      </c>
      <c r="AJ128" s="130"/>
      <c r="AK128" s="17">
        <f>SUMIF($C$9:$AH$9,"=Addition",$C128:$AH128)</f>
        <v>0</v>
      </c>
      <c r="AL128" s="59"/>
      <c r="AM128" s="17">
        <f>SUMIF($C$9:$AH$9,"=Adjustment",$C128:$AH128)</f>
        <v>0</v>
      </c>
      <c r="AN128" s="59"/>
      <c r="AO128" s="17">
        <f>SUMIF($C$9:$AH$9,"=Transfer",$C128:$AH128)</f>
        <v>113882.25</v>
      </c>
      <c r="AP128" s="59"/>
      <c r="AQ128" s="17">
        <f>SUMIF($C$9:$Z$9,"=N/A",$C128:$Z128)</f>
        <v>0</v>
      </c>
      <c r="AR128" s="59"/>
      <c r="AS128" s="17">
        <f>SUM(AK128:AQ128)</f>
        <v>113882.25</v>
      </c>
      <c r="AT128" s="17"/>
      <c r="AU128" s="17">
        <f>+AI128-AS128</f>
        <v>0</v>
      </c>
    </row>
    <row r="129" spans="1:47" x14ac:dyDescent="0.2">
      <c r="A129" s="8"/>
      <c r="B129" s="73" t="s">
        <v>16</v>
      </c>
      <c r="C129" s="17">
        <v>0</v>
      </c>
      <c r="D129" s="14"/>
      <c r="E129" s="17">
        <v>0</v>
      </c>
      <c r="F129" s="14"/>
      <c r="G129" s="17">
        <v>0</v>
      </c>
      <c r="H129" s="14"/>
      <c r="I129" s="17">
        <v>0</v>
      </c>
      <c r="J129" s="14"/>
      <c r="K129" s="17">
        <v>0</v>
      </c>
      <c r="L129" s="14"/>
      <c r="M129" s="17">
        <v>0</v>
      </c>
      <c r="N129" s="14"/>
      <c r="O129" s="17">
        <v>0</v>
      </c>
      <c r="P129" s="14"/>
      <c r="Q129" s="17">
        <v>0</v>
      </c>
      <c r="R129" s="14"/>
      <c r="S129" s="17">
        <v>0</v>
      </c>
      <c r="T129" s="14"/>
      <c r="U129" s="17">
        <v>0</v>
      </c>
      <c r="V129" s="14"/>
      <c r="W129" s="17">
        <v>0</v>
      </c>
      <c r="X129" s="14"/>
      <c r="Y129" s="17">
        <v>0</v>
      </c>
      <c r="Z129" s="14"/>
      <c r="AA129" s="17">
        <v>0</v>
      </c>
      <c r="AB129" s="14"/>
      <c r="AC129" s="17">
        <v>0</v>
      </c>
      <c r="AD129" s="14"/>
      <c r="AE129" s="17">
        <v>0</v>
      </c>
      <c r="AF129" s="17">
        <v>0</v>
      </c>
      <c r="AG129" s="17">
        <v>0</v>
      </c>
      <c r="AH129" s="14"/>
      <c r="AI129" s="14">
        <f t="shared" si="38"/>
        <v>0</v>
      </c>
      <c r="AJ129" s="4"/>
      <c r="AK129" s="17">
        <f>SUMIF($C$9:$AH$9,"=Addition",$C129:$AH129)</f>
        <v>0</v>
      </c>
      <c r="AL129" s="59"/>
      <c r="AM129" s="17">
        <f>SUMIF($C$9:$AH$9,"=Adjustment",$C129:$AH129)</f>
        <v>0</v>
      </c>
      <c r="AN129" s="59"/>
      <c r="AO129" s="17">
        <f>SUMIF($C$9:$AH$9,"=Transfer",$C129:$AH129)</f>
        <v>0</v>
      </c>
      <c r="AP129" s="59"/>
      <c r="AQ129" s="17">
        <f>SUMIF($C$9:$Z$9,"=N/A",$C129:$Z129)</f>
        <v>0</v>
      </c>
      <c r="AR129" s="59"/>
      <c r="AS129" s="17">
        <f>SUM(AK129:AQ129)</f>
        <v>0</v>
      </c>
      <c r="AT129" s="17"/>
      <c r="AU129" s="17">
        <f>+AI129-AS129</f>
        <v>0</v>
      </c>
    </row>
    <row r="130" spans="1:47" x14ac:dyDescent="0.2">
      <c r="A130" s="8"/>
      <c r="B130" s="73"/>
      <c r="C130" s="18"/>
      <c r="D130" s="14"/>
      <c r="E130" s="18"/>
      <c r="F130" s="14"/>
      <c r="G130" s="18"/>
      <c r="H130" s="14"/>
      <c r="I130" s="18"/>
      <c r="J130" s="14"/>
      <c r="K130" s="18">
        <f>SUM(K128:K129)</f>
        <v>113882.25</v>
      </c>
      <c r="L130" s="14"/>
      <c r="M130" s="18"/>
      <c r="N130" s="14"/>
      <c r="O130" s="18"/>
      <c r="P130" s="14"/>
      <c r="Q130" s="18"/>
      <c r="R130" s="14"/>
      <c r="S130" s="18"/>
      <c r="T130" s="14"/>
      <c r="U130" s="18"/>
      <c r="V130" s="14"/>
      <c r="W130" s="18"/>
      <c r="X130" s="14"/>
      <c r="Y130" s="18"/>
      <c r="Z130" s="14"/>
      <c r="AA130" s="18"/>
      <c r="AB130" s="14"/>
      <c r="AC130" s="18"/>
      <c r="AD130" s="14"/>
      <c r="AE130" s="18"/>
      <c r="AF130" s="18"/>
      <c r="AG130" s="18"/>
      <c r="AH130" s="14"/>
      <c r="AI130" s="18">
        <f>SUM(AI128:AI129)</f>
        <v>113882.25</v>
      </c>
      <c r="AJ130" s="4"/>
      <c r="AK130" s="18"/>
      <c r="AL130" s="59"/>
      <c r="AM130" s="18"/>
      <c r="AN130" s="59"/>
      <c r="AO130" s="18"/>
      <c r="AP130" s="59"/>
      <c r="AQ130" s="18"/>
      <c r="AS130" s="18"/>
      <c r="AT130" s="14"/>
      <c r="AU130" s="18"/>
    </row>
    <row r="131" spans="1:47" x14ac:dyDescent="0.2">
      <c r="A131" s="8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4"/>
      <c r="AK131" s="17"/>
      <c r="AL131" s="14"/>
      <c r="AM131" s="17"/>
      <c r="AN131" s="14"/>
      <c r="AO131" s="17"/>
      <c r="AP131" s="14"/>
      <c r="AQ131" s="17"/>
      <c r="AR131" s="14"/>
      <c r="AS131" s="14"/>
      <c r="AT131" s="14"/>
      <c r="AU131" s="14"/>
    </row>
    <row r="132" spans="1:47" x14ac:dyDescent="0.2">
      <c r="A132" s="8"/>
      <c r="B132" s="12" t="s">
        <v>24</v>
      </c>
      <c r="C132" s="16">
        <f>SUM(C128:C129)</f>
        <v>0</v>
      </c>
      <c r="D132" s="14"/>
      <c r="E132" s="16">
        <f>SUM(E128:E129)</f>
        <v>0</v>
      </c>
      <c r="F132" s="14"/>
      <c r="G132" s="16">
        <f>SUM(G128:G129)</f>
        <v>0</v>
      </c>
      <c r="H132" s="14"/>
      <c r="I132" s="16">
        <f>SUM(I128:I129)</f>
        <v>0</v>
      </c>
      <c r="J132" s="14"/>
      <c r="K132" s="16">
        <f>SUM(K128:K129)</f>
        <v>113882.25</v>
      </c>
      <c r="L132" s="14"/>
      <c r="M132" s="16">
        <f>SUM(M128:M129)</f>
        <v>0</v>
      </c>
      <c r="N132" s="14"/>
      <c r="O132" s="16">
        <f>SUM(O128:O129)</f>
        <v>0</v>
      </c>
      <c r="P132" s="14"/>
      <c r="Q132" s="16">
        <f>SUM(Q128:Q129)</f>
        <v>0</v>
      </c>
      <c r="R132" s="14"/>
      <c r="S132" s="16">
        <f>SUM(S128:S129)</f>
        <v>0</v>
      </c>
      <c r="T132" s="14"/>
      <c r="U132" s="16">
        <f>SUM(U128:U129)</f>
        <v>0</v>
      </c>
      <c r="V132" s="14"/>
      <c r="W132" s="16">
        <f>SUM(W128:W129)</f>
        <v>0</v>
      </c>
      <c r="X132" s="14"/>
      <c r="Y132" s="16">
        <f>SUM(Y128:Y129)</f>
        <v>0</v>
      </c>
      <c r="Z132" s="14"/>
      <c r="AA132" s="16">
        <f>SUM(AA128:AA129)</f>
        <v>0</v>
      </c>
      <c r="AB132" s="14"/>
      <c r="AC132" s="16">
        <f>SUM(AC128:AC129)</f>
        <v>0</v>
      </c>
      <c r="AD132" s="14"/>
      <c r="AE132" s="16">
        <f>SUM(AE128:AE129)</f>
        <v>0</v>
      </c>
      <c r="AF132" s="16">
        <f>SUM(AF128:AF129)</f>
        <v>0</v>
      </c>
      <c r="AG132" s="16">
        <f>SUM(AG128:AG129)</f>
        <v>0</v>
      </c>
      <c r="AH132" s="14"/>
      <c r="AI132" s="16">
        <f>SUM(AI128:AI129)</f>
        <v>113882.25</v>
      </c>
      <c r="AJ132" s="4"/>
      <c r="AK132" s="16">
        <f>SUM(AK128:AK129)</f>
        <v>0</v>
      </c>
      <c r="AL132" s="14"/>
      <c r="AM132" s="16">
        <f>SUM(AM128:AM129)</f>
        <v>0</v>
      </c>
      <c r="AN132" s="14"/>
      <c r="AO132" s="16">
        <f>SUM(AO128:AO129)</f>
        <v>113882.25</v>
      </c>
      <c r="AP132" s="14"/>
      <c r="AQ132" s="16">
        <f>SUM(AQ128:AQ129)</f>
        <v>0</v>
      </c>
      <c r="AR132" s="14"/>
      <c r="AS132" s="16">
        <f>SUM(AS128:AS129)</f>
        <v>113882.25</v>
      </c>
      <c r="AT132" s="14"/>
      <c r="AU132" s="16">
        <f>SUM(AU128:AU129)</f>
        <v>0</v>
      </c>
    </row>
    <row r="133" spans="1:47" x14ac:dyDescent="0.2">
      <c r="A133" s="8"/>
      <c r="C133" s="12"/>
      <c r="D133" s="17"/>
      <c r="E133" s="12"/>
      <c r="F133" s="17"/>
      <c r="G133" s="12"/>
      <c r="H133" s="17"/>
      <c r="I133" s="12"/>
      <c r="J133" s="17"/>
      <c r="K133" s="12"/>
      <c r="L133" s="17"/>
      <c r="M133" s="12"/>
      <c r="N133" s="17"/>
      <c r="O133" s="12"/>
      <c r="P133" s="17"/>
      <c r="Q133" s="12"/>
      <c r="R133" s="17"/>
      <c r="S133" s="12"/>
      <c r="T133" s="17"/>
      <c r="U133" s="12"/>
      <c r="V133" s="17"/>
      <c r="W133" s="12"/>
      <c r="X133" s="17"/>
      <c r="Y133" s="12"/>
      <c r="Z133" s="17"/>
      <c r="AA133" s="12"/>
      <c r="AB133" s="17"/>
      <c r="AC133" s="12"/>
      <c r="AD133" s="17"/>
      <c r="AE133" s="12"/>
      <c r="AF133" s="12"/>
      <c r="AG133" s="12"/>
      <c r="AH133" s="17"/>
      <c r="AI133" s="12"/>
      <c r="AJ133" s="17"/>
      <c r="AK133" s="12"/>
      <c r="AL133" s="17"/>
      <c r="AM133" s="12"/>
      <c r="AN133" s="17"/>
      <c r="AO133" s="12"/>
      <c r="AP133" s="17"/>
      <c r="AQ133" s="12"/>
      <c r="AR133" s="17"/>
      <c r="AS133" s="12"/>
      <c r="AT133" s="17"/>
      <c r="AU133" s="12"/>
    </row>
    <row r="134" spans="1:47" x14ac:dyDescent="0.2">
      <c r="A134" s="8">
        <v>106</v>
      </c>
      <c r="B134" s="12" t="s">
        <v>25</v>
      </c>
      <c r="D134" s="19"/>
      <c r="F134" s="19"/>
      <c r="H134" s="19"/>
      <c r="J134" s="19"/>
      <c r="L134" s="19"/>
      <c r="N134" s="19"/>
      <c r="P134" s="19"/>
      <c r="R134" s="19"/>
      <c r="T134" s="19"/>
      <c r="V134" s="19"/>
      <c r="X134" s="19"/>
      <c r="Z134" s="19"/>
      <c r="AB134" s="19"/>
      <c r="AD134" s="19"/>
      <c r="AH134" s="19"/>
      <c r="AJ134" s="19"/>
      <c r="AL134" s="19"/>
      <c r="AN134" s="19"/>
      <c r="AP134" s="19"/>
      <c r="AR134" s="19"/>
      <c r="AT134" s="19"/>
    </row>
    <row r="135" spans="1:47" x14ac:dyDescent="0.2">
      <c r="A135" s="71" t="s">
        <v>11</v>
      </c>
      <c r="B135" s="12"/>
    </row>
    <row r="136" spans="1:47" x14ac:dyDescent="0.2">
      <c r="A136" s="71"/>
      <c r="B136" s="12" t="s">
        <v>12</v>
      </c>
    </row>
    <row r="137" spans="1:47" x14ac:dyDescent="0.2">
      <c r="A137" s="71"/>
      <c r="B137" s="3" t="s">
        <v>153</v>
      </c>
      <c r="C137" s="14">
        <v>0</v>
      </c>
      <c r="E137" s="14">
        <v>0</v>
      </c>
      <c r="G137" s="14">
        <v>0</v>
      </c>
      <c r="I137" s="14">
        <v>0</v>
      </c>
      <c r="K137" s="14">
        <v>0</v>
      </c>
      <c r="M137" s="14">
        <v>0</v>
      </c>
      <c r="O137" s="14">
        <v>0</v>
      </c>
      <c r="Q137" s="14">
        <v>0</v>
      </c>
      <c r="S137" s="14">
        <v>0</v>
      </c>
      <c r="U137" s="14">
        <v>0</v>
      </c>
      <c r="W137" s="14">
        <v>0</v>
      </c>
      <c r="Y137" s="14">
        <v>0</v>
      </c>
      <c r="AA137" s="14">
        <v>0</v>
      </c>
      <c r="AC137" s="14">
        <v>0</v>
      </c>
      <c r="AE137" s="14">
        <v>0</v>
      </c>
      <c r="AF137" s="14">
        <v>0</v>
      </c>
      <c r="AG137" s="14">
        <v>0</v>
      </c>
      <c r="AI137" s="14">
        <f t="shared" ref="AI137:AI151" si="39">SUM(C137:AF137)</f>
        <v>0</v>
      </c>
      <c r="AK137" s="14">
        <f t="shared" ref="AK137:AK151" si="40">SUMIF($C$9:$AH$9,"=Addition",$C137:$AH137)</f>
        <v>0</v>
      </c>
      <c r="AM137" s="14">
        <f t="shared" ref="AM137:AM151" si="41">SUMIF($C$9:$AH$9,"=Adjustment",$C137:$AH137)</f>
        <v>0</v>
      </c>
      <c r="AO137" s="14">
        <f t="shared" ref="AO137:AO151" si="42">SUMIF($C$9:$AH$9,"=Transfer",$C137:$AH137)</f>
        <v>0</v>
      </c>
      <c r="AQ137" s="14">
        <f t="shared" ref="AQ137:AQ151" si="43">SUMIF($C$9:$Z$9,"=N/A",$C137:$Z137)</f>
        <v>0</v>
      </c>
      <c r="AS137" s="14">
        <f t="shared" ref="AS137:AS151" si="44">SUM(AK137:AQ137)</f>
        <v>0</v>
      </c>
      <c r="AU137" s="14">
        <f t="shared" si="25"/>
        <v>0</v>
      </c>
    </row>
    <row r="138" spans="1:47" x14ac:dyDescent="0.2">
      <c r="A138" s="71"/>
      <c r="B138" s="3" t="s">
        <v>154</v>
      </c>
      <c r="C138" s="14">
        <v>0</v>
      </c>
      <c r="E138" s="14">
        <v>0</v>
      </c>
      <c r="G138" s="14">
        <v>0</v>
      </c>
      <c r="I138" s="14">
        <v>0</v>
      </c>
      <c r="K138" s="14">
        <v>0</v>
      </c>
      <c r="M138" s="14">
        <v>0</v>
      </c>
      <c r="O138" s="14">
        <v>0</v>
      </c>
      <c r="Q138" s="14">
        <v>0</v>
      </c>
      <c r="S138" s="14">
        <v>0</v>
      </c>
      <c r="U138" s="14">
        <v>0</v>
      </c>
      <c r="W138" s="14">
        <v>0</v>
      </c>
      <c r="Y138" s="14">
        <v>0</v>
      </c>
      <c r="AA138" s="14">
        <v>0</v>
      </c>
      <c r="AC138" s="14">
        <v>0</v>
      </c>
      <c r="AE138" s="14">
        <v>0</v>
      </c>
      <c r="AF138" s="14">
        <v>0</v>
      </c>
      <c r="AG138" s="14">
        <v>0</v>
      </c>
      <c r="AI138" s="14">
        <f t="shared" si="39"/>
        <v>0</v>
      </c>
      <c r="AK138" s="14">
        <f t="shared" si="40"/>
        <v>0</v>
      </c>
      <c r="AM138" s="14">
        <f t="shared" si="41"/>
        <v>0</v>
      </c>
      <c r="AO138" s="14">
        <f t="shared" si="42"/>
        <v>0</v>
      </c>
      <c r="AQ138" s="14">
        <f t="shared" si="43"/>
        <v>0</v>
      </c>
      <c r="AS138" s="14">
        <f t="shared" si="44"/>
        <v>0</v>
      </c>
      <c r="AU138" s="14">
        <f t="shared" si="25"/>
        <v>0</v>
      </c>
    </row>
    <row r="139" spans="1:47" x14ac:dyDescent="0.2">
      <c r="A139" s="71"/>
      <c r="B139" s="3" t="s">
        <v>155</v>
      </c>
      <c r="C139" s="14">
        <v>0</v>
      </c>
      <c r="E139" s="14">
        <v>0</v>
      </c>
      <c r="G139" s="14">
        <v>0</v>
      </c>
      <c r="I139" s="14">
        <v>0</v>
      </c>
      <c r="K139" s="14">
        <v>0</v>
      </c>
      <c r="M139" s="14">
        <v>0</v>
      </c>
      <c r="O139" s="14">
        <v>0</v>
      </c>
      <c r="Q139" s="14">
        <v>0</v>
      </c>
      <c r="S139" s="14">
        <v>0</v>
      </c>
      <c r="U139" s="14">
        <v>0</v>
      </c>
      <c r="W139" s="14">
        <v>0</v>
      </c>
      <c r="Y139" s="14">
        <v>0</v>
      </c>
      <c r="AA139" s="14">
        <v>0</v>
      </c>
      <c r="AC139" s="14">
        <v>0</v>
      </c>
      <c r="AE139" s="14">
        <v>0</v>
      </c>
      <c r="AF139" s="14">
        <v>0</v>
      </c>
      <c r="AG139" s="14">
        <v>0</v>
      </c>
      <c r="AI139" s="14">
        <f t="shared" si="39"/>
        <v>0</v>
      </c>
      <c r="AK139" s="14">
        <f t="shared" si="40"/>
        <v>0</v>
      </c>
      <c r="AM139" s="14">
        <f t="shared" si="41"/>
        <v>0</v>
      </c>
      <c r="AO139" s="14">
        <f t="shared" si="42"/>
        <v>0</v>
      </c>
      <c r="AQ139" s="14">
        <f t="shared" si="43"/>
        <v>0</v>
      </c>
      <c r="AS139" s="14">
        <f t="shared" si="44"/>
        <v>0</v>
      </c>
      <c r="AU139" s="14">
        <f t="shared" si="25"/>
        <v>0</v>
      </c>
    </row>
    <row r="140" spans="1:47" x14ac:dyDescent="0.2">
      <c r="A140" s="71"/>
      <c r="B140" s="3" t="s">
        <v>156</v>
      </c>
      <c r="C140" s="14">
        <v>0</v>
      </c>
      <c r="E140" s="14">
        <v>0</v>
      </c>
      <c r="G140" s="14">
        <v>0</v>
      </c>
      <c r="I140" s="14">
        <v>0</v>
      </c>
      <c r="K140" s="14">
        <v>0</v>
      </c>
      <c r="M140" s="14">
        <v>0</v>
      </c>
      <c r="O140" s="14">
        <v>0</v>
      </c>
      <c r="Q140" s="14">
        <v>0</v>
      </c>
      <c r="S140" s="14">
        <v>0</v>
      </c>
      <c r="U140" s="14">
        <v>0</v>
      </c>
      <c r="W140" s="14">
        <v>0</v>
      </c>
      <c r="Y140" s="14">
        <v>0</v>
      </c>
      <c r="AA140" s="14">
        <v>0</v>
      </c>
      <c r="AC140" s="14">
        <v>0</v>
      </c>
      <c r="AE140" s="14">
        <v>0</v>
      </c>
      <c r="AF140" s="14">
        <v>0</v>
      </c>
      <c r="AG140" s="14">
        <v>0</v>
      </c>
      <c r="AI140" s="14">
        <f t="shared" si="39"/>
        <v>0</v>
      </c>
      <c r="AK140" s="14">
        <f t="shared" si="40"/>
        <v>0</v>
      </c>
      <c r="AM140" s="14">
        <f t="shared" si="41"/>
        <v>0</v>
      </c>
      <c r="AO140" s="14">
        <f t="shared" si="42"/>
        <v>0</v>
      </c>
      <c r="AQ140" s="14">
        <f t="shared" si="43"/>
        <v>0</v>
      </c>
      <c r="AS140" s="14">
        <f t="shared" si="44"/>
        <v>0</v>
      </c>
      <c r="AU140" s="14">
        <f t="shared" si="25"/>
        <v>0</v>
      </c>
    </row>
    <row r="141" spans="1:47" x14ac:dyDescent="0.2">
      <c r="A141" s="71"/>
      <c r="B141" s="3" t="s">
        <v>157</v>
      </c>
      <c r="C141" s="14">
        <v>0</v>
      </c>
      <c r="E141" s="14">
        <v>0</v>
      </c>
      <c r="G141" s="14">
        <v>0</v>
      </c>
      <c r="I141" s="14">
        <v>0</v>
      </c>
      <c r="K141" s="14">
        <v>0</v>
      </c>
      <c r="M141" s="14">
        <v>0</v>
      </c>
      <c r="O141" s="14">
        <v>0</v>
      </c>
      <c r="Q141" s="14">
        <v>0</v>
      </c>
      <c r="S141" s="14">
        <v>0</v>
      </c>
      <c r="U141" s="14">
        <v>0</v>
      </c>
      <c r="W141" s="14">
        <v>0</v>
      </c>
      <c r="Y141" s="14">
        <v>0</v>
      </c>
      <c r="AA141" s="14">
        <v>0</v>
      </c>
      <c r="AC141" s="14">
        <v>0</v>
      </c>
      <c r="AE141" s="14">
        <v>0</v>
      </c>
      <c r="AF141" s="14">
        <v>0</v>
      </c>
      <c r="AG141" s="14">
        <v>0</v>
      </c>
      <c r="AI141" s="14">
        <f t="shared" si="39"/>
        <v>0</v>
      </c>
      <c r="AK141" s="14">
        <f t="shared" si="40"/>
        <v>0</v>
      </c>
      <c r="AM141" s="14">
        <f t="shared" si="41"/>
        <v>0</v>
      </c>
      <c r="AO141" s="14">
        <f t="shared" si="42"/>
        <v>0</v>
      </c>
      <c r="AQ141" s="14">
        <f t="shared" si="43"/>
        <v>0</v>
      </c>
      <c r="AS141" s="14">
        <f t="shared" si="44"/>
        <v>0</v>
      </c>
      <c r="AU141" s="14">
        <f t="shared" si="25"/>
        <v>0</v>
      </c>
    </row>
    <row r="142" spans="1:47" x14ac:dyDescent="0.2">
      <c r="A142" s="71"/>
      <c r="B142" s="3" t="s">
        <v>158</v>
      </c>
      <c r="C142" s="14">
        <v>0</v>
      </c>
      <c r="E142" s="14">
        <v>0</v>
      </c>
      <c r="G142" s="14">
        <v>0</v>
      </c>
      <c r="I142" s="14">
        <v>0</v>
      </c>
      <c r="K142" s="14">
        <v>0</v>
      </c>
      <c r="M142" s="14">
        <v>0</v>
      </c>
      <c r="O142" s="14">
        <v>0</v>
      </c>
      <c r="Q142" s="14">
        <v>0</v>
      </c>
      <c r="S142" s="14">
        <v>0</v>
      </c>
      <c r="U142" s="14">
        <v>0</v>
      </c>
      <c r="W142" s="14">
        <v>0</v>
      </c>
      <c r="Y142" s="14">
        <v>0</v>
      </c>
      <c r="AA142" s="14">
        <v>0</v>
      </c>
      <c r="AC142" s="14">
        <v>0</v>
      </c>
      <c r="AE142" s="14">
        <v>0</v>
      </c>
      <c r="AF142" s="14">
        <v>0</v>
      </c>
      <c r="AG142" s="14">
        <v>0</v>
      </c>
      <c r="AI142" s="14">
        <f t="shared" si="39"/>
        <v>0</v>
      </c>
      <c r="AK142" s="14">
        <f t="shared" si="40"/>
        <v>0</v>
      </c>
      <c r="AM142" s="14">
        <f t="shared" si="41"/>
        <v>0</v>
      </c>
      <c r="AO142" s="14">
        <f t="shared" si="42"/>
        <v>0</v>
      </c>
      <c r="AQ142" s="14">
        <f t="shared" si="43"/>
        <v>0</v>
      </c>
      <c r="AS142" s="14">
        <f t="shared" si="44"/>
        <v>0</v>
      </c>
      <c r="AU142" s="14">
        <f t="shared" si="25"/>
        <v>0</v>
      </c>
    </row>
    <row r="143" spans="1:47" x14ac:dyDescent="0.2">
      <c r="A143" s="71"/>
      <c r="B143" s="3" t="s">
        <v>159</v>
      </c>
      <c r="C143" s="14">
        <v>0</v>
      </c>
      <c r="E143" s="14">
        <v>0</v>
      </c>
      <c r="G143" s="14">
        <v>0</v>
      </c>
      <c r="I143" s="14">
        <v>0</v>
      </c>
      <c r="K143" s="14">
        <v>0</v>
      </c>
      <c r="M143" s="14">
        <v>0</v>
      </c>
      <c r="O143" s="14">
        <v>0</v>
      </c>
      <c r="Q143" s="14">
        <v>0</v>
      </c>
      <c r="S143" s="14">
        <v>0</v>
      </c>
      <c r="U143" s="14">
        <v>0</v>
      </c>
      <c r="W143" s="14">
        <v>0</v>
      </c>
      <c r="Y143" s="14">
        <v>0</v>
      </c>
      <c r="AA143" s="14">
        <v>0</v>
      </c>
      <c r="AC143" s="14">
        <v>0</v>
      </c>
      <c r="AE143" s="14">
        <v>0</v>
      </c>
      <c r="AF143" s="14">
        <v>0</v>
      </c>
      <c r="AG143" s="14">
        <v>0</v>
      </c>
      <c r="AI143" s="14">
        <f t="shared" si="39"/>
        <v>0</v>
      </c>
      <c r="AK143" s="14">
        <f t="shared" si="40"/>
        <v>0</v>
      </c>
      <c r="AM143" s="14">
        <f t="shared" si="41"/>
        <v>0</v>
      </c>
      <c r="AO143" s="14">
        <f t="shared" si="42"/>
        <v>0</v>
      </c>
      <c r="AQ143" s="14">
        <f t="shared" si="43"/>
        <v>0</v>
      </c>
      <c r="AS143" s="14">
        <f t="shared" si="44"/>
        <v>0</v>
      </c>
      <c r="AU143" s="14">
        <f t="shared" si="25"/>
        <v>0</v>
      </c>
    </row>
    <row r="144" spans="1:47" x14ac:dyDescent="0.2">
      <c r="A144" s="71"/>
      <c r="B144" s="3" t="s">
        <v>160</v>
      </c>
      <c r="C144" s="14">
        <v>0</v>
      </c>
      <c r="E144" s="14">
        <v>0</v>
      </c>
      <c r="G144" s="14">
        <v>0</v>
      </c>
      <c r="I144" s="14">
        <v>0</v>
      </c>
      <c r="K144" s="14">
        <v>0</v>
      </c>
      <c r="M144" s="14">
        <v>0</v>
      </c>
      <c r="O144" s="14">
        <v>0</v>
      </c>
      <c r="Q144" s="14">
        <v>0</v>
      </c>
      <c r="S144" s="14">
        <v>0</v>
      </c>
      <c r="U144" s="14">
        <v>0</v>
      </c>
      <c r="W144" s="14">
        <v>0</v>
      </c>
      <c r="Y144" s="14">
        <v>0</v>
      </c>
      <c r="AA144" s="14">
        <v>0</v>
      </c>
      <c r="AC144" s="14">
        <v>0</v>
      </c>
      <c r="AE144" s="14">
        <v>0</v>
      </c>
      <c r="AF144" s="14">
        <v>0</v>
      </c>
      <c r="AG144" s="14">
        <v>0</v>
      </c>
      <c r="AI144" s="14">
        <f t="shared" si="39"/>
        <v>0</v>
      </c>
      <c r="AK144" s="14">
        <f t="shared" si="40"/>
        <v>0</v>
      </c>
      <c r="AM144" s="14">
        <f t="shared" si="41"/>
        <v>0</v>
      </c>
      <c r="AO144" s="14">
        <f t="shared" si="42"/>
        <v>0</v>
      </c>
      <c r="AQ144" s="14">
        <f t="shared" si="43"/>
        <v>0</v>
      </c>
      <c r="AS144" s="14">
        <f t="shared" si="44"/>
        <v>0</v>
      </c>
      <c r="AU144" s="14">
        <f t="shared" si="25"/>
        <v>0</v>
      </c>
    </row>
    <row r="145" spans="1:47" x14ac:dyDescent="0.2">
      <c r="A145" s="71"/>
      <c r="B145" s="3" t="s">
        <v>161</v>
      </c>
      <c r="C145" s="14">
        <v>0</v>
      </c>
      <c r="E145" s="14">
        <v>0</v>
      </c>
      <c r="G145" s="14">
        <v>0</v>
      </c>
      <c r="I145" s="14">
        <v>0</v>
      </c>
      <c r="K145" s="14">
        <v>0</v>
      </c>
      <c r="M145" s="14">
        <v>0</v>
      </c>
      <c r="O145" s="14">
        <v>0</v>
      </c>
      <c r="Q145" s="14">
        <v>0</v>
      </c>
      <c r="S145" s="14">
        <v>0</v>
      </c>
      <c r="U145" s="14">
        <v>0</v>
      </c>
      <c r="W145" s="14">
        <v>0</v>
      </c>
      <c r="Y145" s="14">
        <v>0</v>
      </c>
      <c r="AA145" s="14">
        <v>0</v>
      </c>
      <c r="AC145" s="14">
        <v>0</v>
      </c>
      <c r="AE145" s="14">
        <v>0</v>
      </c>
      <c r="AF145" s="14">
        <v>0</v>
      </c>
      <c r="AG145" s="14">
        <v>0</v>
      </c>
      <c r="AI145" s="14">
        <f t="shared" si="39"/>
        <v>0</v>
      </c>
      <c r="AK145" s="14">
        <f t="shared" si="40"/>
        <v>0</v>
      </c>
      <c r="AM145" s="14">
        <f t="shared" si="41"/>
        <v>0</v>
      </c>
      <c r="AO145" s="14">
        <f t="shared" si="42"/>
        <v>0</v>
      </c>
      <c r="AQ145" s="14">
        <f t="shared" si="43"/>
        <v>0</v>
      </c>
      <c r="AS145" s="14">
        <f t="shared" si="44"/>
        <v>0</v>
      </c>
      <c r="AU145" s="14">
        <f t="shared" si="25"/>
        <v>0</v>
      </c>
    </row>
    <row r="146" spans="1:47" x14ac:dyDescent="0.2">
      <c r="A146" s="71"/>
      <c r="B146" s="3" t="s">
        <v>162</v>
      </c>
      <c r="C146" s="14">
        <v>0</v>
      </c>
      <c r="E146" s="14">
        <v>0</v>
      </c>
      <c r="G146" s="14">
        <v>0</v>
      </c>
      <c r="I146" s="14">
        <v>0</v>
      </c>
      <c r="K146" s="14">
        <v>0</v>
      </c>
      <c r="M146" s="14">
        <v>0</v>
      </c>
      <c r="O146" s="14">
        <v>0</v>
      </c>
      <c r="Q146" s="14">
        <v>0</v>
      </c>
      <c r="S146" s="14">
        <v>0</v>
      </c>
      <c r="U146" s="14">
        <v>0</v>
      </c>
      <c r="W146" s="14">
        <v>0</v>
      </c>
      <c r="Y146" s="14">
        <v>0</v>
      </c>
      <c r="AA146" s="14">
        <v>0</v>
      </c>
      <c r="AC146" s="14">
        <v>0</v>
      </c>
      <c r="AE146" s="14">
        <v>0</v>
      </c>
      <c r="AF146" s="14">
        <v>0</v>
      </c>
      <c r="AG146" s="14">
        <v>0</v>
      </c>
      <c r="AI146" s="14">
        <f t="shared" si="39"/>
        <v>0</v>
      </c>
      <c r="AK146" s="14">
        <f t="shared" si="40"/>
        <v>0</v>
      </c>
      <c r="AM146" s="14">
        <f t="shared" si="41"/>
        <v>0</v>
      </c>
      <c r="AO146" s="14">
        <f t="shared" si="42"/>
        <v>0</v>
      </c>
      <c r="AQ146" s="14">
        <f t="shared" si="43"/>
        <v>0</v>
      </c>
      <c r="AS146" s="14">
        <f t="shared" si="44"/>
        <v>0</v>
      </c>
      <c r="AU146" s="14">
        <f t="shared" si="25"/>
        <v>0</v>
      </c>
    </row>
    <row r="147" spans="1:47" x14ac:dyDescent="0.2">
      <c r="A147" s="71"/>
      <c r="B147" s="3" t="s">
        <v>163</v>
      </c>
      <c r="C147" s="14">
        <v>0</v>
      </c>
      <c r="E147" s="14">
        <v>0</v>
      </c>
      <c r="G147" s="14">
        <v>0</v>
      </c>
      <c r="I147" s="14">
        <v>0</v>
      </c>
      <c r="K147" s="14">
        <v>0</v>
      </c>
      <c r="M147" s="14">
        <v>0</v>
      </c>
      <c r="O147" s="14">
        <v>0</v>
      </c>
      <c r="Q147" s="14">
        <v>0</v>
      </c>
      <c r="S147" s="14">
        <v>0</v>
      </c>
      <c r="U147" s="14">
        <v>0</v>
      </c>
      <c r="W147" s="14">
        <v>0</v>
      </c>
      <c r="Y147" s="14">
        <v>0</v>
      </c>
      <c r="AA147" s="14">
        <v>0</v>
      </c>
      <c r="AC147" s="14">
        <v>0</v>
      </c>
      <c r="AE147" s="14">
        <v>0</v>
      </c>
      <c r="AF147" s="14">
        <v>0</v>
      </c>
      <c r="AG147" s="14">
        <v>0</v>
      </c>
      <c r="AI147" s="14">
        <f t="shared" si="39"/>
        <v>0</v>
      </c>
      <c r="AK147" s="14">
        <f t="shared" si="40"/>
        <v>0</v>
      </c>
      <c r="AM147" s="14">
        <f t="shared" si="41"/>
        <v>0</v>
      </c>
      <c r="AO147" s="14">
        <f t="shared" si="42"/>
        <v>0</v>
      </c>
      <c r="AQ147" s="14">
        <f t="shared" si="43"/>
        <v>0</v>
      </c>
      <c r="AS147" s="14">
        <f t="shared" si="44"/>
        <v>0</v>
      </c>
      <c r="AU147" s="14">
        <f t="shared" si="25"/>
        <v>0</v>
      </c>
    </row>
    <row r="148" spans="1:47" x14ac:dyDescent="0.2">
      <c r="A148" s="71"/>
      <c r="B148" s="3" t="s">
        <v>165</v>
      </c>
      <c r="C148" s="14">
        <v>0</v>
      </c>
      <c r="E148" s="14">
        <v>0</v>
      </c>
      <c r="G148" s="14">
        <v>0</v>
      </c>
      <c r="I148" s="14">
        <v>0</v>
      </c>
      <c r="K148" s="14">
        <v>0</v>
      </c>
      <c r="M148" s="14">
        <v>0</v>
      </c>
      <c r="O148" s="14">
        <v>0</v>
      </c>
      <c r="Q148" s="14">
        <v>0</v>
      </c>
      <c r="S148" s="14">
        <v>0</v>
      </c>
      <c r="U148" s="14">
        <v>0</v>
      </c>
      <c r="W148" s="14">
        <v>0</v>
      </c>
      <c r="Y148" s="14">
        <v>0</v>
      </c>
      <c r="AA148" s="14">
        <v>0</v>
      </c>
      <c r="AC148" s="14">
        <v>0</v>
      </c>
      <c r="AE148" s="14">
        <v>0</v>
      </c>
      <c r="AF148" s="14">
        <v>0</v>
      </c>
      <c r="AG148" s="14">
        <v>0</v>
      </c>
      <c r="AI148" s="14">
        <f t="shared" si="39"/>
        <v>0</v>
      </c>
      <c r="AK148" s="14">
        <f t="shared" si="40"/>
        <v>0</v>
      </c>
      <c r="AM148" s="14">
        <f t="shared" si="41"/>
        <v>0</v>
      </c>
      <c r="AO148" s="14">
        <f t="shared" si="42"/>
        <v>0</v>
      </c>
      <c r="AQ148" s="14">
        <f t="shared" si="43"/>
        <v>0</v>
      </c>
      <c r="AS148" s="14">
        <f t="shared" si="44"/>
        <v>0</v>
      </c>
      <c r="AU148" s="14">
        <f t="shared" si="25"/>
        <v>0</v>
      </c>
    </row>
    <row r="149" spans="1:47" x14ac:dyDescent="0.2">
      <c r="A149" s="71"/>
      <c r="B149" s="3" t="s">
        <v>166</v>
      </c>
      <c r="C149" s="14">
        <v>0</v>
      </c>
      <c r="E149" s="14">
        <v>0</v>
      </c>
      <c r="G149" s="14">
        <v>0</v>
      </c>
      <c r="I149" s="14">
        <v>0</v>
      </c>
      <c r="K149" s="14">
        <v>0</v>
      </c>
      <c r="M149" s="14">
        <v>0</v>
      </c>
      <c r="O149" s="14">
        <v>0</v>
      </c>
      <c r="Q149" s="14">
        <v>0</v>
      </c>
      <c r="S149" s="14">
        <v>0</v>
      </c>
      <c r="U149" s="14">
        <v>0</v>
      </c>
      <c r="W149" s="14">
        <v>0</v>
      </c>
      <c r="Y149" s="14">
        <v>0</v>
      </c>
      <c r="AA149" s="14">
        <v>0</v>
      </c>
      <c r="AC149" s="14">
        <v>0</v>
      </c>
      <c r="AE149" s="14">
        <v>0</v>
      </c>
      <c r="AF149" s="14">
        <v>0</v>
      </c>
      <c r="AG149" s="14">
        <v>0</v>
      </c>
      <c r="AI149" s="14">
        <f t="shared" si="39"/>
        <v>0</v>
      </c>
      <c r="AK149" s="14">
        <f t="shared" si="40"/>
        <v>0</v>
      </c>
      <c r="AM149" s="14">
        <f t="shared" si="41"/>
        <v>0</v>
      </c>
      <c r="AO149" s="14">
        <f t="shared" si="42"/>
        <v>0</v>
      </c>
      <c r="AQ149" s="14">
        <f t="shared" si="43"/>
        <v>0</v>
      </c>
      <c r="AS149" s="14">
        <f t="shared" si="44"/>
        <v>0</v>
      </c>
      <c r="AU149" s="14">
        <f t="shared" ref="AU149:AU213" si="45">+AI149-AS149</f>
        <v>0</v>
      </c>
    </row>
    <row r="150" spans="1:47" x14ac:dyDescent="0.2">
      <c r="A150" s="71"/>
      <c r="B150" s="3" t="s">
        <v>167</v>
      </c>
      <c r="C150" s="14">
        <v>0</v>
      </c>
      <c r="E150" s="14">
        <v>0</v>
      </c>
      <c r="G150" s="14">
        <v>0</v>
      </c>
      <c r="I150" s="14">
        <v>0</v>
      </c>
      <c r="K150" s="14">
        <v>0</v>
      </c>
      <c r="M150" s="14">
        <v>0</v>
      </c>
      <c r="O150" s="14">
        <v>0</v>
      </c>
      <c r="Q150" s="14">
        <v>0</v>
      </c>
      <c r="S150" s="14">
        <v>0</v>
      </c>
      <c r="U150" s="14">
        <v>0</v>
      </c>
      <c r="W150" s="14">
        <v>0</v>
      </c>
      <c r="Y150" s="14">
        <v>0</v>
      </c>
      <c r="AA150" s="14">
        <v>0</v>
      </c>
      <c r="AC150" s="14">
        <v>0</v>
      </c>
      <c r="AE150" s="14">
        <v>0</v>
      </c>
      <c r="AF150" s="14">
        <v>0</v>
      </c>
      <c r="AG150" s="14">
        <v>0</v>
      </c>
      <c r="AI150" s="14">
        <f t="shared" si="39"/>
        <v>0</v>
      </c>
      <c r="AK150" s="14">
        <f t="shared" si="40"/>
        <v>0</v>
      </c>
      <c r="AM150" s="14">
        <f t="shared" si="41"/>
        <v>0</v>
      </c>
      <c r="AO150" s="14">
        <f t="shared" si="42"/>
        <v>0</v>
      </c>
      <c r="AQ150" s="14">
        <f t="shared" si="43"/>
        <v>0</v>
      </c>
      <c r="AS150" s="14">
        <f t="shared" si="44"/>
        <v>0</v>
      </c>
      <c r="AU150" s="14">
        <f t="shared" si="45"/>
        <v>0</v>
      </c>
    </row>
    <row r="151" spans="1:47" x14ac:dyDescent="0.2">
      <c r="A151" s="71"/>
      <c r="B151" s="73" t="s">
        <v>168</v>
      </c>
      <c r="C151" s="14">
        <v>0</v>
      </c>
      <c r="E151" s="14">
        <v>0</v>
      </c>
      <c r="G151" s="14">
        <v>0</v>
      </c>
      <c r="I151" s="14">
        <v>0</v>
      </c>
      <c r="K151" s="14">
        <v>0</v>
      </c>
      <c r="M151" s="14">
        <v>0</v>
      </c>
      <c r="O151" s="14">
        <v>0</v>
      </c>
      <c r="Q151" s="14">
        <v>0</v>
      </c>
      <c r="S151" s="14">
        <v>0</v>
      </c>
      <c r="U151" s="14">
        <v>0</v>
      </c>
      <c r="W151" s="14">
        <v>0</v>
      </c>
      <c r="Y151" s="14">
        <v>0</v>
      </c>
      <c r="AA151" s="14">
        <v>0</v>
      </c>
      <c r="AC151" s="14">
        <v>0</v>
      </c>
      <c r="AE151" s="14">
        <v>0</v>
      </c>
      <c r="AF151" s="14">
        <v>0</v>
      </c>
      <c r="AG151" s="14">
        <v>0</v>
      </c>
      <c r="AI151" s="16">
        <f t="shared" si="39"/>
        <v>0</v>
      </c>
      <c r="AK151" s="14">
        <f t="shared" si="40"/>
        <v>0</v>
      </c>
      <c r="AM151" s="14">
        <f t="shared" si="41"/>
        <v>0</v>
      </c>
      <c r="AO151" s="14">
        <f t="shared" si="42"/>
        <v>0</v>
      </c>
      <c r="AQ151" s="14">
        <f t="shared" si="43"/>
        <v>0</v>
      </c>
      <c r="AS151" s="14">
        <f t="shared" si="44"/>
        <v>0</v>
      </c>
      <c r="AU151" s="14">
        <f t="shared" si="45"/>
        <v>0</v>
      </c>
    </row>
    <row r="152" spans="1:47" x14ac:dyDescent="0.2">
      <c r="A152" s="71"/>
      <c r="B152" s="12" t="s">
        <v>244</v>
      </c>
      <c r="C152" s="18">
        <f>SUM(C137:C151)</f>
        <v>0</v>
      </c>
      <c r="E152" s="18">
        <f>SUM(E137:E151)</f>
        <v>0</v>
      </c>
      <c r="G152" s="18">
        <f>SUM(G137:G151)</f>
        <v>0</v>
      </c>
      <c r="I152" s="18">
        <f>SUM(I137:I151)</f>
        <v>0</v>
      </c>
      <c r="K152" s="18">
        <f>SUM(K137:K151)</f>
        <v>0</v>
      </c>
      <c r="M152" s="18">
        <f>SUM(M137:M151)</f>
        <v>0</v>
      </c>
      <c r="O152" s="18">
        <f>SUM(O137:O151)</f>
        <v>0</v>
      </c>
      <c r="Q152" s="18">
        <f>SUM(Q137:Q151)</f>
        <v>0</v>
      </c>
      <c r="S152" s="18">
        <f>SUM(S137:S151)</f>
        <v>0</v>
      </c>
      <c r="U152" s="18">
        <f>SUM(U137:U151)</f>
        <v>0</v>
      </c>
      <c r="W152" s="18">
        <f>SUM(W137:W151)</f>
        <v>0</v>
      </c>
      <c r="Y152" s="18">
        <f>SUM(Y137:Y151)</f>
        <v>0</v>
      </c>
      <c r="AA152" s="18">
        <f>SUM(AA137:AA151)</f>
        <v>0</v>
      </c>
      <c r="AC152" s="18">
        <f>SUM(AC137:AC151)</f>
        <v>0</v>
      </c>
      <c r="AE152" s="18">
        <f>SUM(AE137:AE151)</f>
        <v>0</v>
      </c>
      <c r="AF152" s="18">
        <f>SUM(AF137:AF151)</f>
        <v>0</v>
      </c>
      <c r="AG152" s="18">
        <f>SUM(AG137:AG151)</f>
        <v>0</v>
      </c>
      <c r="AI152" s="18">
        <f>SUM(AI137:AI151)</f>
        <v>0</v>
      </c>
      <c r="AK152" s="18">
        <f>SUM(AK137:AK151)</f>
        <v>0</v>
      </c>
      <c r="AM152" s="18">
        <f>SUM(AM137:AM151)</f>
        <v>0</v>
      </c>
      <c r="AO152" s="18">
        <f>SUM(AO137:AO151)</f>
        <v>0</v>
      </c>
      <c r="AQ152" s="18">
        <f>SUM(AQ137:AQ151)</f>
        <v>0</v>
      </c>
      <c r="AS152" s="18">
        <f>SUM(AS137:AS151)</f>
        <v>0</v>
      </c>
      <c r="AU152" s="18">
        <f t="shared" si="45"/>
        <v>0</v>
      </c>
    </row>
    <row r="153" spans="1:47" x14ac:dyDescent="0.2">
      <c r="A153" s="71"/>
      <c r="C153" s="14"/>
      <c r="E153" s="14"/>
      <c r="G153" s="14"/>
      <c r="I153" s="14"/>
      <c r="K153" s="14"/>
      <c r="M153" s="14"/>
      <c r="O153" s="14"/>
      <c r="Q153" s="14"/>
      <c r="S153" s="14"/>
      <c r="U153" s="14"/>
      <c r="W153" s="14"/>
      <c r="Y153" s="14"/>
      <c r="AA153" s="14"/>
      <c r="AC153" s="14"/>
      <c r="AE153" s="14"/>
      <c r="AF153" s="14"/>
      <c r="AG153" s="14"/>
      <c r="AI153" s="14"/>
      <c r="AK153" s="14"/>
      <c r="AM153" s="14"/>
      <c r="AO153" s="14"/>
      <c r="AQ153" s="14"/>
      <c r="AS153" s="14"/>
      <c r="AU153" s="14"/>
    </row>
    <row r="154" spans="1:47" x14ac:dyDescent="0.2">
      <c r="A154" s="71"/>
      <c r="B154" s="12" t="s">
        <v>13</v>
      </c>
      <c r="C154" s="14"/>
      <c r="E154" s="14"/>
      <c r="G154" s="14"/>
      <c r="I154" s="14"/>
      <c r="K154" s="14"/>
      <c r="M154" s="14"/>
      <c r="O154" s="14"/>
      <c r="Q154" s="14"/>
      <c r="S154" s="14"/>
      <c r="U154" s="14"/>
      <c r="W154" s="14"/>
      <c r="Y154" s="14"/>
      <c r="AA154" s="14"/>
      <c r="AC154" s="14"/>
      <c r="AE154" s="14"/>
      <c r="AF154" s="14"/>
      <c r="AG154" s="14"/>
      <c r="AI154" s="14"/>
      <c r="AK154" s="14"/>
      <c r="AM154" s="14"/>
      <c r="AO154" s="14"/>
      <c r="AQ154" s="14"/>
      <c r="AS154" s="14"/>
      <c r="AU154" s="14"/>
    </row>
    <row r="155" spans="1:47" x14ac:dyDescent="0.2">
      <c r="A155" s="71"/>
      <c r="B155" s="43" t="s">
        <v>170</v>
      </c>
      <c r="C155" s="14">
        <v>0</v>
      </c>
      <c r="E155" s="14">
        <v>0</v>
      </c>
      <c r="G155" s="14">
        <v>0</v>
      </c>
      <c r="I155" s="14">
        <v>0</v>
      </c>
      <c r="K155" s="14">
        <v>0</v>
      </c>
      <c r="M155" s="14">
        <v>0</v>
      </c>
      <c r="O155" s="14">
        <v>0</v>
      </c>
      <c r="Q155" s="14">
        <v>0</v>
      </c>
      <c r="S155" s="14">
        <v>0</v>
      </c>
      <c r="U155" s="14">
        <v>0</v>
      </c>
      <c r="W155" s="14">
        <v>0</v>
      </c>
      <c r="Y155" s="14">
        <v>0</v>
      </c>
      <c r="AA155" s="14">
        <v>0</v>
      </c>
      <c r="AC155" s="14">
        <v>0</v>
      </c>
      <c r="AE155" s="14">
        <v>0</v>
      </c>
      <c r="AF155" s="14">
        <v>0</v>
      </c>
      <c r="AG155" s="14">
        <v>0</v>
      </c>
      <c r="AI155" s="14">
        <f t="shared" ref="AI155:AI171" si="46">SUM(C155:AF155)</f>
        <v>0</v>
      </c>
      <c r="AK155" s="14">
        <f t="shared" ref="AK155:AK171" si="47">SUMIF($C$9:$AH$9,"=Addition",$C155:$AH155)</f>
        <v>0</v>
      </c>
      <c r="AM155" s="14">
        <f t="shared" ref="AM155:AM171" si="48">SUMIF($C$9:$AH$9,"=Adjustment",$C155:$AH155)</f>
        <v>0</v>
      </c>
      <c r="AO155" s="14">
        <f t="shared" ref="AO155:AO171" si="49">SUMIF($C$9:$AH$9,"=Transfer",$C155:$AH155)</f>
        <v>0</v>
      </c>
      <c r="AQ155" s="14">
        <f t="shared" ref="AQ155:AQ171" si="50">SUMIF($C$9:$Z$9,"=N/A",$C155:$Z155)</f>
        <v>0</v>
      </c>
      <c r="AS155" s="14">
        <f t="shared" ref="AS155:AS171" si="51">SUM(AK155:AQ155)</f>
        <v>0</v>
      </c>
      <c r="AU155" s="14">
        <f t="shared" si="45"/>
        <v>0</v>
      </c>
    </row>
    <row r="156" spans="1:47" x14ac:dyDescent="0.2">
      <c r="A156" s="71"/>
      <c r="B156" s="3" t="s">
        <v>171</v>
      </c>
      <c r="C156" s="14">
        <v>0</v>
      </c>
      <c r="E156" s="14">
        <v>0</v>
      </c>
      <c r="G156" s="14">
        <v>0</v>
      </c>
      <c r="I156" s="14">
        <v>0</v>
      </c>
      <c r="K156" s="14">
        <v>0</v>
      </c>
      <c r="M156" s="14">
        <v>0</v>
      </c>
      <c r="O156" s="14">
        <v>0</v>
      </c>
      <c r="Q156" s="14">
        <v>0</v>
      </c>
      <c r="S156" s="14">
        <v>0</v>
      </c>
      <c r="U156" s="14">
        <v>0</v>
      </c>
      <c r="W156" s="14">
        <v>0</v>
      </c>
      <c r="Y156" s="14">
        <v>0</v>
      </c>
      <c r="AA156" s="14">
        <v>0</v>
      </c>
      <c r="AC156" s="14">
        <v>0</v>
      </c>
      <c r="AE156" s="14">
        <v>0</v>
      </c>
      <c r="AF156" s="14">
        <v>0</v>
      </c>
      <c r="AG156" s="14">
        <v>0</v>
      </c>
      <c r="AI156" s="14">
        <f t="shared" si="46"/>
        <v>0</v>
      </c>
      <c r="AK156" s="14">
        <f t="shared" si="47"/>
        <v>0</v>
      </c>
      <c r="AM156" s="14">
        <f t="shared" si="48"/>
        <v>0</v>
      </c>
      <c r="AO156" s="14">
        <f t="shared" si="49"/>
        <v>0</v>
      </c>
      <c r="AQ156" s="14">
        <f t="shared" si="50"/>
        <v>0</v>
      </c>
      <c r="AS156" s="14">
        <f t="shared" si="51"/>
        <v>0</v>
      </c>
      <c r="AU156" s="14">
        <f t="shared" si="45"/>
        <v>0</v>
      </c>
    </row>
    <row r="157" spans="1:47" x14ac:dyDescent="0.2">
      <c r="A157" s="71"/>
      <c r="B157" s="3" t="s">
        <v>172</v>
      </c>
      <c r="C157" s="14">
        <v>0</v>
      </c>
      <c r="E157" s="14">
        <v>0</v>
      </c>
      <c r="G157" s="14">
        <v>0</v>
      </c>
      <c r="I157" s="14">
        <v>0</v>
      </c>
      <c r="K157" s="14">
        <v>0</v>
      </c>
      <c r="M157" s="14">
        <v>0</v>
      </c>
      <c r="O157" s="14">
        <v>0</v>
      </c>
      <c r="Q157" s="14">
        <v>0</v>
      </c>
      <c r="S157" s="14">
        <v>0</v>
      </c>
      <c r="U157" s="14">
        <v>0</v>
      </c>
      <c r="W157" s="14">
        <v>0</v>
      </c>
      <c r="Y157" s="14">
        <v>0</v>
      </c>
      <c r="AA157" s="14">
        <v>0</v>
      </c>
      <c r="AC157" s="14">
        <v>0</v>
      </c>
      <c r="AE157" s="14">
        <v>0</v>
      </c>
      <c r="AF157" s="14">
        <v>0</v>
      </c>
      <c r="AG157" s="14">
        <v>0</v>
      </c>
      <c r="AI157" s="14">
        <f t="shared" si="46"/>
        <v>0</v>
      </c>
      <c r="AK157" s="14">
        <f t="shared" si="47"/>
        <v>0</v>
      </c>
      <c r="AM157" s="14">
        <f t="shared" si="48"/>
        <v>0</v>
      </c>
      <c r="AO157" s="14">
        <f t="shared" si="49"/>
        <v>0</v>
      </c>
      <c r="AQ157" s="14">
        <f t="shared" si="50"/>
        <v>0</v>
      </c>
      <c r="AS157" s="14">
        <f t="shared" si="51"/>
        <v>0</v>
      </c>
      <c r="AU157" s="14">
        <f t="shared" si="45"/>
        <v>0</v>
      </c>
    </row>
    <row r="158" spans="1:47" x14ac:dyDescent="0.2">
      <c r="A158" s="71"/>
      <c r="B158" s="3" t="s">
        <v>173</v>
      </c>
      <c r="C158" s="14">
        <v>0</v>
      </c>
      <c r="E158" s="14">
        <v>0</v>
      </c>
      <c r="G158" s="14">
        <v>0</v>
      </c>
      <c r="I158" s="14">
        <v>0</v>
      </c>
      <c r="K158" s="14">
        <v>0</v>
      </c>
      <c r="M158" s="14">
        <v>0</v>
      </c>
      <c r="O158" s="14">
        <v>0</v>
      </c>
      <c r="Q158" s="14">
        <v>0</v>
      </c>
      <c r="S158" s="14">
        <v>0</v>
      </c>
      <c r="U158" s="14">
        <v>0</v>
      </c>
      <c r="W158" s="14">
        <v>0</v>
      </c>
      <c r="Y158" s="14">
        <v>0</v>
      </c>
      <c r="AA158" s="14">
        <v>0</v>
      </c>
      <c r="AC158" s="14">
        <v>0</v>
      </c>
      <c r="AE158" s="14">
        <v>0</v>
      </c>
      <c r="AF158" s="14">
        <v>0</v>
      </c>
      <c r="AG158" s="14">
        <v>0</v>
      </c>
      <c r="AI158" s="14">
        <f t="shared" si="46"/>
        <v>0</v>
      </c>
      <c r="AK158" s="14">
        <f t="shared" si="47"/>
        <v>0</v>
      </c>
      <c r="AM158" s="14">
        <f t="shared" si="48"/>
        <v>0</v>
      </c>
      <c r="AO158" s="14">
        <f t="shared" si="49"/>
        <v>0</v>
      </c>
      <c r="AQ158" s="14">
        <f t="shared" si="50"/>
        <v>0</v>
      </c>
      <c r="AS158" s="14">
        <f t="shared" si="51"/>
        <v>0</v>
      </c>
      <c r="AU158" s="14">
        <f t="shared" si="45"/>
        <v>0</v>
      </c>
    </row>
    <row r="159" spans="1:47" x14ac:dyDescent="0.2">
      <c r="A159" s="71"/>
      <c r="B159" s="3" t="s">
        <v>174</v>
      </c>
      <c r="C159" s="14">
        <v>0</v>
      </c>
      <c r="E159" s="14">
        <v>0</v>
      </c>
      <c r="G159" s="14">
        <v>0</v>
      </c>
      <c r="I159" s="14">
        <v>0</v>
      </c>
      <c r="K159" s="14">
        <v>0</v>
      </c>
      <c r="M159" s="14">
        <v>0</v>
      </c>
      <c r="O159" s="14">
        <v>0</v>
      </c>
      <c r="Q159" s="14">
        <v>0</v>
      </c>
      <c r="S159" s="14">
        <v>0</v>
      </c>
      <c r="U159" s="14">
        <v>0</v>
      </c>
      <c r="W159" s="14">
        <v>0</v>
      </c>
      <c r="Y159" s="14">
        <v>0</v>
      </c>
      <c r="AA159" s="14">
        <v>0</v>
      </c>
      <c r="AC159" s="14">
        <v>0</v>
      </c>
      <c r="AE159" s="14">
        <v>0</v>
      </c>
      <c r="AF159" s="14">
        <v>0</v>
      </c>
      <c r="AG159" s="14">
        <v>0</v>
      </c>
      <c r="AI159" s="14">
        <f t="shared" si="46"/>
        <v>0</v>
      </c>
      <c r="AK159" s="14">
        <f t="shared" si="47"/>
        <v>0</v>
      </c>
      <c r="AM159" s="14">
        <f t="shared" si="48"/>
        <v>0</v>
      </c>
      <c r="AO159" s="14">
        <f t="shared" si="49"/>
        <v>0</v>
      </c>
      <c r="AQ159" s="14">
        <f t="shared" si="50"/>
        <v>0</v>
      </c>
      <c r="AS159" s="14">
        <f t="shared" si="51"/>
        <v>0</v>
      </c>
      <c r="AU159" s="14">
        <f t="shared" si="45"/>
        <v>0</v>
      </c>
    </row>
    <row r="160" spans="1:47" x14ac:dyDescent="0.2">
      <c r="A160" s="71"/>
      <c r="B160" s="3" t="s">
        <v>175</v>
      </c>
      <c r="C160" s="14">
        <v>0</v>
      </c>
      <c r="E160" s="14">
        <v>0</v>
      </c>
      <c r="G160" s="14">
        <v>0</v>
      </c>
      <c r="I160" s="14">
        <v>0</v>
      </c>
      <c r="K160" s="14">
        <v>0</v>
      </c>
      <c r="M160" s="14">
        <v>0</v>
      </c>
      <c r="O160" s="14">
        <v>0</v>
      </c>
      <c r="Q160" s="14">
        <v>0</v>
      </c>
      <c r="S160" s="14">
        <v>0</v>
      </c>
      <c r="U160" s="14">
        <v>0</v>
      </c>
      <c r="W160" s="14">
        <v>0</v>
      </c>
      <c r="Y160" s="14">
        <v>0</v>
      </c>
      <c r="AA160" s="14">
        <v>0</v>
      </c>
      <c r="AC160" s="14">
        <v>0</v>
      </c>
      <c r="AE160" s="14">
        <v>0</v>
      </c>
      <c r="AF160" s="14">
        <v>0</v>
      </c>
      <c r="AG160" s="14">
        <v>0</v>
      </c>
      <c r="AI160" s="14">
        <f t="shared" si="46"/>
        <v>0</v>
      </c>
      <c r="AK160" s="14">
        <f t="shared" si="47"/>
        <v>0</v>
      </c>
      <c r="AM160" s="14">
        <f t="shared" si="48"/>
        <v>0</v>
      </c>
      <c r="AO160" s="14">
        <f t="shared" si="49"/>
        <v>0</v>
      </c>
      <c r="AQ160" s="14">
        <f t="shared" si="50"/>
        <v>0</v>
      </c>
      <c r="AS160" s="14">
        <f t="shared" si="51"/>
        <v>0</v>
      </c>
      <c r="AU160" s="14">
        <f t="shared" si="45"/>
        <v>0</v>
      </c>
    </row>
    <row r="161" spans="1:47" x14ac:dyDescent="0.2">
      <c r="A161" s="71"/>
      <c r="B161" s="3" t="s">
        <v>176</v>
      </c>
      <c r="C161" s="14">
        <v>0</v>
      </c>
      <c r="E161" s="14">
        <v>0</v>
      </c>
      <c r="G161" s="14">
        <v>0</v>
      </c>
      <c r="I161" s="14">
        <v>0</v>
      </c>
      <c r="K161" s="14">
        <v>0</v>
      </c>
      <c r="M161" s="14">
        <v>0</v>
      </c>
      <c r="O161" s="14">
        <v>0</v>
      </c>
      <c r="Q161" s="14">
        <v>0</v>
      </c>
      <c r="S161" s="14">
        <v>0</v>
      </c>
      <c r="U161" s="14">
        <v>0</v>
      </c>
      <c r="W161" s="14">
        <v>0</v>
      </c>
      <c r="Y161" s="14">
        <v>0</v>
      </c>
      <c r="AA161" s="14">
        <v>0</v>
      </c>
      <c r="AC161" s="14">
        <v>0</v>
      </c>
      <c r="AE161" s="14">
        <v>0</v>
      </c>
      <c r="AF161" s="14">
        <v>0</v>
      </c>
      <c r="AG161" s="14">
        <v>0</v>
      </c>
      <c r="AI161" s="14">
        <f t="shared" si="46"/>
        <v>0</v>
      </c>
      <c r="AK161" s="14">
        <f t="shared" si="47"/>
        <v>0</v>
      </c>
      <c r="AM161" s="14">
        <f t="shared" si="48"/>
        <v>0</v>
      </c>
      <c r="AO161" s="14">
        <f t="shared" si="49"/>
        <v>0</v>
      </c>
      <c r="AQ161" s="14">
        <f t="shared" si="50"/>
        <v>0</v>
      </c>
      <c r="AS161" s="14">
        <f t="shared" si="51"/>
        <v>0</v>
      </c>
      <c r="AU161" s="14">
        <f t="shared" si="45"/>
        <v>0</v>
      </c>
    </row>
    <row r="162" spans="1:47" x14ac:dyDescent="0.2">
      <c r="A162" s="71"/>
      <c r="B162" s="3" t="s">
        <v>177</v>
      </c>
      <c r="C162" s="14">
        <v>0</v>
      </c>
      <c r="E162" s="14">
        <v>0</v>
      </c>
      <c r="G162" s="14">
        <v>0</v>
      </c>
      <c r="I162" s="14">
        <v>0</v>
      </c>
      <c r="K162" s="14">
        <v>0</v>
      </c>
      <c r="M162" s="14">
        <v>0</v>
      </c>
      <c r="O162" s="14">
        <v>0</v>
      </c>
      <c r="Q162" s="14">
        <v>0</v>
      </c>
      <c r="S162" s="14">
        <v>0</v>
      </c>
      <c r="U162" s="14">
        <v>0</v>
      </c>
      <c r="W162" s="14">
        <v>0</v>
      </c>
      <c r="Y162" s="14">
        <v>0</v>
      </c>
      <c r="AA162" s="14">
        <v>0</v>
      </c>
      <c r="AC162" s="14">
        <v>0</v>
      </c>
      <c r="AE162" s="14">
        <v>0</v>
      </c>
      <c r="AF162" s="14">
        <v>0</v>
      </c>
      <c r="AG162" s="14">
        <v>0</v>
      </c>
      <c r="AI162" s="14">
        <f t="shared" si="46"/>
        <v>0</v>
      </c>
      <c r="AK162" s="14">
        <f t="shared" si="47"/>
        <v>0</v>
      </c>
      <c r="AM162" s="14">
        <f t="shared" si="48"/>
        <v>0</v>
      </c>
      <c r="AO162" s="14">
        <f t="shared" si="49"/>
        <v>0</v>
      </c>
      <c r="AQ162" s="14">
        <f t="shared" si="50"/>
        <v>0</v>
      </c>
      <c r="AS162" s="14">
        <f t="shared" si="51"/>
        <v>0</v>
      </c>
      <c r="AU162" s="14">
        <f t="shared" si="45"/>
        <v>0</v>
      </c>
    </row>
    <row r="163" spans="1:47" x14ac:dyDescent="0.2">
      <c r="A163" s="71"/>
      <c r="B163" s="3" t="s">
        <v>178</v>
      </c>
      <c r="C163" s="14">
        <v>0</v>
      </c>
      <c r="E163" s="14">
        <v>0</v>
      </c>
      <c r="G163" s="14">
        <v>0</v>
      </c>
      <c r="I163" s="14">
        <v>0</v>
      </c>
      <c r="K163" s="14">
        <v>0</v>
      </c>
      <c r="M163" s="14">
        <v>0</v>
      </c>
      <c r="O163" s="14">
        <v>0</v>
      </c>
      <c r="Q163" s="14">
        <v>0</v>
      </c>
      <c r="S163" s="14">
        <v>0</v>
      </c>
      <c r="U163" s="14">
        <v>0</v>
      </c>
      <c r="W163" s="14">
        <v>0</v>
      </c>
      <c r="Y163" s="14">
        <v>0</v>
      </c>
      <c r="AA163" s="14">
        <v>0</v>
      </c>
      <c r="AC163" s="14">
        <v>0</v>
      </c>
      <c r="AE163" s="14">
        <v>0</v>
      </c>
      <c r="AF163" s="14">
        <v>0</v>
      </c>
      <c r="AG163" s="14">
        <v>0</v>
      </c>
      <c r="AI163" s="14">
        <f t="shared" si="46"/>
        <v>0</v>
      </c>
      <c r="AK163" s="14">
        <f t="shared" si="47"/>
        <v>0</v>
      </c>
      <c r="AM163" s="14">
        <f t="shared" si="48"/>
        <v>0</v>
      </c>
      <c r="AO163" s="14">
        <f t="shared" si="49"/>
        <v>0</v>
      </c>
      <c r="AQ163" s="14">
        <f t="shared" si="50"/>
        <v>0</v>
      </c>
      <c r="AS163" s="14">
        <f t="shared" si="51"/>
        <v>0</v>
      </c>
      <c r="AU163" s="14">
        <f t="shared" si="45"/>
        <v>0</v>
      </c>
    </row>
    <row r="164" spans="1:47" x14ac:dyDescent="0.2">
      <c r="A164" s="71"/>
      <c r="B164" s="3" t="s">
        <v>179</v>
      </c>
      <c r="C164" s="14">
        <v>0</v>
      </c>
      <c r="E164" s="14">
        <v>0</v>
      </c>
      <c r="G164" s="14">
        <v>0</v>
      </c>
      <c r="I164" s="14">
        <v>0</v>
      </c>
      <c r="K164" s="14">
        <v>0</v>
      </c>
      <c r="M164" s="14">
        <v>0</v>
      </c>
      <c r="O164" s="14">
        <v>0</v>
      </c>
      <c r="Q164" s="14">
        <v>0</v>
      </c>
      <c r="S164" s="14">
        <v>0</v>
      </c>
      <c r="U164" s="14">
        <v>0</v>
      </c>
      <c r="W164" s="14">
        <v>0</v>
      </c>
      <c r="Y164" s="14">
        <v>0</v>
      </c>
      <c r="AA164" s="14">
        <v>0</v>
      </c>
      <c r="AC164" s="14">
        <v>0</v>
      </c>
      <c r="AE164" s="14">
        <v>0</v>
      </c>
      <c r="AF164" s="14">
        <v>0</v>
      </c>
      <c r="AG164" s="14">
        <v>0</v>
      </c>
      <c r="AI164" s="14">
        <f t="shared" si="46"/>
        <v>0</v>
      </c>
      <c r="AK164" s="14">
        <f t="shared" si="47"/>
        <v>0</v>
      </c>
      <c r="AM164" s="14">
        <f t="shared" si="48"/>
        <v>0</v>
      </c>
      <c r="AO164" s="14">
        <f t="shared" si="49"/>
        <v>0</v>
      </c>
      <c r="AQ164" s="14">
        <f t="shared" si="50"/>
        <v>0</v>
      </c>
      <c r="AS164" s="14">
        <f t="shared" si="51"/>
        <v>0</v>
      </c>
      <c r="AU164" s="14">
        <f t="shared" si="45"/>
        <v>0</v>
      </c>
    </row>
    <row r="165" spans="1:47" x14ac:dyDescent="0.2">
      <c r="A165" s="71"/>
      <c r="B165" s="3" t="s">
        <v>180</v>
      </c>
      <c r="C165" s="14">
        <v>0</v>
      </c>
      <c r="E165" s="14">
        <v>0</v>
      </c>
      <c r="G165" s="14">
        <v>0</v>
      </c>
      <c r="I165" s="14">
        <v>0</v>
      </c>
      <c r="K165" s="14">
        <v>0</v>
      </c>
      <c r="M165" s="14">
        <v>0</v>
      </c>
      <c r="O165" s="14">
        <v>0</v>
      </c>
      <c r="Q165" s="14">
        <v>0</v>
      </c>
      <c r="S165" s="14">
        <v>0</v>
      </c>
      <c r="U165" s="14">
        <v>0</v>
      </c>
      <c r="W165" s="14">
        <v>0</v>
      </c>
      <c r="Y165" s="14">
        <v>0</v>
      </c>
      <c r="AA165" s="14">
        <v>0</v>
      </c>
      <c r="AC165" s="14">
        <v>0</v>
      </c>
      <c r="AE165" s="14">
        <v>0</v>
      </c>
      <c r="AF165" s="14">
        <v>0</v>
      </c>
      <c r="AG165" s="14">
        <v>0</v>
      </c>
      <c r="AI165" s="14">
        <f t="shared" si="46"/>
        <v>0</v>
      </c>
      <c r="AK165" s="14">
        <f t="shared" si="47"/>
        <v>0</v>
      </c>
      <c r="AM165" s="14">
        <f t="shared" si="48"/>
        <v>0</v>
      </c>
      <c r="AO165" s="14">
        <f t="shared" si="49"/>
        <v>0</v>
      </c>
      <c r="AQ165" s="14">
        <f t="shared" si="50"/>
        <v>0</v>
      </c>
      <c r="AS165" s="14">
        <f t="shared" si="51"/>
        <v>0</v>
      </c>
      <c r="AU165" s="14">
        <f t="shared" si="45"/>
        <v>0</v>
      </c>
    </row>
    <row r="166" spans="1:47" x14ac:dyDescent="0.2">
      <c r="A166" s="71"/>
      <c r="B166" s="3" t="s">
        <v>181</v>
      </c>
      <c r="C166" s="14">
        <v>0</v>
      </c>
      <c r="E166" s="14">
        <v>0</v>
      </c>
      <c r="G166" s="14">
        <v>0</v>
      </c>
      <c r="I166" s="14">
        <v>0</v>
      </c>
      <c r="K166" s="14">
        <v>0</v>
      </c>
      <c r="M166" s="14">
        <v>0</v>
      </c>
      <c r="O166" s="14">
        <v>0</v>
      </c>
      <c r="Q166" s="14">
        <v>0</v>
      </c>
      <c r="S166" s="14">
        <v>0</v>
      </c>
      <c r="U166" s="14">
        <v>0</v>
      </c>
      <c r="W166" s="14">
        <v>0</v>
      </c>
      <c r="Y166" s="14">
        <v>0</v>
      </c>
      <c r="AA166" s="14">
        <v>0</v>
      </c>
      <c r="AC166" s="14">
        <v>0</v>
      </c>
      <c r="AE166" s="14">
        <v>0</v>
      </c>
      <c r="AF166" s="14">
        <v>0</v>
      </c>
      <c r="AG166" s="14">
        <v>0</v>
      </c>
      <c r="AI166" s="14">
        <f t="shared" si="46"/>
        <v>0</v>
      </c>
      <c r="AK166" s="14">
        <f t="shared" si="47"/>
        <v>0</v>
      </c>
      <c r="AM166" s="14">
        <f t="shared" si="48"/>
        <v>0</v>
      </c>
      <c r="AO166" s="14">
        <f t="shared" si="49"/>
        <v>0</v>
      </c>
      <c r="AQ166" s="14">
        <f t="shared" si="50"/>
        <v>0</v>
      </c>
      <c r="AS166" s="14">
        <f t="shared" si="51"/>
        <v>0</v>
      </c>
      <c r="AU166" s="14">
        <f t="shared" si="45"/>
        <v>0</v>
      </c>
    </row>
    <row r="167" spans="1:47" x14ac:dyDescent="0.2">
      <c r="A167" s="71"/>
      <c r="B167" s="3" t="s">
        <v>182</v>
      </c>
      <c r="C167" s="14">
        <v>0</v>
      </c>
      <c r="E167" s="14">
        <v>0</v>
      </c>
      <c r="G167" s="14">
        <v>0</v>
      </c>
      <c r="I167" s="14">
        <v>0</v>
      </c>
      <c r="K167" s="14">
        <v>0</v>
      </c>
      <c r="M167" s="14">
        <v>0</v>
      </c>
      <c r="O167" s="14">
        <v>0</v>
      </c>
      <c r="Q167" s="14">
        <v>0</v>
      </c>
      <c r="S167" s="14">
        <v>0</v>
      </c>
      <c r="U167" s="14">
        <v>0</v>
      </c>
      <c r="W167" s="14">
        <v>0</v>
      </c>
      <c r="Y167" s="14">
        <v>0</v>
      </c>
      <c r="AA167" s="14">
        <v>0</v>
      </c>
      <c r="AC167" s="14">
        <v>0</v>
      </c>
      <c r="AE167" s="14">
        <v>0</v>
      </c>
      <c r="AF167" s="14">
        <v>0</v>
      </c>
      <c r="AG167" s="14">
        <v>0</v>
      </c>
      <c r="AI167" s="14">
        <f t="shared" si="46"/>
        <v>0</v>
      </c>
      <c r="AK167" s="14">
        <f t="shared" si="47"/>
        <v>0</v>
      </c>
      <c r="AM167" s="14">
        <f t="shared" si="48"/>
        <v>0</v>
      </c>
      <c r="AO167" s="14">
        <f t="shared" si="49"/>
        <v>0</v>
      </c>
      <c r="AQ167" s="14">
        <f t="shared" si="50"/>
        <v>0</v>
      </c>
      <c r="AS167" s="14">
        <f t="shared" si="51"/>
        <v>0</v>
      </c>
      <c r="AU167" s="14">
        <f t="shared" si="45"/>
        <v>0</v>
      </c>
    </row>
    <row r="168" spans="1:47" x14ac:dyDescent="0.2">
      <c r="A168" s="71"/>
      <c r="B168" s="43" t="s">
        <v>183</v>
      </c>
      <c r="C168" s="14">
        <v>0</v>
      </c>
      <c r="E168" s="14">
        <v>0</v>
      </c>
      <c r="G168" s="14">
        <v>0</v>
      </c>
      <c r="I168" s="14">
        <v>0</v>
      </c>
      <c r="K168" s="14">
        <v>0</v>
      </c>
      <c r="M168" s="14">
        <v>0</v>
      </c>
      <c r="O168" s="14">
        <v>0</v>
      </c>
      <c r="Q168" s="14">
        <v>0</v>
      </c>
      <c r="S168" s="14">
        <v>0</v>
      </c>
      <c r="U168" s="14">
        <v>0</v>
      </c>
      <c r="W168" s="14">
        <v>0</v>
      </c>
      <c r="Y168" s="14">
        <v>0</v>
      </c>
      <c r="AA168" s="14">
        <v>0</v>
      </c>
      <c r="AC168" s="14">
        <v>0</v>
      </c>
      <c r="AE168" s="14">
        <v>0</v>
      </c>
      <c r="AF168" s="14">
        <v>0</v>
      </c>
      <c r="AG168" s="14">
        <v>0</v>
      </c>
      <c r="AI168" s="14">
        <f t="shared" si="46"/>
        <v>0</v>
      </c>
      <c r="AK168" s="14">
        <f t="shared" si="47"/>
        <v>0</v>
      </c>
      <c r="AM168" s="14">
        <f t="shared" si="48"/>
        <v>0</v>
      </c>
      <c r="AO168" s="14">
        <f t="shared" si="49"/>
        <v>0</v>
      </c>
      <c r="AQ168" s="14">
        <f t="shared" si="50"/>
        <v>0</v>
      </c>
      <c r="AS168" s="14">
        <f t="shared" si="51"/>
        <v>0</v>
      </c>
      <c r="AU168" s="14">
        <f t="shared" si="45"/>
        <v>0</v>
      </c>
    </row>
    <row r="169" spans="1:47" x14ac:dyDescent="0.2">
      <c r="A169" s="71"/>
      <c r="B169" s="43" t="s">
        <v>184</v>
      </c>
      <c r="C169" s="14">
        <v>0</v>
      </c>
      <c r="E169" s="14">
        <v>0</v>
      </c>
      <c r="G169" s="14">
        <v>0</v>
      </c>
      <c r="I169" s="14">
        <v>0</v>
      </c>
      <c r="K169" s="14">
        <v>0</v>
      </c>
      <c r="M169" s="14">
        <v>0</v>
      </c>
      <c r="O169" s="14">
        <v>0</v>
      </c>
      <c r="Q169" s="14">
        <v>0</v>
      </c>
      <c r="S169" s="14">
        <v>0</v>
      </c>
      <c r="U169" s="14">
        <v>0</v>
      </c>
      <c r="W169" s="14">
        <v>0</v>
      </c>
      <c r="Y169" s="14">
        <v>0</v>
      </c>
      <c r="AA169" s="14">
        <v>0</v>
      </c>
      <c r="AC169" s="14">
        <v>0</v>
      </c>
      <c r="AE169" s="14">
        <v>0</v>
      </c>
      <c r="AF169" s="14">
        <v>0</v>
      </c>
      <c r="AG169" s="14">
        <v>0</v>
      </c>
      <c r="AI169" s="14">
        <f t="shared" si="46"/>
        <v>0</v>
      </c>
      <c r="AK169" s="14">
        <f t="shared" si="47"/>
        <v>0</v>
      </c>
      <c r="AM169" s="14">
        <f t="shared" si="48"/>
        <v>0</v>
      </c>
      <c r="AO169" s="14">
        <f t="shared" si="49"/>
        <v>0</v>
      </c>
      <c r="AQ169" s="14">
        <f t="shared" si="50"/>
        <v>0</v>
      </c>
      <c r="AS169" s="14">
        <f t="shared" si="51"/>
        <v>0</v>
      </c>
      <c r="AU169" s="14">
        <f t="shared" si="45"/>
        <v>0</v>
      </c>
    </row>
    <row r="170" spans="1:47" x14ac:dyDescent="0.2">
      <c r="A170" s="71"/>
      <c r="B170" s="3" t="s">
        <v>185</v>
      </c>
      <c r="C170" s="14">
        <v>0</v>
      </c>
      <c r="E170" s="14">
        <v>0</v>
      </c>
      <c r="G170" s="14">
        <v>0</v>
      </c>
      <c r="I170" s="14">
        <v>0</v>
      </c>
      <c r="K170" s="14">
        <v>0</v>
      </c>
      <c r="M170" s="14">
        <v>0</v>
      </c>
      <c r="O170" s="14">
        <v>0</v>
      </c>
      <c r="Q170" s="14">
        <v>0</v>
      </c>
      <c r="S170" s="14">
        <v>0</v>
      </c>
      <c r="U170" s="14">
        <v>0</v>
      </c>
      <c r="W170" s="14">
        <v>0</v>
      </c>
      <c r="Y170" s="14">
        <v>0</v>
      </c>
      <c r="AA170" s="14">
        <v>0</v>
      </c>
      <c r="AC170" s="14">
        <v>0</v>
      </c>
      <c r="AE170" s="14">
        <v>0</v>
      </c>
      <c r="AF170" s="14">
        <v>0</v>
      </c>
      <c r="AG170" s="14">
        <v>0</v>
      </c>
      <c r="AI170" s="14">
        <f t="shared" si="46"/>
        <v>0</v>
      </c>
      <c r="AK170" s="14">
        <f t="shared" si="47"/>
        <v>0</v>
      </c>
      <c r="AM170" s="14">
        <f t="shared" si="48"/>
        <v>0</v>
      </c>
      <c r="AO170" s="14">
        <f t="shared" si="49"/>
        <v>0</v>
      </c>
      <c r="AQ170" s="14">
        <f t="shared" si="50"/>
        <v>0</v>
      </c>
      <c r="AS170" s="14">
        <f t="shared" si="51"/>
        <v>0</v>
      </c>
      <c r="AU170" s="14">
        <f t="shared" si="45"/>
        <v>0</v>
      </c>
    </row>
    <row r="171" spans="1:47" x14ac:dyDescent="0.2">
      <c r="A171" s="71"/>
      <c r="B171" s="3" t="s">
        <v>186</v>
      </c>
      <c r="C171" s="14">
        <v>0</v>
      </c>
      <c r="E171" s="14">
        <v>0</v>
      </c>
      <c r="G171" s="14">
        <v>0</v>
      </c>
      <c r="I171" s="14">
        <v>0</v>
      </c>
      <c r="K171" s="14">
        <v>0</v>
      </c>
      <c r="M171" s="14">
        <v>0</v>
      </c>
      <c r="O171" s="14">
        <v>0</v>
      </c>
      <c r="Q171" s="14">
        <v>0</v>
      </c>
      <c r="S171" s="14">
        <v>0</v>
      </c>
      <c r="U171" s="14">
        <v>0</v>
      </c>
      <c r="W171" s="14">
        <v>0</v>
      </c>
      <c r="Y171" s="14">
        <v>0</v>
      </c>
      <c r="AA171" s="14">
        <v>0</v>
      </c>
      <c r="AC171" s="14">
        <v>0</v>
      </c>
      <c r="AE171" s="14">
        <v>0</v>
      </c>
      <c r="AF171" s="14">
        <v>0</v>
      </c>
      <c r="AG171" s="14">
        <v>0</v>
      </c>
      <c r="AI171" s="16">
        <f t="shared" si="46"/>
        <v>0</v>
      </c>
      <c r="AK171" s="14">
        <f t="shared" si="47"/>
        <v>0</v>
      </c>
      <c r="AM171" s="14">
        <f t="shared" si="48"/>
        <v>0</v>
      </c>
      <c r="AO171" s="14">
        <f t="shared" si="49"/>
        <v>0</v>
      </c>
      <c r="AQ171" s="14">
        <f t="shared" si="50"/>
        <v>0</v>
      </c>
      <c r="AS171" s="14">
        <f t="shared" si="51"/>
        <v>0</v>
      </c>
      <c r="AU171" s="14">
        <f t="shared" si="45"/>
        <v>0</v>
      </c>
    </row>
    <row r="172" spans="1:47" x14ac:dyDescent="0.2">
      <c r="A172" s="71"/>
      <c r="B172" s="12" t="s">
        <v>245</v>
      </c>
      <c r="C172" s="18">
        <f>SUM(C155:C171)</f>
        <v>0</v>
      </c>
      <c r="E172" s="18">
        <f>SUM(E155:E171)</f>
        <v>0</v>
      </c>
      <c r="G172" s="18">
        <f>SUM(G155:G171)</f>
        <v>0</v>
      </c>
      <c r="I172" s="18">
        <f>SUM(I155:I171)</f>
        <v>0</v>
      </c>
      <c r="K172" s="18">
        <f>SUM(K155:K171)</f>
        <v>0</v>
      </c>
      <c r="M172" s="18">
        <f>SUM(M155:M171)</f>
        <v>0</v>
      </c>
      <c r="O172" s="18">
        <f>SUM(O155:O171)</f>
        <v>0</v>
      </c>
      <c r="Q172" s="18">
        <f>SUM(Q155:Q171)</f>
        <v>0</v>
      </c>
      <c r="S172" s="18">
        <f>SUM(S155:S171)</f>
        <v>0</v>
      </c>
      <c r="U172" s="18">
        <f>SUM(U155:U171)</f>
        <v>0</v>
      </c>
      <c r="W172" s="18">
        <f>SUM(W155:W171)</f>
        <v>0</v>
      </c>
      <c r="Y172" s="18">
        <f>SUM(Y155:Y171)</f>
        <v>0</v>
      </c>
      <c r="AA172" s="18">
        <f>SUM(AA155:AA171)</f>
        <v>0</v>
      </c>
      <c r="AC172" s="18">
        <f>SUM(AC155:AC171)</f>
        <v>0</v>
      </c>
      <c r="AE172" s="18">
        <f>SUM(AE155:AE171)</f>
        <v>0</v>
      </c>
      <c r="AF172" s="18">
        <f>SUM(AF155:AF171)</f>
        <v>0</v>
      </c>
      <c r="AG172" s="18">
        <f>SUM(AG155:AG171)</f>
        <v>0</v>
      </c>
      <c r="AI172" s="18">
        <f>SUM(AI155:AI171)</f>
        <v>0</v>
      </c>
      <c r="AK172" s="18">
        <f>SUM(AK155:AK171)</f>
        <v>0</v>
      </c>
      <c r="AM172" s="18">
        <f>SUM(AM155:AM171)</f>
        <v>0</v>
      </c>
      <c r="AO172" s="18">
        <f>SUM(AO155:AO171)</f>
        <v>0</v>
      </c>
      <c r="AQ172" s="18">
        <f>SUM(AQ155:AQ171)</f>
        <v>0</v>
      </c>
      <c r="AS172" s="18">
        <f>SUM(AS155:AS171)</f>
        <v>0</v>
      </c>
      <c r="AU172" s="18">
        <f t="shared" si="45"/>
        <v>0</v>
      </c>
    </row>
    <row r="173" spans="1:47" x14ac:dyDescent="0.2">
      <c r="A173" s="71"/>
      <c r="C173" s="14"/>
      <c r="E173" s="14"/>
      <c r="G173" s="14"/>
      <c r="I173" s="14"/>
      <c r="K173" s="14"/>
      <c r="M173" s="14"/>
      <c r="O173" s="14"/>
      <c r="Q173" s="14"/>
      <c r="S173" s="14"/>
      <c r="U173" s="14"/>
      <c r="W173" s="14"/>
      <c r="Y173" s="14"/>
      <c r="AA173" s="14"/>
      <c r="AC173" s="14"/>
      <c r="AE173" s="14"/>
      <c r="AF173" s="14"/>
      <c r="AG173" s="14"/>
      <c r="AI173" s="14"/>
      <c r="AK173" s="14"/>
      <c r="AM173" s="14"/>
      <c r="AO173" s="14"/>
      <c r="AQ173" s="14"/>
      <c r="AS173" s="14"/>
      <c r="AU173" s="14"/>
    </row>
    <row r="174" spans="1:47" x14ac:dyDescent="0.2">
      <c r="A174" s="71"/>
      <c r="B174" s="12" t="s">
        <v>14</v>
      </c>
      <c r="C174" s="14"/>
      <c r="E174" s="14"/>
      <c r="G174" s="14"/>
      <c r="I174" s="14"/>
      <c r="K174" s="14"/>
      <c r="M174" s="14"/>
      <c r="O174" s="14"/>
      <c r="Q174" s="14"/>
      <c r="S174" s="14"/>
      <c r="U174" s="14"/>
      <c r="W174" s="14"/>
      <c r="Y174" s="14"/>
      <c r="AA174" s="14"/>
      <c r="AC174" s="14"/>
      <c r="AE174" s="14"/>
      <c r="AF174" s="14"/>
      <c r="AG174" s="14"/>
      <c r="AI174" s="14"/>
      <c r="AK174" s="14"/>
      <c r="AM174" s="14"/>
      <c r="AO174" s="14"/>
      <c r="AQ174" s="14"/>
      <c r="AS174" s="14"/>
      <c r="AU174" s="14"/>
    </row>
    <row r="175" spans="1:47" x14ac:dyDescent="0.2">
      <c r="A175" s="71"/>
      <c r="B175" s="43" t="s">
        <v>188</v>
      </c>
      <c r="C175" s="14">
        <v>0</v>
      </c>
      <c r="E175" s="14">
        <v>0</v>
      </c>
      <c r="G175" s="14">
        <v>0</v>
      </c>
      <c r="I175" s="14">
        <v>0</v>
      </c>
      <c r="K175" s="14">
        <v>0</v>
      </c>
      <c r="M175" s="14">
        <v>0</v>
      </c>
      <c r="O175" s="14">
        <v>0</v>
      </c>
      <c r="Q175" s="14">
        <v>0</v>
      </c>
      <c r="S175" s="14">
        <v>0</v>
      </c>
      <c r="U175" s="14">
        <v>0</v>
      </c>
      <c r="W175" s="14">
        <v>0</v>
      </c>
      <c r="Y175" s="14">
        <v>0</v>
      </c>
      <c r="AA175" s="14">
        <v>0</v>
      </c>
      <c r="AC175" s="14">
        <v>0</v>
      </c>
      <c r="AE175" s="14">
        <v>0</v>
      </c>
      <c r="AF175" s="14">
        <v>0</v>
      </c>
      <c r="AG175" s="14">
        <v>0</v>
      </c>
      <c r="AI175" s="17">
        <f t="shared" ref="AI175:AI182" si="52">SUM(C175:AF175)</f>
        <v>0</v>
      </c>
      <c r="AK175" s="14">
        <f t="shared" ref="AK175:AK182" si="53">SUMIF($C$9:$AH$9,"=Addition",$C175:$AH175)</f>
        <v>0</v>
      </c>
      <c r="AM175" s="14">
        <f t="shared" ref="AM175:AM182" si="54">SUMIF($C$9:$AH$9,"=Adjustment",$C175:$AH175)</f>
        <v>0</v>
      </c>
      <c r="AO175" s="14">
        <f t="shared" ref="AO175:AO182" si="55">SUMIF($C$9:$AH$9,"=Transfer",$C175:$AH175)</f>
        <v>0</v>
      </c>
      <c r="AQ175" s="14">
        <f t="shared" ref="AQ175:AQ182" si="56">SUMIF($C$9:$Z$9,"=N/A",$C175:$Z175)</f>
        <v>0</v>
      </c>
      <c r="AS175" s="14">
        <f t="shared" ref="AS175:AS182" si="57">SUM(AK175:AQ175)</f>
        <v>0</v>
      </c>
      <c r="AU175" s="14">
        <f t="shared" si="45"/>
        <v>0</v>
      </c>
    </row>
    <row r="176" spans="1:47" x14ac:dyDescent="0.2">
      <c r="A176" s="71"/>
      <c r="B176" s="3" t="s">
        <v>189</v>
      </c>
      <c r="C176" s="14">
        <v>0</v>
      </c>
      <c r="E176" s="14">
        <v>0</v>
      </c>
      <c r="G176" s="14">
        <v>0</v>
      </c>
      <c r="I176" s="14">
        <v>0</v>
      </c>
      <c r="K176" s="14">
        <v>0</v>
      </c>
      <c r="M176" s="14">
        <v>0</v>
      </c>
      <c r="O176" s="14">
        <v>0</v>
      </c>
      <c r="Q176" s="14">
        <v>0</v>
      </c>
      <c r="S176" s="14">
        <v>0</v>
      </c>
      <c r="U176" s="14">
        <v>0</v>
      </c>
      <c r="W176" s="14">
        <v>0</v>
      </c>
      <c r="Y176" s="14">
        <v>0</v>
      </c>
      <c r="AA176" s="14">
        <v>0</v>
      </c>
      <c r="AC176" s="14">
        <v>0</v>
      </c>
      <c r="AE176" s="14">
        <v>0</v>
      </c>
      <c r="AF176" s="14">
        <v>0</v>
      </c>
      <c r="AG176" s="14">
        <v>0</v>
      </c>
      <c r="AI176" s="17">
        <f t="shared" si="52"/>
        <v>0</v>
      </c>
      <c r="AK176" s="14">
        <f t="shared" si="53"/>
        <v>0</v>
      </c>
      <c r="AM176" s="14">
        <f t="shared" si="54"/>
        <v>0</v>
      </c>
      <c r="AO176" s="14">
        <f t="shared" si="55"/>
        <v>0</v>
      </c>
      <c r="AQ176" s="14">
        <f t="shared" si="56"/>
        <v>0</v>
      </c>
      <c r="AS176" s="14">
        <f t="shared" si="57"/>
        <v>0</v>
      </c>
      <c r="AU176" s="14">
        <f t="shared" si="45"/>
        <v>0</v>
      </c>
    </row>
    <row r="177" spans="1:47" x14ac:dyDescent="0.2">
      <c r="A177" s="71"/>
      <c r="B177" s="3" t="s">
        <v>190</v>
      </c>
      <c r="C177" s="14">
        <v>0</v>
      </c>
      <c r="E177" s="14">
        <v>0</v>
      </c>
      <c r="G177" s="14">
        <v>0</v>
      </c>
      <c r="I177" s="14">
        <v>0</v>
      </c>
      <c r="K177" s="14">
        <v>0</v>
      </c>
      <c r="M177" s="14">
        <v>0</v>
      </c>
      <c r="O177" s="14">
        <v>0</v>
      </c>
      <c r="Q177" s="14">
        <v>0</v>
      </c>
      <c r="S177" s="14">
        <v>0</v>
      </c>
      <c r="U177" s="14">
        <v>0</v>
      </c>
      <c r="W177" s="14">
        <v>0</v>
      </c>
      <c r="Y177" s="14">
        <v>0</v>
      </c>
      <c r="AA177" s="14">
        <v>0</v>
      </c>
      <c r="AC177" s="14">
        <v>0</v>
      </c>
      <c r="AE177" s="14">
        <v>0</v>
      </c>
      <c r="AF177" s="14">
        <v>0</v>
      </c>
      <c r="AG177" s="14">
        <v>0</v>
      </c>
      <c r="AI177" s="17">
        <f t="shared" si="52"/>
        <v>0</v>
      </c>
      <c r="AK177" s="14">
        <f t="shared" si="53"/>
        <v>0</v>
      </c>
      <c r="AM177" s="14">
        <f t="shared" si="54"/>
        <v>0</v>
      </c>
      <c r="AO177" s="14">
        <f t="shared" si="55"/>
        <v>0</v>
      </c>
      <c r="AQ177" s="14">
        <f t="shared" si="56"/>
        <v>0</v>
      </c>
      <c r="AS177" s="14">
        <f t="shared" si="57"/>
        <v>0</v>
      </c>
      <c r="AU177" s="14">
        <f t="shared" si="45"/>
        <v>0</v>
      </c>
    </row>
    <row r="178" spans="1:47" x14ac:dyDescent="0.2">
      <c r="A178" s="71"/>
      <c r="B178" s="3" t="s">
        <v>191</v>
      </c>
      <c r="C178" s="14">
        <v>0</v>
      </c>
      <c r="E178" s="14">
        <v>0</v>
      </c>
      <c r="G178" s="14">
        <v>0</v>
      </c>
      <c r="I178" s="14">
        <v>0</v>
      </c>
      <c r="K178" s="14">
        <v>0</v>
      </c>
      <c r="M178" s="14">
        <v>0</v>
      </c>
      <c r="O178" s="14">
        <v>0</v>
      </c>
      <c r="Q178" s="14">
        <v>0</v>
      </c>
      <c r="S178" s="14">
        <v>0</v>
      </c>
      <c r="U178" s="14">
        <v>0</v>
      </c>
      <c r="W178" s="14">
        <v>0</v>
      </c>
      <c r="Y178" s="14">
        <v>0</v>
      </c>
      <c r="AA178" s="14">
        <v>0</v>
      </c>
      <c r="AC178" s="14">
        <v>0</v>
      </c>
      <c r="AE178" s="14">
        <v>0</v>
      </c>
      <c r="AF178" s="14">
        <v>0</v>
      </c>
      <c r="AG178" s="14">
        <v>0</v>
      </c>
      <c r="AI178" s="17">
        <f t="shared" si="52"/>
        <v>0</v>
      </c>
      <c r="AK178" s="14">
        <f t="shared" si="53"/>
        <v>0</v>
      </c>
      <c r="AM178" s="14">
        <f t="shared" si="54"/>
        <v>0</v>
      </c>
      <c r="AO178" s="14">
        <f t="shared" si="55"/>
        <v>0</v>
      </c>
      <c r="AQ178" s="14">
        <f t="shared" si="56"/>
        <v>0</v>
      </c>
      <c r="AS178" s="14">
        <f t="shared" si="57"/>
        <v>0</v>
      </c>
      <c r="AU178" s="14">
        <f t="shared" si="45"/>
        <v>0</v>
      </c>
    </row>
    <row r="179" spans="1:47" x14ac:dyDescent="0.2">
      <c r="A179" s="71"/>
      <c r="B179" s="3" t="s">
        <v>192</v>
      </c>
      <c r="C179" s="14">
        <v>0</v>
      </c>
      <c r="E179" s="14">
        <v>0</v>
      </c>
      <c r="G179" s="14">
        <v>0</v>
      </c>
      <c r="I179" s="14">
        <v>0</v>
      </c>
      <c r="K179" s="14">
        <v>0</v>
      </c>
      <c r="M179" s="14">
        <v>0</v>
      </c>
      <c r="O179" s="14">
        <v>0</v>
      </c>
      <c r="Q179" s="14">
        <v>0</v>
      </c>
      <c r="S179" s="14">
        <v>0</v>
      </c>
      <c r="U179" s="14">
        <v>0</v>
      </c>
      <c r="W179" s="14">
        <v>0</v>
      </c>
      <c r="Y179" s="14">
        <v>0</v>
      </c>
      <c r="AA179" s="14">
        <v>0</v>
      </c>
      <c r="AC179" s="14">
        <v>0</v>
      </c>
      <c r="AE179" s="14">
        <v>0</v>
      </c>
      <c r="AF179" s="14">
        <v>0</v>
      </c>
      <c r="AG179" s="14">
        <v>0</v>
      </c>
      <c r="AI179" s="17">
        <f t="shared" si="52"/>
        <v>0</v>
      </c>
      <c r="AK179" s="14">
        <f t="shared" si="53"/>
        <v>0</v>
      </c>
      <c r="AM179" s="14">
        <f t="shared" si="54"/>
        <v>0</v>
      </c>
      <c r="AO179" s="14">
        <f t="shared" si="55"/>
        <v>0</v>
      </c>
      <c r="AQ179" s="14">
        <f t="shared" si="56"/>
        <v>0</v>
      </c>
      <c r="AS179" s="14">
        <f t="shared" si="57"/>
        <v>0</v>
      </c>
      <c r="AU179" s="14">
        <f t="shared" si="45"/>
        <v>0</v>
      </c>
    </row>
    <row r="180" spans="1:47" x14ac:dyDescent="0.2">
      <c r="A180" s="71"/>
      <c r="B180" s="3" t="s">
        <v>193</v>
      </c>
      <c r="C180" s="14">
        <v>0</v>
      </c>
      <c r="E180" s="14">
        <v>0</v>
      </c>
      <c r="G180" s="14">
        <v>0</v>
      </c>
      <c r="I180" s="14">
        <v>0</v>
      </c>
      <c r="K180" s="14">
        <v>0</v>
      </c>
      <c r="M180" s="14">
        <v>0</v>
      </c>
      <c r="O180" s="14">
        <v>0</v>
      </c>
      <c r="Q180" s="14">
        <v>0</v>
      </c>
      <c r="S180" s="14">
        <v>0</v>
      </c>
      <c r="U180" s="14">
        <v>0</v>
      </c>
      <c r="W180" s="14">
        <v>0</v>
      </c>
      <c r="Y180" s="14">
        <v>0</v>
      </c>
      <c r="AA180" s="14">
        <v>0</v>
      </c>
      <c r="AC180" s="14">
        <v>0</v>
      </c>
      <c r="AE180" s="14">
        <v>0</v>
      </c>
      <c r="AF180" s="14">
        <v>0</v>
      </c>
      <c r="AG180" s="14">
        <v>0</v>
      </c>
      <c r="AI180" s="17">
        <f t="shared" si="52"/>
        <v>0</v>
      </c>
      <c r="AK180" s="14">
        <f t="shared" si="53"/>
        <v>0</v>
      </c>
      <c r="AM180" s="14">
        <f t="shared" si="54"/>
        <v>0</v>
      </c>
      <c r="AO180" s="14">
        <f t="shared" si="55"/>
        <v>0</v>
      </c>
      <c r="AQ180" s="14">
        <f t="shared" si="56"/>
        <v>0</v>
      </c>
      <c r="AS180" s="14">
        <f t="shared" si="57"/>
        <v>0</v>
      </c>
      <c r="AU180" s="14">
        <f t="shared" si="45"/>
        <v>0</v>
      </c>
    </row>
    <row r="181" spans="1:47" x14ac:dyDescent="0.2">
      <c r="A181" s="71"/>
      <c r="B181" s="3" t="s">
        <v>194</v>
      </c>
      <c r="C181" s="14">
        <v>0</v>
      </c>
      <c r="E181" s="14">
        <v>0</v>
      </c>
      <c r="G181" s="14">
        <v>0</v>
      </c>
      <c r="I181" s="14">
        <v>0</v>
      </c>
      <c r="K181" s="14">
        <v>0</v>
      </c>
      <c r="M181" s="14">
        <v>0</v>
      </c>
      <c r="O181" s="14">
        <v>0</v>
      </c>
      <c r="Q181" s="14">
        <v>0</v>
      </c>
      <c r="S181" s="14">
        <v>0</v>
      </c>
      <c r="U181" s="14">
        <v>0</v>
      </c>
      <c r="W181" s="14">
        <v>0</v>
      </c>
      <c r="Y181" s="14">
        <v>0</v>
      </c>
      <c r="AA181" s="14">
        <v>0</v>
      </c>
      <c r="AC181" s="14">
        <v>0</v>
      </c>
      <c r="AE181" s="14">
        <v>0</v>
      </c>
      <c r="AF181" s="14">
        <v>0</v>
      </c>
      <c r="AG181" s="14">
        <v>0</v>
      </c>
      <c r="AI181" s="17">
        <f t="shared" si="52"/>
        <v>0</v>
      </c>
      <c r="AK181" s="14">
        <f t="shared" si="53"/>
        <v>0</v>
      </c>
      <c r="AM181" s="14">
        <f t="shared" si="54"/>
        <v>0</v>
      </c>
      <c r="AO181" s="14">
        <f t="shared" si="55"/>
        <v>0</v>
      </c>
      <c r="AQ181" s="14">
        <f t="shared" si="56"/>
        <v>0</v>
      </c>
      <c r="AS181" s="14">
        <f t="shared" si="57"/>
        <v>0</v>
      </c>
      <c r="AU181" s="14">
        <f t="shared" si="45"/>
        <v>0</v>
      </c>
    </row>
    <row r="182" spans="1:47" x14ac:dyDescent="0.2">
      <c r="A182" s="71"/>
      <c r="B182" s="3" t="s">
        <v>195</v>
      </c>
      <c r="C182" s="14">
        <v>0</v>
      </c>
      <c r="E182" s="14">
        <v>0</v>
      </c>
      <c r="G182" s="14">
        <v>0</v>
      </c>
      <c r="I182" s="14">
        <v>0</v>
      </c>
      <c r="K182" s="14">
        <v>0</v>
      </c>
      <c r="M182" s="14">
        <v>0</v>
      </c>
      <c r="O182" s="14">
        <v>0</v>
      </c>
      <c r="Q182" s="14">
        <v>0</v>
      </c>
      <c r="S182" s="14">
        <v>0</v>
      </c>
      <c r="U182" s="14">
        <v>0</v>
      </c>
      <c r="W182" s="14">
        <v>0</v>
      </c>
      <c r="Y182" s="14">
        <v>0</v>
      </c>
      <c r="AA182" s="14">
        <v>0</v>
      </c>
      <c r="AC182" s="14">
        <v>0</v>
      </c>
      <c r="AE182" s="14">
        <v>0</v>
      </c>
      <c r="AF182" s="14">
        <v>0</v>
      </c>
      <c r="AG182" s="14">
        <v>0</v>
      </c>
      <c r="AI182" s="16">
        <f t="shared" si="52"/>
        <v>0</v>
      </c>
      <c r="AK182" s="14">
        <f t="shared" si="53"/>
        <v>0</v>
      </c>
      <c r="AM182" s="14">
        <f t="shared" si="54"/>
        <v>0</v>
      </c>
      <c r="AO182" s="14">
        <f t="shared" si="55"/>
        <v>0</v>
      </c>
      <c r="AQ182" s="14">
        <f t="shared" si="56"/>
        <v>0</v>
      </c>
      <c r="AS182" s="14">
        <f t="shared" si="57"/>
        <v>0</v>
      </c>
      <c r="AU182" s="14">
        <f t="shared" si="45"/>
        <v>0</v>
      </c>
    </row>
    <row r="183" spans="1:47" x14ac:dyDescent="0.2">
      <c r="A183" s="71"/>
      <c r="B183" s="12" t="s">
        <v>246</v>
      </c>
      <c r="C183" s="18">
        <f>SUM(C175:C182)</f>
        <v>0</v>
      </c>
      <c r="E183" s="18">
        <f>SUM(E175:E182)</f>
        <v>0</v>
      </c>
      <c r="G183" s="18">
        <f>SUM(G175:G182)</f>
        <v>0</v>
      </c>
      <c r="I183" s="18">
        <f>SUM(I175:I182)</f>
        <v>0</v>
      </c>
      <c r="K183" s="18">
        <f>SUM(K175:K182)</f>
        <v>0</v>
      </c>
      <c r="M183" s="18">
        <f>SUM(M175:M182)</f>
        <v>0</v>
      </c>
      <c r="O183" s="18">
        <f>SUM(O175:O182)</f>
        <v>0</v>
      </c>
      <c r="Q183" s="18">
        <f>SUM(Q175:Q182)</f>
        <v>0</v>
      </c>
      <c r="S183" s="18">
        <f>SUM(S175:S182)</f>
        <v>0</v>
      </c>
      <c r="U183" s="18">
        <f>SUM(U175:U182)</f>
        <v>0</v>
      </c>
      <c r="W183" s="18">
        <f>SUM(W175:W182)</f>
        <v>0</v>
      </c>
      <c r="Y183" s="18">
        <f>SUM(Y175:Y182)</f>
        <v>0</v>
      </c>
      <c r="AA183" s="18">
        <f>SUM(AA175:AA182)</f>
        <v>0</v>
      </c>
      <c r="AC183" s="18">
        <f>SUM(AC175:AC182)</f>
        <v>0</v>
      </c>
      <c r="AE183" s="18">
        <f>SUM(AE175:AE182)</f>
        <v>0</v>
      </c>
      <c r="AF183" s="18">
        <f>SUM(AF175:AF182)</f>
        <v>0</v>
      </c>
      <c r="AG183" s="18">
        <f>SUM(AG175:AG182)</f>
        <v>0</v>
      </c>
      <c r="AI183" s="18">
        <f>SUM(AI175:AI182)</f>
        <v>0</v>
      </c>
      <c r="AK183" s="18">
        <f>SUM(AK175:AK182)</f>
        <v>0</v>
      </c>
      <c r="AM183" s="18">
        <f>SUM(AM175:AM182)</f>
        <v>0</v>
      </c>
      <c r="AO183" s="18">
        <f>SUM(AO175:AO182)</f>
        <v>0</v>
      </c>
      <c r="AQ183" s="18">
        <f>SUM(AQ175:AQ182)</f>
        <v>0</v>
      </c>
      <c r="AS183" s="18">
        <f>SUM(AS175:AS182)</f>
        <v>0</v>
      </c>
      <c r="AU183" s="18">
        <f t="shared" si="45"/>
        <v>0</v>
      </c>
    </row>
    <row r="184" spans="1:47" x14ac:dyDescent="0.2">
      <c r="A184" s="71"/>
      <c r="C184" s="14"/>
      <c r="E184" s="14"/>
      <c r="G184" s="14"/>
      <c r="I184" s="14"/>
      <c r="K184" s="14"/>
      <c r="M184" s="14"/>
      <c r="O184" s="14"/>
      <c r="Q184" s="14"/>
      <c r="S184" s="14"/>
      <c r="U184" s="14"/>
      <c r="W184" s="14"/>
      <c r="Y184" s="14"/>
      <c r="AA184" s="14"/>
      <c r="AC184" s="14"/>
      <c r="AE184" s="14"/>
      <c r="AF184" s="14"/>
      <c r="AG184" s="14"/>
      <c r="AI184" s="14"/>
      <c r="AK184" s="14"/>
      <c r="AM184" s="14"/>
      <c r="AO184" s="14"/>
      <c r="AQ184" s="14"/>
      <c r="AS184" s="14"/>
      <c r="AU184" s="14"/>
    </row>
    <row r="185" spans="1:47" x14ac:dyDescent="0.2">
      <c r="A185" s="71"/>
      <c r="B185" s="12" t="s">
        <v>15</v>
      </c>
      <c r="C185" s="14"/>
      <c r="E185" s="14"/>
      <c r="G185" s="14"/>
      <c r="I185" s="14"/>
      <c r="K185" s="14"/>
      <c r="M185" s="14"/>
      <c r="O185" s="14"/>
      <c r="Q185" s="14"/>
      <c r="S185" s="14"/>
      <c r="U185" s="14"/>
      <c r="W185" s="14"/>
      <c r="Y185" s="14"/>
      <c r="AA185" s="14"/>
      <c r="AC185" s="14"/>
      <c r="AE185" s="14"/>
      <c r="AF185" s="14"/>
      <c r="AG185" s="14"/>
      <c r="AI185" s="14"/>
      <c r="AK185" s="14"/>
      <c r="AM185" s="14"/>
      <c r="AO185" s="14"/>
      <c r="AQ185" s="14"/>
      <c r="AS185" s="14"/>
      <c r="AU185" s="14"/>
    </row>
    <row r="186" spans="1:47" x14ac:dyDescent="0.2">
      <c r="A186" s="71"/>
      <c r="B186" s="43" t="s">
        <v>197</v>
      </c>
      <c r="C186" s="14">
        <v>0</v>
      </c>
      <c r="E186" s="14">
        <v>0</v>
      </c>
      <c r="G186" s="14">
        <v>0</v>
      </c>
      <c r="I186" s="14">
        <v>0</v>
      </c>
      <c r="K186" s="14">
        <v>0</v>
      </c>
      <c r="M186" s="14">
        <v>0</v>
      </c>
      <c r="O186" s="14">
        <v>0</v>
      </c>
      <c r="Q186" s="14">
        <v>0</v>
      </c>
      <c r="S186" s="14">
        <v>0</v>
      </c>
      <c r="U186" s="14">
        <v>0</v>
      </c>
      <c r="W186" s="14">
        <v>0</v>
      </c>
      <c r="Y186" s="14">
        <v>0</v>
      </c>
      <c r="AA186" s="14">
        <v>0</v>
      </c>
      <c r="AC186" s="14">
        <v>0</v>
      </c>
      <c r="AE186" s="14">
        <v>0</v>
      </c>
      <c r="AF186" s="14">
        <v>0</v>
      </c>
      <c r="AG186" s="14">
        <v>0</v>
      </c>
      <c r="AI186" s="17">
        <f>SUM(C186:AF186)</f>
        <v>0</v>
      </c>
      <c r="AK186" s="14">
        <f>SUMIF($C$9:$AH$9,"=Addition",$C186:$AH186)</f>
        <v>0</v>
      </c>
      <c r="AM186" s="14">
        <f>SUMIF($C$9:$AH$9,"=Adjustment",$C186:$AH186)</f>
        <v>0</v>
      </c>
      <c r="AO186" s="14">
        <f>SUMIF($C$9:$AH$9,"=Transfer",$C186:$AH186)</f>
        <v>0</v>
      </c>
      <c r="AQ186" s="14">
        <f>SUMIF($C$9:$Z$9,"=N/A",$C186:$Z186)</f>
        <v>0</v>
      </c>
      <c r="AS186" s="14">
        <f>SUM(AK186:AQ186)</f>
        <v>0</v>
      </c>
      <c r="AU186" s="14">
        <f t="shared" si="45"/>
        <v>0</v>
      </c>
    </row>
    <row r="187" spans="1:47" x14ac:dyDescent="0.2">
      <c r="A187" s="71"/>
      <c r="B187" s="3" t="s">
        <v>198</v>
      </c>
      <c r="C187" s="14">
        <v>0</v>
      </c>
      <c r="E187" s="14">
        <v>0</v>
      </c>
      <c r="G187" s="14">
        <v>0</v>
      </c>
      <c r="I187" s="14">
        <v>0</v>
      </c>
      <c r="K187" s="14">
        <v>0</v>
      </c>
      <c r="M187" s="14">
        <v>0</v>
      </c>
      <c r="O187" s="14">
        <v>0</v>
      </c>
      <c r="Q187" s="14">
        <v>0</v>
      </c>
      <c r="S187" s="14">
        <v>0</v>
      </c>
      <c r="U187" s="14">
        <v>0</v>
      </c>
      <c r="W187" s="14">
        <v>0</v>
      </c>
      <c r="Y187" s="14">
        <v>0</v>
      </c>
      <c r="AA187" s="14">
        <v>0</v>
      </c>
      <c r="AC187" s="14">
        <v>0</v>
      </c>
      <c r="AE187" s="14">
        <v>0</v>
      </c>
      <c r="AF187" s="14">
        <v>0</v>
      </c>
      <c r="AG187" s="14">
        <v>0</v>
      </c>
      <c r="AI187" s="17">
        <f>SUM(C187:AF187)</f>
        <v>0</v>
      </c>
      <c r="AK187" s="14">
        <f>SUMIF($C$9:$AH$9,"=Addition",$C187:$AH187)</f>
        <v>0</v>
      </c>
      <c r="AM187" s="14">
        <f>SUMIF($C$9:$AH$9,"=Adjustment",$C187:$AH187)</f>
        <v>0</v>
      </c>
      <c r="AO187" s="14">
        <f>SUMIF($C$9:$AH$9,"=Transfer",$C187:$AH187)</f>
        <v>0</v>
      </c>
      <c r="AQ187" s="14">
        <f>SUMIF($C$9:$Z$9,"=N/A",$C187:$Z187)</f>
        <v>0</v>
      </c>
      <c r="AS187" s="14">
        <f>SUM(AK187:AQ187)</f>
        <v>0</v>
      </c>
      <c r="AU187" s="14">
        <f t="shared" si="45"/>
        <v>0</v>
      </c>
    </row>
    <row r="188" spans="1:47" x14ac:dyDescent="0.2">
      <c r="A188" s="71"/>
      <c r="B188" s="3" t="s">
        <v>199</v>
      </c>
      <c r="C188" s="14">
        <v>0</v>
      </c>
      <c r="E188" s="14">
        <v>0</v>
      </c>
      <c r="G188" s="14">
        <v>0</v>
      </c>
      <c r="I188" s="14">
        <v>0</v>
      </c>
      <c r="K188" s="14">
        <v>0</v>
      </c>
      <c r="M188" s="14">
        <v>0</v>
      </c>
      <c r="O188" s="14">
        <v>0</v>
      </c>
      <c r="Q188" s="14">
        <v>0</v>
      </c>
      <c r="S188" s="14">
        <v>0</v>
      </c>
      <c r="U188" s="14">
        <v>0</v>
      </c>
      <c r="W188" s="14">
        <v>0</v>
      </c>
      <c r="Y188" s="14">
        <v>0</v>
      </c>
      <c r="AA188" s="14">
        <v>0</v>
      </c>
      <c r="AC188" s="14">
        <v>0</v>
      </c>
      <c r="AE188" s="14">
        <v>0</v>
      </c>
      <c r="AF188" s="14">
        <v>0</v>
      </c>
      <c r="AG188" s="14">
        <v>0</v>
      </c>
      <c r="AI188" s="17">
        <f>SUM(C188:AF188)</f>
        <v>0</v>
      </c>
      <c r="AK188" s="14">
        <f>SUMIF($C$9:$AH$9,"=Addition",$C188:$AH188)</f>
        <v>0</v>
      </c>
      <c r="AM188" s="14">
        <f>SUMIF($C$9:$AH$9,"=Adjustment",$C188:$AH188)</f>
        <v>0</v>
      </c>
      <c r="AO188" s="14">
        <f>SUMIF($C$9:$AH$9,"=Transfer",$C188:$AH188)</f>
        <v>0</v>
      </c>
      <c r="AQ188" s="14">
        <f>SUMIF($C$9:$Z$9,"=N/A",$C188:$Z188)</f>
        <v>0</v>
      </c>
      <c r="AS188" s="14">
        <f>SUM(AK188:AQ188)</f>
        <v>0</v>
      </c>
      <c r="AU188" s="14">
        <f t="shared" si="45"/>
        <v>0</v>
      </c>
    </row>
    <row r="189" spans="1:47" x14ac:dyDescent="0.2">
      <c r="A189" s="71"/>
      <c r="B189" s="3" t="s">
        <v>200</v>
      </c>
      <c r="C189" s="14">
        <v>0</v>
      </c>
      <c r="E189" s="14">
        <v>0</v>
      </c>
      <c r="G189" s="14">
        <v>0</v>
      </c>
      <c r="I189" s="14">
        <v>0</v>
      </c>
      <c r="K189" s="14">
        <v>0</v>
      </c>
      <c r="M189" s="14">
        <v>0</v>
      </c>
      <c r="O189" s="14">
        <v>0</v>
      </c>
      <c r="Q189" s="14">
        <v>0</v>
      </c>
      <c r="S189" s="14">
        <v>0</v>
      </c>
      <c r="U189" s="14">
        <v>0</v>
      </c>
      <c r="W189" s="14">
        <v>0</v>
      </c>
      <c r="Y189" s="14">
        <v>0</v>
      </c>
      <c r="AA189" s="14">
        <v>0</v>
      </c>
      <c r="AC189" s="14">
        <v>0</v>
      </c>
      <c r="AE189" s="14">
        <v>0</v>
      </c>
      <c r="AF189" s="14">
        <v>0</v>
      </c>
      <c r="AG189" s="14">
        <v>0</v>
      </c>
      <c r="AI189" s="16">
        <f>SUM(C189:AF189)</f>
        <v>0</v>
      </c>
      <c r="AK189" s="14">
        <f>SUMIF($C$9:$AH$9,"=Addition",$C189:$AH189)</f>
        <v>0</v>
      </c>
      <c r="AM189" s="14">
        <f>SUMIF($C$9:$AH$9,"=Adjustment",$C189:$AH189)</f>
        <v>0</v>
      </c>
      <c r="AO189" s="14">
        <f>SUMIF($C$9:$AH$9,"=Transfer",$C189:$AH189)</f>
        <v>0</v>
      </c>
      <c r="AQ189" s="14">
        <f>SUMIF($C$9:$Z$9,"=N/A",$C189:$Z189)</f>
        <v>0</v>
      </c>
      <c r="AS189" s="14">
        <f>SUM(AK189:AQ189)</f>
        <v>0</v>
      </c>
      <c r="AU189" s="14">
        <f t="shared" si="45"/>
        <v>0</v>
      </c>
    </row>
    <row r="190" spans="1:47" x14ac:dyDescent="0.2">
      <c r="A190" s="71"/>
      <c r="B190" s="12" t="s">
        <v>247</v>
      </c>
      <c r="C190" s="18">
        <f>SUM(C186:C189)</f>
        <v>0</v>
      </c>
      <c r="E190" s="18">
        <f>SUM(E186:E189)</f>
        <v>0</v>
      </c>
      <c r="G190" s="18">
        <f>SUM(G186:G189)</f>
        <v>0</v>
      </c>
      <c r="I190" s="18">
        <f>SUM(I186:I189)</f>
        <v>0</v>
      </c>
      <c r="K190" s="18">
        <f>SUM(K186:K189)</f>
        <v>0</v>
      </c>
      <c r="M190" s="18">
        <f>SUM(M186:M189)</f>
        <v>0</v>
      </c>
      <c r="O190" s="18">
        <f>SUM(O186:O189)</f>
        <v>0</v>
      </c>
      <c r="Q190" s="18">
        <f>SUM(Q186:Q189)</f>
        <v>0</v>
      </c>
      <c r="S190" s="18">
        <f>SUM(S186:S189)</f>
        <v>0</v>
      </c>
      <c r="U190" s="18">
        <f>SUM(U186:U189)</f>
        <v>0</v>
      </c>
      <c r="W190" s="18">
        <f>SUM(W186:W189)</f>
        <v>0</v>
      </c>
      <c r="Y190" s="18">
        <f>SUM(Y186:Y189)</f>
        <v>0</v>
      </c>
      <c r="AA190" s="18">
        <f>SUM(AA186:AA189)</f>
        <v>0</v>
      </c>
      <c r="AC190" s="18">
        <f>SUM(AC186:AC189)</f>
        <v>0</v>
      </c>
      <c r="AE190" s="18">
        <f>SUM(AE186:AE189)</f>
        <v>0</v>
      </c>
      <c r="AF190" s="18">
        <f>SUM(AF186:AF189)</f>
        <v>0</v>
      </c>
      <c r="AG190" s="18">
        <f>SUM(AG186:AG189)</f>
        <v>0</v>
      </c>
      <c r="AI190" s="18">
        <f>SUM(AI186:AI189)</f>
        <v>0</v>
      </c>
      <c r="AK190" s="18">
        <f>SUM(AK186:AK189)</f>
        <v>0</v>
      </c>
      <c r="AM190" s="18">
        <f>SUM(AM186:AM189)</f>
        <v>0</v>
      </c>
      <c r="AO190" s="18">
        <f>SUM(AO186:AO189)</f>
        <v>0</v>
      </c>
      <c r="AQ190" s="18">
        <f>SUM(AQ186:AQ189)</f>
        <v>0</v>
      </c>
      <c r="AS190" s="18">
        <f>SUM(AS186:AS189)</f>
        <v>0</v>
      </c>
      <c r="AU190" s="18">
        <f t="shared" si="45"/>
        <v>0</v>
      </c>
    </row>
    <row r="191" spans="1:47" x14ac:dyDescent="0.2">
      <c r="A191" s="71"/>
      <c r="C191" s="14"/>
      <c r="E191" s="14"/>
      <c r="G191" s="14"/>
      <c r="I191" s="14"/>
      <c r="K191" s="14"/>
      <c r="M191" s="14"/>
      <c r="O191" s="14"/>
      <c r="Q191" s="14"/>
      <c r="S191" s="14"/>
      <c r="U191" s="14"/>
      <c r="W191" s="14"/>
      <c r="Y191" s="14"/>
      <c r="AA191" s="14"/>
      <c r="AC191" s="14"/>
      <c r="AE191" s="14"/>
      <c r="AF191" s="14"/>
      <c r="AG191" s="14"/>
      <c r="AI191" s="14"/>
      <c r="AK191" s="14"/>
      <c r="AM191" s="14"/>
      <c r="AO191" s="14"/>
      <c r="AQ191" s="14"/>
      <c r="AS191" s="14"/>
      <c r="AU191" s="14"/>
    </row>
    <row r="192" spans="1:47" x14ac:dyDescent="0.2">
      <c r="A192" s="71"/>
      <c r="B192" s="12" t="s">
        <v>16</v>
      </c>
      <c r="C192" s="14"/>
      <c r="E192" s="14"/>
      <c r="G192" s="14"/>
      <c r="I192" s="14"/>
      <c r="K192" s="14"/>
      <c r="M192" s="14"/>
      <c r="O192" s="14"/>
      <c r="Q192" s="14"/>
      <c r="S192" s="14"/>
      <c r="U192" s="14"/>
      <c r="W192" s="14"/>
      <c r="Y192" s="14"/>
      <c r="AA192" s="14"/>
      <c r="AC192" s="14"/>
      <c r="AE192" s="14"/>
      <c r="AF192" s="14"/>
      <c r="AG192" s="14"/>
      <c r="AI192" s="14"/>
      <c r="AK192" s="14"/>
      <c r="AM192" s="14"/>
      <c r="AO192" s="14"/>
      <c r="AQ192" s="14"/>
      <c r="AS192" s="14"/>
      <c r="AU192" s="14"/>
    </row>
    <row r="193" spans="1:47" x14ac:dyDescent="0.2">
      <c r="A193" s="71"/>
      <c r="B193" s="3" t="s">
        <v>202</v>
      </c>
      <c r="C193" s="14">
        <v>0</v>
      </c>
      <c r="E193" s="14">
        <v>0</v>
      </c>
      <c r="G193" s="14">
        <v>0</v>
      </c>
      <c r="I193" s="14">
        <v>0</v>
      </c>
      <c r="K193" s="14">
        <v>0</v>
      </c>
      <c r="M193" s="14">
        <v>0</v>
      </c>
      <c r="O193" s="14">
        <v>0</v>
      </c>
      <c r="Q193" s="14">
        <v>0</v>
      </c>
      <c r="S193" s="14">
        <v>0</v>
      </c>
      <c r="U193" s="14">
        <v>0</v>
      </c>
      <c r="W193" s="14">
        <v>0</v>
      </c>
      <c r="Y193" s="14">
        <v>0</v>
      </c>
      <c r="AA193" s="14">
        <v>0</v>
      </c>
      <c r="AC193" s="14">
        <v>0</v>
      </c>
      <c r="AE193" s="14">
        <v>0</v>
      </c>
      <c r="AF193" s="14">
        <v>0</v>
      </c>
      <c r="AG193" s="14">
        <v>0</v>
      </c>
      <c r="AI193" s="17">
        <f t="shared" ref="AI193:AI203" si="58">SUM(C193:AF193)</f>
        <v>0</v>
      </c>
      <c r="AK193" s="14">
        <f t="shared" ref="AK193:AK203" si="59">SUMIF($C$9:$AH$9,"=Addition",$C193:$AH193)</f>
        <v>0</v>
      </c>
      <c r="AM193" s="14">
        <f t="shared" ref="AM193:AM203" si="60">SUMIF($C$9:$AH$9,"=Adjustment",$C193:$AH193)</f>
        <v>0</v>
      </c>
      <c r="AO193" s="14">
        <f t="shared" ref="AO193:AO203" si="61">SUMIF($C$9:$AH$9,"=Transfer",$C193:$AH193)</f>
        <v>0</v>
      </c>
      <c r="AQ193" s="14">
        <f t="shared" ref="AQ193:AQ203" si="62">SUMIF($C$9:$Z$9,"=N/A",$C193:$Z193)</f>
        <v>0</v>
      </c>
      <c r="AS193" s="14">
        <f t="shared" ref="AS193:AS203" si="63">SUM(AK193:AQ193)</f>
        <v>0</v>
      </c>
      <c r="AU193" s="14">
        <f t="shared" si="45"/>
        <v>0</v>
      </c>
    </row>
    <row r="194" spans="1:47" x14ac:dyDescent="0.2">
      <c r="A194" s="71"/>
      <c r="B194" s="3" t="s">
        <v>203</v>
      </c>
      <c r="C194" s="14">
        <v>0</v>
      </c>
      <c r="E194" s="14">
        <v>0</v>
      </c>
      <c r="G194" s="14">
        <v>0</v>
      </c>
      <c r="I194" s="14">
        <v>0</v>
      </c>
      <c r="K194" s="14">
        <v>0</v>
      </c>
      <c r="M194" s="14">
        <v>0</v>
      </c>
      <c r="O194" s="14">
        <v>0</v>
      </c>
      <c r="Q194" s="14">
        <v>0</v>
      </c>
      <c r="S194" s="14">
        <v>0</v>
      </c>
      <c r="U194" s="14">
        <v>0</v>
      </c>
      <c r="W194" s="14">
        <v>0</v>
      </c>
      <c r="Y194" s="14">
        <v>0</v>
      </c>
      <c r="AA194" s="14">
        <v>0</v>
      </c>
      <c r="AC194" s="14">
        <v>0</v>
      </c>
      <c r="AE194" s="14">
        <v>0</v>
      </c>
      <c r="AF194" s="14">
        <v>0</v>
      </c>
      <c r="AG194" s="14">
        <v>0</v>
      </c>
      <c r="AI194" s="17">
        <f t="shared" si="58"/>
        <v>0</v>
      </c>
      <c r="AK194" s="14">
        <f t="shared" si="59"/>
        <v>0</v>
      </c>
      <c r="AM194" s="14">
        <f t="shared" si="60"/>
        <v>0</v>
      </c>
      <c r="AO194" s="14">
        <f t="shared" si="61"/>
        <v>0</v>
      </c>
      <c r="AQ194" s="14">
        <f t="shared" si="62"/>
        <v>0</v>
      </c>
      <c r="AS194" s="14">
        <f t="shared" si="63"/>
        <v>0</v>
      </c>
      <c r="AU194" s="14">
        <f t="shared" si="45"/>
        <v>0</v>
      </c>
    </row>
    <row r="195" spans="1:47" x14ac:dyDescent="0.2">
      <c r="A195" s="71"/>
      <c r="B195" s="3" t="s">
        <v>204</v>
      </c>
      <c r="C195" s="14">
        <v>0</v>
      </c>
      <c r="E195" s="14">
        <v>0</v>
      </c>
      <c r="G195" s="14">
        <v>0</v>
      </c>
      <c r="I195" s="14">
        <v>0</v>
      </c>
      <c r="K195" s="14">
        <v>0</v>
      </c>
      <c r="M195" s="14">
        <v>0</v>
      </c>
      <c r="O195" s="14">
        <v>0</v>
      </c>
      <c r="Q195" s="14">
        <v>0</v>
      </c>
      <c r="S195" s="14">
        <v>0</v>
      </c>
      <c r="U195" s="14">
        <v>0</v>
      </c>
      <c r="W195" s="14">
        <v>0</v>
      </c>
      <c r="Y195" s="14">
        <v>0</v>
      </c>
      <c r="AA195" s="14">
        <v>0</v>
      </c>
      <c r="AC195" s="14">
        <v>0</v>
      </c>
      <c r="AE195" s="14">
        <v>0</v>
      </c>
      <c r="AF195" s="14">
        <v>0</v>
      </c>
      <c r="AG195" s="14">
        <v>0</v>
      </c>
      <c r="AI195" s="17">
        <f t="shared" si="58"/>
        <v>0</v>
      </c>
      <c r="AK195" s="14">
        <f t="shared" si="59"/>
        <v>0</v>
      </c>
      <c r="AM195" s="14">
        <f t="shared" si="60"/>
        <v>0</v>
      </c>
      <c r="AO195" s="14">
        <f t="shared" si="61"/>
        <v>0</v>
      </c>
      <c r="AQ195" s="14">
        <f t="shared" si="62"/>
        <v>0</v>
      </c>
      <c r="AS195" s="14">
        <f t="shared" si="63"/>
        <v>0</v>
      </c>
      <c r="AU195" s="14">
        <f t="shared" si="45"/>
        <v>0</v>
      </c>
    </row>
    <row r="196" spans="1:47" x14ac:dyDescent="0.2">
      <c r="A196" s="71"/>
      <c r="B196" s="3" t="s">
        <v>205</v>
      </c>
      <c r="C196" s="14">
        <v>0</v>
      </c>
      <c r="E196" s="14">
        <v>0</v>
      </c>
      <c r="G196" s="14">
        <v>0</v>
      </c>
      <c r="I196" s="14">
        <v>0</v>
      </c>
      <c r="K196" s="14">
        <v>0</v>
      </c>
      <c r="M196" s="14">
        <v>0</v>
      </c>
      <c r="O196" s="14">
        <v>0</v>
      </c>
      <c r="Q196" s="14">
        <v>0</v>
      </c>
      <c r="S196" s="14">
        <v>0</v>
      </c>
      <c r="U196" s="14">
        <v>0</v>
      </c>
      <c r="W196" s="14">
        <v>0</v>
      </c>
      <c r="Y196" s="14">
        <v>0</v>
      </c>
      <c r="AA196" s="14">
        <v>0</v>
      </c>
      <c r="AC196" s="14">
        <v>0</v>
      </c>
      <c r="AE196" s="14">
        <v>0</v>
      </c>
      <c r="AF196" s="14">
        <v>0</v>
      </c>
      <c r="AG196" s="14">
        <v>0</v>
      </c>
      <c r="AI196" s="17">
        <f t="shared" si="58"/>
        <v>0</v>
      </c>
      <c r="AK196" s="14">
        <f t="shared" si="59"/>
        <v>0</v>
      </c>
      <c r="AM196" s="14">
        <f t="shared" si="60"/>
        <v>0</v>
      </c>
      <c r="AO196" s="14">
        <f t="shared" si="61"/>
        <v>0</v>
      </c>
      <c r="AQ196" s="14">
        <f t="shared" si="62"/>
        <v>0</v>
      </c>
      <c r="AS196" s="14">
        <f t="shared" si="63"/>
        <v>0</v>
      </c>
      <c r="AU196" s="14">
        <f t="shared" si="45"/>
        <v>0</v>
      </c>
    </row>
    <row r="197" spans="1:47" x14ac:dyDescent="0.2">
      <c r="A197" s="71"/>
      <c r="B197" s="3" t="s">
        <v>206</v>
      </c>
      <c r="C197" s="14">
        <v>0</v>
      </c>
      <c r="E197" s="14">
        <v>0</v>
      </c>
      <c r="G197" s="14">
        <v>0</v>
      </c>
      <c r="I197" s="14">
        <v>0</v>
      </c>
      <c r="K197" s="14">
        <v>0</v>
      </c>
      <c r="M197" s="14">
        <v>0</v>
      </c>
      <c r="O197" s="14">
        <v>0</v>
      </c>
      <c r="Q197" s="14">
        <v>0</v>
      </c>
      <c r="S197" s="14">
        <v>0</v>
      </c>
      <c r="U197" s="14">
        <v>0</v>
      </c>
      <c r="W197" s="14">
        <v>0</v>
      </c>
      <c r="Y197" s="14">
        <v>0</v>
      </c>
      <c r="AA197" s="14">
        <v>0</v>
      </c>
      <c r="AC197" s="14">
        <v>0</v>
      </c>
      <c r="AE197" s="14">
        <v>0</v>
      </c>
      <c r="AF197" s="14">
        <v>0</v>
      </c>
      <c r="AG197" s="14">
        <v>0</v>
      </c>
      <c r="AI197" s="17">
        <f t="shared" si="58"/>
        <v>0</v>
      </c>
      <c r="AK197" s="14">
        <f t="shared" si="59"/>
        <v>0</v>
      </c>
      <c r="AM197" s="14">
        <f t="shared" si="60"/>
        <v>0</v>
      </c>
      <c r="AO197" s="14">
        <f t="shared" si="61"/>
        <v>0</v>
      </c>
      <c r="AQ197" s="14">
        <f t="shared" si="62"/>
        <v>0</v>
      </c>
      <c r="AS197" s="14">
        <f t="shared" si="63"/>
        <v>0</v>
      </c>
      <c r="AU197" s="14">
        <f t="shared" si="45"/>
        <v>0</v>
      </c>
    </row>
    <row r="198" spans="1:47" x14ac:dyDescent="0.2">
      <c r="A198" s="71"/>
      <c r="B198" s="3" t="s">
        <v>207</v>
      </c>
      <c r="C198" s="14">
        <v>0</v>
      </c>
      <c r="E198" s="14">
        <v>0</v>
      </c>
      <c r="G198" s="14">
        <v>0</v>
      </c>
      <c r="I198" s="14">
        <v>0</v>
      </c>
      <c r="K198" s="14">
        <v>0</v>
      </c>
      <c r="M198" s="14">
        <v>0</v>
      </c>
      <c r="O198" s="14">
        <v>0</v>
      </c>
      <c r="Q198" s="14">
        <v>0</v>
      </c>
      <c r="S198" s="14">
        <v>0</v>
      </c>
      <c r="U198" s="14">
        <v>0</v>
      </c>
      <c r="W198" s="14">
        <v>0</v>
      </c>
      <c r="Y198" s="14">
        <v>0</v>
      </c>
      <c r="AA198" s="14">
        <v>0</v>
      </c>
      <c r="AC198" s="14">
        <v>0</v>
      </c>
      <c r="AE198" s="14">
        <v>0</v>
      </c>
      <c r="AF198" s="14">
        <v>0</v>
      </c>
      <c r="AG198" s="14">
        <v>0</v>
      </c>
      <c r="AI198" s="17">
        <f t="shared" si="58"/>
        <v>0</v>
      </c>
      <c r="AK198" s="14">
        <f t="shared" si="59"/>
        <v>0</v>
      </c>
      <c r="AM198" s="14">
        <f t="shared" si="60"/>
        <v>0</v>
      </c>
      <c r="AO198" s="14">
        <f t="shared" si="61"/>
        <v>0</v>
      </c>
      <c r="AQ198" s="14">
        <f t="shared" si="62"/>
        <v>0</v>
      </c>
      <c r="AS198" s="14">
        <f t="shared" si="63"/>
        <v>0</v>
      </c>
      <c r="AU198" s="14">
        <f t="shared" si="45"/>
        <v>0</v>
      </c>
    </row>
    <row r="199" spans="1:47" x14ac:dyDescent="0.2">
      <c r="A199" s="71"/>
      <c r="B199" s="3" t="s">
        <v>208</v>
      </c>
      <c r="C199" s="14">
        <v>0</v>
      </c>
      <c r="E199" s="14">
        <v>0</v>
      </c>
      <c r="G199" s="14">
        <v>0</v>
      </c>
      <c r="I199" s="14">
        <v>0</v>
      </c>
      <c r="K199" s="14">
        <v>0</v>
      </c>
      <c r="M199" s="14">
        <v>0</v>
      </c>
      <c r="O199" s="14">
        <v>0</v>
      </c>
      <c r="Q199" s="14">
        <v>0</v>
      </c>
      <c r="S199" s="14">
        <v>0</v>
      </c>
      <c r="U199" s="14">
        <v>0</v>
      </c>
      <c r="W199" s="14">
        <v>0</v>
      </c>
      <c r="Y199" s="14">
        <v>0</v>
      </c>
      <c r="AA199" s="14">
        <v>0</v>
      </c>
      <c r="AC199" s="14">
        <v>0</v>
      </c>
      <c r="AE199" s="14">
        <v>0</v>
      </c>
      <c r="AF199" s="14">
        <v>0</v>
      </c>
      <c r="AG199" s="14">
        <v>0</v>
      </c>
      <c r="AI199" s="17">
        <f t="shared" si="58"/>
        <v>0</v>
      </c>
      <c r="AK199" s="14">
        <f t="shared" si="59"/>
        <v>0</v>
      </c>
      <c r="AM199" s="14">
        <f t="shared" si="60"/>
        <v>0</v>
      </c>
      <c r="AO199" s="14">
        <f t="shared" si="61"/>
        <v>0</v>
      </c>
      <c r="AQ199" s="14">
        <f t="shared" si="62"/>
        <v>0</v>
      </c>
      <c r="AS199" s="14">
        <f t="shared" si="63"/>
        <v>0</v>
      </c>
      <c r="AU199" s="14">
        <f t="shared" si="45"/>
        <v>0</v>
      </c>
    </row>
    <row r="200" spans="1:47" x14ac:dyDescent="0.2">
      <c r="A200" s="71"/>
      <c r="B200" s="3" t="s">
        <v>209</v>
      </c>
      <c r="C200" s="14">
        <v>0</v>
      </c>
      <c r="E200" s="14">
        <v>0</v>
      </c>
      <c r="G200" s="14">
        <v>0</v>
      </c>
      <c r="I200" s="14">
        <v>0</v>
      </c>
      <c r="K200" s="14">
        <v>0</v>
      </c>
      <c r="M200" s="14">
        <v>0</v>
      </c>
      <c r="O200" s="14">
        <v>0</v>
      </c>
      <c r="Q200" s="14">
        <v>0</v>
      </c>
      <c r="S200" s="14">
        <v>0</v>
      </c>
      <c r="U200" s="14">
        <v>0</v>
      </c>
      <c r="W200" s="14">
        <v>0</v>
      </c>
      <c r="Y200" s="14">
        <v>0</v>
      </c>
      <c r="AA200" s="14">
        <v>0</v>
      </c>
      <c r="AC200" s="14">
        <v>0</v>
      </c>
      <c r="AE200" s="14">
        <v>0</v>
      </c>
      <c r="AF200" s="14">
        <v>0</v>
      </c>
      <c r="AG200" s="14">
        <v>0</v>
      </c>
      <c r="AI200" s="17">
        <f t="shared" si="58"/>
        <v>0</v>
      </c>
      <c r="AK200" s="14">
        <f t="shared" si="59"/>
        <v>0</v>
      </c>
      <c r="AM200" s="14">
        <f t="shared" si="60"/>
        <v>0</v>
      </c>
      <c r="AO200" s="14">
        <f t="shared" si="61"/>
        <v>0</v>
      </c>
      <c r="AQ200" s="14">
        <f t="shared" si="62"/>
        <v>0</v>
      </c>
      <c r="AS200" s="14">
        <f t="shared" si="63"/>
        <v>0</v>
      </c>
      <c r="AU200" s="14">
        <f t="shared" si="45"/>
        <v>0</v>
      </c>
    </row>
    <row r="201" spans="1:47" x14ac:dyDescent="0.2">
      <c r="A201" s="71"/>
      <c r="B201" s="3" t="s">
        <v>210</v>
      </c>
      <c r="C201" s="14">
        <v>0</v>
      </c>
      <c r="E201" s="14">
        <v>0</v>
      </c>
      <c r="G201" s="14">
        <v>0</v>
      </c>
      <c r="I201" s="14">
        <v>0</v>
      </c>
      <c r="K201" s="14">
        <v>0</v>
      </c>
      <c r="M201" s="14">
        <v>0</v>
      </c>
      <c r="O201" s="14">
        <v>0</v>
      </c>
      <c r="Q201" s="14">
        <v>0</v>
      </c>
      <c r="S201" s="14">
        <v>0</v>
      </c>
      <c r="U201" s="14">
        <v>0</v>
      </c>
      <c r="W201" s="14">
        <v>0</v>
      </c>
      <c r="Y201" s="14">
        <v>0</v>
      </c>
      <c r="AA201" s="14">
        <v>0</v>
      </c>
      <c r="AC201" s="14">
        <v>0</v>
      </c>
      <c r="AE201" s="14">
        <v>0</v>
      </c>
      <c r="AF201" s="14">
        <v>0</v>
      </c>
      <c r="AG201" s="14">
        <v>0</v>
      </c>
      <c r="AI201" s="17">
        <f t="shared" si="58"/>
        <v>0</v>
      </c>
      <c r="AK201" s="14">
        <f t="shared" si="59"/>
        <v>0</v>
      </c>
      <c r="AM201" s="14">
        <f t="shared" si="60"/>
        <v>0</v>
      </c>
      <c r="AO201" s="14">
        <f t="shared" si="61"/>
        <v>0</v>
      </c>
      <c r="AQ201" s="14">
        <f t="shared" si="62"/>
        <v>0</v>
      </c>
      <c r="AS201" s="14">
        <f t="shared" si="63"/>
        <v>0</v>
      </c>
      <c r="AU201" s="14">
        <f t="shared" si="45"/>
        <v>0</v>
      </c>
    </row>
    <row r="202" spans="1:47" x14ac:dyDescent="0.2">
      <c r="A202" s="71"/>
      <c r="B202" s="3" t="s">
        <v>211</v>
      </c>
      <c r="C202" s="14">
        <v>0</v>
      </c>
      <c r="E202" s="14">
        <v>0</v>
      </c>
      <c r="G202" s="14">
        <v>0</v>
      </c>
      <c r="I202" s="14">
        <v>0</v>
      </c>
      <c r="K202" s="14">
        <v>0</v>
      </c>
      <c r="M202" s="14">
        <v>0</v>
      </c>
      <c r="O202" s="14">
        <v>0</v>
      </c>
      <c r="Q202" s="14">
        <v>0</v>
      </c>
      <c r="S202" s="14">
        <v>0</v>
      </c>
      <c r="U202" s="14">
        <v>0</v>
      </c>
      <c r="W202" s="14">
        <v>0</v>
      </c>
      <c r="Y202" s="14">
        <v>0</v>
      </c>
      <c r="AA202" s="14">
        <v>0</v>
      </c>
      <c r="AC202" s="14">
        <v>0</v>
      </c>
      <c r="AE202" s="14">
        <v>0</v>
      </c>
      <c r="AF202" s="14">
        <v>0</v>
      </c>
      <c r="AG202" s="14">
        <v>0</v>
      </c>
      <c r="AI202" s="17">
        <f t="shared" si="58"/>
        <v>0</v>
      </c>
      <c r="AK202" s="14">
        <f t="shared" si="59"/>
        <v>0</v>
      </c>
      <c r="AM202" s="14">
        <f t="shared" si="60"/>
        <v>0</v>
      </c>
      <c r="AO202" s="14">
        <f t="shared" si="61"/>
        <v>0</v>
      </c>
      <c r="AQ202" s="14">
        <f t="shared" si="62"/>
        <v>0</v>
      </c>
      <c r="AS202" s="14">
        <f t="shared" si="63"/>
        <v>0</v>
      </c>
      <c r="AU202" s="14">
        <f t="shared" si="45"/>
        <v>0</v>
      </c>
    </row>
    <row r="203" spans="1:47" x14ac:dyDescent="0.2">
      <c r="A203" s="71"/>
      <c r="B203" s="3" t="s">
        <v>212</v>
      </c>
      <c r="C203" s="14">
        <v>0</v>
      </c>
      <c r="E203" s="14">
        <v>0</v>
      </c>
      <c r="G203" s="14">
        <v>0</v>
      </c>
      <c r="I203" s="14">
        <v>0</v>
      </c>
      <c r="K203" s="14">
        <v>0</v>
      </c>
      <c r="M203" s="14">
        <v>0</v>
      </c>
      <c r="O203" s="14">
        <v>0</v>
      </c>
      <c r="Q203" s="14">
        <v>0</v>
      </c>
      <c r="S203" s="14">
        <v>0</v>
      </c>
      <c r="U203" s="14">
        <v>0</v>
      </c>
      <c r="W203" s="14">
        <v>0</v>
      </c>
      <c r="Y203" s="14">
        <v>0</v>
      </c>
      <c r="AA203" s="14">
        <v>0</v>
      </c>
      <c r="AC203" s="14">
        <v>0</v>
      </c>
      <c r="AE203" s="14">
        <v>0</v>
      </c>
      <c r="AF203" s="14">
        <v>0</v>
      </c>
      <c r="AG203" s="14">
        <v>0</v>
      </c>
      <c r="AI203" s="16">
        <f t="shared" si="58"/>
        <v>0</v>
      </c>
      <c r="AK203" s="14">
        <f t="shared" si="59"/>
        <v>0</v>
      </c>
      <c r="AM203" s="14">
        <f t="shared" si="60"/>
        <v>0</v>
      </c>
      <c r="AO203" s="14">
        <f t="shared" si="61"/>
        <v>0</v>
      </c>
      <c r="AQ203" s="14">
        <f t="shared" si="62"/>
        <v>0</v>
      </c>
      <c r="AS203" s="14">
        <f t="shared" si="63"/>
        <v>0</v>
      </c>
      <c r="AU203" s="14">
        <f t="shared" si="45"/>
        <v>0</v>
      </c>
    </row>
    <row r="204" spans="1:47" x14ac:dyDescent="0.2">
      <c r="A204" s="71"/>
      <c r="B204" s="12" t="s">
        <v>248</v>
      </c>
      <c r="C204" s="18">
        <f>SUM(C193:C203)</f>
        <v>0</v>
      </c>
      <c r="E204" s="18">
        <f>SUM(E193:E203)</f>
        <v>0</v>
      </c>
      <c r="G204" s="18">
        <f>SUM(G193:G203)</f>
        <v>0</v>
      </c>
      <c r="I204" s="18">
        <f>SUM(I193:I203)</f>
        <v>0</v>
      </c>
      <c r="K204" s="18">
        <f>SUM(K193:K203)</f>
        <v>0</v>
      </c>
      <c r="M204" s="18">
        <f>SUM(M193:M203)</f>
        <v>0</v>
      </c>
      <c r="O204" s="18">
        <f>SUM(O193:O203)</f>
        <v>0</v>
      </c>
      <c r="Q204" s="18">
        <f>SUM(Q193:Q203)</f>
        <v>0</v>
      </c>
      <c r="S204" s="18">
        <f>SUM(S193:S203)</f>
        <v>0</v>
      </c>
      <c r="U204" s="18">
        <f>SUM(U193:U203)</f>
        <v>0</v>
      </c>
      <c r="W204" s="18">
        <f>SUM(W193:W203)</f>
        <v>0</v>
      </c>
      <c r="Y204" s="18">
        <f>SUM(Y193:Y203)</f>
        <v>0</v>
      </c>
      <c r="AA204" s="18">
        <f>SUM(AA193:AA203)</f>
        <v>0</v>
      </c>
      <c r="AC204" s="18">
        <f>SUM(AC193:AC203)</f>
        <v>0</v>
      </c>
      <c r="AE204" s="18">
        <f>SUM(AE193:AE203)</f>
        <v>0</v>
      </c>
      <c r="AF204" s="18">
        <f>SUM(AF193:AF203)</f>
        <v>0</v>
      </c>
      <c r="AG204" s="18">
        <f>SUM(AG193:AG203)</f>
        <v>0</v>
      </c>
      <c r="AI204" s="18">
        <f>SUM(AI193:AI203)</f>
        <v>0</v>
      </c>
      <c r="AK204" s="18">
        <f>SUM(AK193:AK203)</f>
        <v>0</v>
      </c>
      <c r="AM204" s="18">
        <f>SUM(AM193:AM203)</f>
        <v>0</v>
      </c>
      <c r="AO204" s="18">
        <f>SUM(AO193:AO203)</f>
        <v>0</v>
      </c>
      <c r="AQ204" s="18">
        <f>SUM(AQ193:AQ203)</f>
        <v>0</v>
      </c>
      <c r="AS204" s="18">
        <f>SUM(AS193:AS203)</f>
        <v>0</v>
      </c>
      <c r="AU204" s="18">
        <f t="shared" si="45"/>
        <v>0</v>
      </c>
    </row>
    <row r="205" spans="1:47" x14ac:dyDescent="0.2">
      <c r="A205" s="8"/>
      <c r="C205" s="14"/>
      <c r="E205" s="14"/>
      <c r="G205" s="14"/>
      <c r="I205" s="14"/>
      <c r="K205" s="14"/>
      <c r="M205" s="14"/>
      <c r="O205" s="14"/>
      <c r="Q205" s="14"/>
      <c r="S205" s="14"/>
      <c r="U205" s="14"/>
      <c r="W205" s="14"/>
      <c r="Y205" s="14"/>
      <c r="AA205" s="14"/>
      <c r="AC205" s="14"/>
      <c r="AE205" s="14"/>
      <c r="AF205" s="14"/>
      <c r="AG205" s="14"/>
      <c r="AI205" s="14"/>
      <c r="AK205" s="14"/>
      <c r="AM205" s="14"/>
      <c r="AO205" s="14"/>
      <c r="AQ205" s="14"/>
      <c r="AS205" s="14"/>
      <c r="AU205" s="14"/>
    </row>
    <row r="206" spans="1:47" x14ac:dyDescent="0.2">
      <c r="A206" s="8"/>
      <c r="B206" s="12" t="s">
        <v>17</v>
      </c>
      <c r="C206" s="14"/>
      <c r="E206" s="14"/>
      <c r="G206" s="14"/>
      <c r="I206" s="14"/>
      <c r="K206" s="14"/>
      <c r="M206" s="14"/>
      <c r="O206" s="14"/>
      <c r="Q206" s="14"/>
      <c r="S206" s="14"/>
      <c r="U206" s="14"/>
      <c r="W206" s="14"/>
      <c r="Y206" s="14"/>
      <c r="AA206" s="14"/>
      <c r="AC206" s="14"/>
      <c r="AE206" s="14"/>
      <c r="AF206" s="14"/>
      <c r="AG206" s="14"/>
      <c r="AI206" s="14"/>
      <c r="AK206" s="14"/>
      <c r="AM206" s="14"/>
      <c r="AO206" s="14"/>
      <c r="AQ206" s="14"/>
      <c r="AS206" s="14"/>
      <c r="AU206" s="14"/>
    </row>
    <row r="207" spans="1:47" x14ac:dyDescent="0.2">
      <c r="A207" s="8"/>
      <c r="B207" s="3" t="s">
        <v>214</v>
      </c>
      <c r="C207" s="14">
        <v>0</v>
      </c>
      <c r="E207" s="14">
        <v>0</v>
      </c>
      <c r="G207" s="14">
        <v>0</v>
      </c>
      <c r="I207" s="14">
        <v>0</v>
      </c>
      <c r="K207" s="14">
        <v>0</v>
      </c>
      <c r="M207" s="14">
        <v>0</v>
      </c>
      <c r="O207" s="14">
        <v>0</v>
      </c>
      <c r="Q207" s="14">
        <v>0</v>
      </c>
      <c r="S207" s="14">
        <v>0</v>
      </c>
      <c r="U207" s="14">
        <v>0</v>
      </c>
      <c r="W207" s="14">
        <v>0</v>
      </c>
      <c r="Y207" s="14">
        <v>0</v>
      </c>
      <c r="AA207" s="14">
        <v>0</v>
      </c>
      <c r="AC207" s="14">
        <v>0</v>
      </c>
      <c r="AE207" s="14">
        <v>0</v>
      </c>
      <c r="AF207" s="14">
        <v>0</v>
      </c>
      <c r="AI207" s="17">
        <f t="shared" ref="AI207:AI217" si="64">SUM(C207:AF207)</f>
        <v>0</v>
      </c>
      <c r="AK207" s="14">
        <f t="shared" ref="AK207:AK217" si="65">SUMIF($C$9:$AH$9,"=Addition",$C207:$AH207)</f>
        <v>0</v>
      </c>
      <c r="AM207" s="14">
        <f t="shared" ref="AM207:AM217" si="66">SUMIF($C$9:$AH$9,"=Adjustment",$C207:$AH207)</f>
        <v>0</v>
      </c>
      <c r="AO207" s="14">
        <f t="shared" ref="AO207:AO217" si="67">SUMIF($C$9:$AH$9,"=Transfer",$C207:$AH207)</f>
        <v>0</v>
      </c>
      <c r="AQ207" s="14">
        <f t="shared" ref="AQ207:AQ217" si="68">SUMIF($C$9:$Z$9,"=N/A",$C207:$Z207)</f>
        <v>0</v>
      </c>
      <c r="AS207" s="14">
        <f t="shared" ref="AS207:AS217" si="69">SUM(AK207:AQ207)</f>
        <v>0</v>
      </c>
      <c r="AU207" s="14">
        <f t="shared" si="45"/>
        <v>0</v>
      </c>
    </row>
    <row r="208" spans="1:47" x14ac:dyDescent="0.2">
      <c r="A208" s="8"/>
      <c r="B208" s="3" t="s">
        <v>215</v>
      </c>
      <c r="C208" s="14">
        <v>0</v>
      </c>
      <c r="E208" s="14">
        <v>0</v>
      </c>
      <c r="G208" s="14">
        <v>0</v>
      </c>
      <c r="I208" s="14">
        <v>0</v>
      </c>
      <c r="K208" s="14">
        <v>0</v>
      </c>
      <c r="M208" s="14">
        <v>0</v>
      </c>
      <c r="O208" s="14">
        <v>0</v>
      </c>
      <c r="Q208" s="14">
        <v>0</v>
      </c>
      <c r="S208" s="14">
        <v>0</v>
      </c>
      <c r="U208" s="14">
        <v>0</v>
      </c>
      <c r="W208" s="14">
        <v>0</v>
      </c>
      <c r="Y208" s="14">
        <v>0</v>
      </c>
      <c r="AA208" s="14">
        <v>0</v>
      </c>
      <c r="AC208" s="14">
        <v>0</v>
      </c>
      <c r="AE208" s="14">
        <v>0</v>
      </c>
      <c r="AF208" s="14">
        <v>0</v>
      </c>
      <c r="AG208" s="14">
        <v>0</v>
      </c>
      <c r="AI208" s="17">
        <f t="shared" si="64"/>
        <v>0</v>
      </c>
      <c r="AK208" s="14">
        <f t="shared" si="65"/>
        <v>0</v>
      </c>
      <c r="AM208" s="14">
        <f t="shared" si="66"/>
        <v>0</v>
      </c>
      <c r="AO208" s="14">
        <f t="shared" si="67"/>
        <v>0</v>
      </c>
      <c r="AQ208" s="14">
        <f t="shared" si="68"/>
        <v>0</v>
      </c>
      <c r="AS208" s="14">
        <f t="shared" si="69"/>
        <v>0</v>
      </c>
      <c r="AU208" s="14">
        <f t="shared" si="45"/>
        <v>0</v>
      </c>
    </row>
    <row r="209" spans="1:47" x14ac:dyDescent="0.2">
      <c r="A209" s="8"/>
      <c r="B209" s="3" t="s">
        <v>216</v>
      </c>
      <c r="C209" s="14">
        <v>0</v>
      </c>
      <c r="E209" s="14">
        <v>0</v>
      </c>
      <c r="G209" s="14">
        <v>0</v>
      </c>
      <c r="I209" s="14">
        <v>0</v>
      </c>
      <c r="K209" s="14">
        <v>0</v>
      </c>
      <c r="M209" s="14">
        <v>0</v>
      </c>
      <c r="O209" s="14">
        <v>0</v>
      </c>
      <c r="Q209" s="14">
        <v>0</v>
      </c>
      <c r="S209" s="14">
        <v>0</v>
      </c>
      <c r="U209" s="14">
        <v>0</v>
      </c>
      <c r="W209" s="14">
        <v>0</v>
      </c>
      <c r="Y209" s="14">
        <v>0</v>
      </c>
      <c r="AA209" s="14">
        <v>0</v>
      </c>
      <c r="AC209" s="14">
        <v>0</v>
      </c>
      <c r="AE209" s="14">
        <v>0</v>
      </c>
      <c r="AF209" s="14">
        <v>0</v>
      </c>
      <c r="AG209" s="14">
        <v>0</v>
      </c>
      <c r="AI209" s="17">
        <f t="shared" si="64"/>
        <v>0</v>
      </c>
      <c r="AK209" s="14">
        <f t="shared" si="65"/>
        <v>0</v>
      </c>
      <c r="AM209" s="14">
        <f t="shared" si="66"/>
        <v>0</v>
      </c>
      <c r="AO209" s="14">
        <f t="shared" si="67"/>
        <v>0</v>
      </c>
      <c r="AQ209" s="14">
        <f t="shared" si="68"/>
        <v>0</v>
      </c>
      <c r="AS209" s="14">
        <f t="shared" si="69"/>
        <v>0</v>
      </c>
      <c r="AU209" s="14">
        <f t="shared" si="45"/>
        <v>0</v>
      </c>
    </row>
    <row r="210" spans="1:47" x14ac:dyDescent="0.2">
      <c r="A210" s="8"/>
      <c r="B210" s="3" t="s">
        <v>217</v>
      </c>
      <c r="C210" s="14">
        <v>0</v>
      </c>
      <c r="E210" s="14">
        <v>0</v>
      </c>
      <c r="G210" s="14">
        <v>0</v>
      </c>
      <c r="I210" s="14">
        <v>0</v>
      </c>
      <c r="K210" s="14">
        <v>0</v>
      </c>
      <c r="M210" s="14">
        <v>0</v>
      </c>
      <c r="O210" s="14">
        <v>0</v>
      </c>
      <c r="Q210" s="14">
        <v>0</v>
      </c>
      <c r="S210" s="14">
        <v>0</v>
      </c>
      <c r="U210" s="14">
        <v>0</v>
      </c>
      <c r="W210" s="14">
        <v>0</v>
      </c>
      <c r="Y210" s="14">
        <v>0</v>
      </c>
      <c r="AA210" s="14">
        <v>0</v>
      </c>
      <c r="AC210" s="14">
        <v>0</v>
      </c>
      <c r="AE210" s="14">
        <v>0</v>
      </c>
      <c r="AF210" s="14">
        <v>0</v>
      </c>
      <c r="AG210" s="14">
        <v>0</v>
      </c>
      <c r="AI210" s="17">
        <f t="shared" si="64"/>
        <v>0</v>
      </c>
      <c r="AK210" s="14">
        <f t="shared" si="65"/>
        <v>0</v>
      </c>
      <c r="AM210" s="14">
        <f t="shared" si="66"/>
        <v>0</v>
      </c>
      <c r="AO210" s="14">
        <f t="shared" si="67"/>
        <v>0</v>
      </c>
      <c r="AQ210" s="14">
        <f t="shared" si="68"/>
        <v>0</v>
      </c>
      <c r="AS210" s="14">
        <f t="shared" si="69"/>
        <v>0</v>
      </c>
      <c r="AU210" s="14">
        <f t="shared" si="45"/>
        <v>0</v>
      </c>
    </row>
    <row r="211" spans="1:47" x14ac:dyDescent="0.2">
      <c r="A211" s="8"/>
      <c r="B211" s="3" t="s">
        <v>218</v>
      </c>
      <c r="C211" s="14">
        <v>0</v>
      </c>
      <c r="E211" s="14">
        <v>0</v>
      </c>
      <c r="G211" s="14">
        <v>0</v>
      </c>
      <c r="I211" s="14">
        <v>0</v>
      </c>
      <c r="K211" s="14">
        <v>0</v>
      </c>
      <c r="M211" s="14">
        <v>0</v>
      </c>
      <c r="O211" s="14">
        <v>0</v>
      </c>
      <c r="Q211" s="14">
        <v>0</v>
      </c>
      <c r="S211" s="14">
        <v>0</v>
      </c>
      <c r="U211" s="14">
        <v>0</v>
      </c>
      <c r="W211" s="14">
        <v>0</v>
      </c>
      <c r="Y211" s="14">
        <v>0</v>
      </c>
      <c r="AA211" s="14">
        <v>0</v>
      </c>
      <c r="AC211" s="14">
        <v>0</v>
      </c>
      <c r="AE211" s="14">
        <v>0</v>
      </c>
      <c r="AF211" s="14">
        <v>0</v>
      </c>
      <c r="AG211" s="14">
        <v>0</v>
      </c>
      <c r="AI211" s="17">
        <f t="shared" si="64"/>
        <v>0</v>
      </c>
      <c r="AK211" s="14">
        <f t="shared" si="65"/>
        <v>0</v>
      </c>
      <c r="AM211" s="14">
        <f t="shared" si="66"/>
        <v>0</v>
      </c>
      <c r="AO211" s="14">
        <f t="shared" si="67"/>
        <v>0</v>
      </c>
      <c r="AQ211" s="14">
        <f t="shared" si="68"/>
        <v>0</v>
      </c>
      <c r="AS211" s="14">
        <f t="shared" si="69"/>
        <v>0</v>
      </c>
      <c r="AU211" s="14">
        <f t="shared" si="45"/>
        <v>0</v>
      </c>
    </row>
    <row r="212" spans="1:47" x14ac:dyDescent="0.2">
      <c r="A212" s="8"/>
      <c r="B212" s="3" t="s">
        <v>219</v>
      </c>
      <c r="C212" s="14">
        <v>0</v>
      </c>
      <c r="E212" s="14">
        <v>0</v>
      </c>
      <c r="G212" s="14">
        <v>0</v>
      </c>
      <c r="I212" s="14">
        <v>0</v>
      </c>
      <c r="K212" s="14">
        <v>0</v>
      </c>
      <c r="M212" s="14">
        <v>0</v>
      </c>
      <c r="O212" s="14">
        <v>0</v>
      </c>
      <c r="Q212" s="14">
        <v>0</v>
      </c>
      <c r="S212" s="14">
        <v>0</v>
      </c>
      <c r="U212" s="14">
        <v>0</v>
      </c>
      <c r="W212" s="14">
        <v>0</v>
      </c>
      <c r="Y212" s="14">
        <v>0</v>
      </c>
      <c r="AA212" s="14">
        <v>0</v>
      </c>
      <c r="AC212" s="14">
        <v>0</v>
      </c>
      <c r="AE212" s="14">
        <v>0</v>
      </c>
      <c r="AF212" s="14">
        <v>0</v>
      </c>
      <c r="AG212" s="14">
        <v>0</v>
      </c>
      <c r="AI212" s="17">
        <f t="shared" si="64"/>
        <v>0</v>
      </c>
      <c r="AK212" s="14">
        <f t="shared" si="65"/>
        <v>0</v>
      </c>
      <c r="AM212" s="14">
        <f t="shared" si="66"/>
        <v>0</v>
      </c>
      <c r="AO212" s="14">
        <f t="shared" si="67"/>
        <v>0</v>
      </c>
      <c r="AQ212" s="14">
        <f t="shared" si="68"/>
        <v>0</v>
      </c>
      <c r="AS212" s="14">
        <f t="shared" si="69"/>
        <v>0</v>
      </c>
      <c r="AU212" s="14">
        <f t="shared" si="45"/>
        <v>0</v>
      </c>
    </row>
    <row r="213" spans="1:47" x14ac:dyDescent="0.2">
      <c r="A213" s="8"/>
      <c r="B213" s="3" t="s">
        <v>220</v>
      </c>
      <c r="C213" s="14">
        <v>0</v>
      </c>
      <c r="E213" s="14">
        <v>0</v>
      </c>
      <c r="G213" s="14">
        <v>0</v>
      </c>
      <c r="I213" s="14">
        <v>0</v>
      </c>
      <c r="K213" s="14">
        <v>0</v>
      </c>
      <c r="M213" s="14">
        <v>0</v>
      </c>
      <c r="O213" s="14">
        <v>0</v>
      </c>
      <c r="Q213" s="14">
        <v>0</v>
      </c>
      <c r="S213" s="14">
        <v>0</v>
      </c>
      <c r="U213" s="14">
        <v>0</v>
      </c>
      <c r="W213" s="14">
        <v>0</v>
      </c>
      <c r="Y213" s="14">
        <v>0</v>
      </c>
      <c r="AA213" s="14">
        <v>0</v>
      </c>
      <c r="AC213" s="14">
        <v>0</v>
      </c>
      <c r="AE213" s="14">
        <v>0</v>
      </c>
      <c r="AF213" s="14">
        <v>0</v>
      </c>
      <c r="AG213" s="14">
        <v>0</v>
      </c>
      <c r="AI213" s="17">
        <f t="shared" si="64"/>
        <v>0</v>
      </c>
      <c r="AK213" s="14">
        <f t="shared" si="65"/>
        <v>0</v>
      </c>
      <c r="AM213" s="14">
        <f t="shared" si="66"/>
        <v>0</v>
      </c>
      <c r="AO213" s="14">
        <f t="shared" si="67"/>
        <v>0</v>
      </c>
      <c r="AQ213" s="14">
        <f t="shared" si="68"/>
        <v>0</v>
      </c>
      <c r="AS213" s="14">
        <f t="shared" si="69"/>
        <v>0</v>
      </c>
      <c r="AU213" s="14">
        <f t="shared" si="45"/>
        <v>0</v>
      </c>
    </row>
    <row r="214" spans="1:47" x14ac:dyDescent="0.2">
      <c r="A214" s="8"/>
      <c r="B214" s="3" t="s">
        <v>221</v>
      </c>
      <c r="C214" s="14">
        <v>0</v>
      </c>
      <c r="E214" s="14">
        <v>0</v>
      </c>
      <c r="G214" s="14">
        <v>0</v>
      </c>
      <c r="I214" s="14">
        <v>0</v>
      </c>
      <c r="K214" s="14">
        <v>0</v>
      </c>
      <c r="M214" s="14">
        <v>0</v>
      </c>
      <c r="O214" s="14">
        <v>0</v>
      </c>
      <c r="Q214" s="14">
        <v>0</v>
      </c>
      <c r="S214" s="14">
        <v>0</v>
      </c>
      <c r="U214" s="14">
        <v>0</v>
      </c>
      <c r="W214" s="14">
        <v>0</v>
      </c>
      <c r="Y214" s="14">
        <v>0</v>
      </c>
      <c r="AA214" s="14">
        <v>0</v>
      </c>
      <c r="AC214" s="14">
        <v>0</v>
      </c>
      <c r="AE214" s="14">
        <v>0</v>
      </c>
      <c r="AF214" s="14">
        <v>0</v>
      </c>
      <c r="AG214" s="14">
        <v>0</v>
      </c>
      <c r="AI214" s="17">
        <f t="shared" si="64"/>
        <v>0</v>
      </c>
      <c r="AK214" s="14">
        <f t="shared" si="65"/>
        <v>0</v>
      </c>
      <c r="AM214" s="14">
        <f t="shared" si="66"/>
        <v>0</v>
      </c>
      <c r="AO214" s="14">
        <f t="shared" si="67"/>
        <v>0</v>
      </c>
      <c r="AQ214" s="14">
        <f t="shared" si="68"/>
        <v>0</v>
      </c>
      <c r="AS214" s="14">
        <f t="shared" si="69"/>
        <v>0</v>
      </c>
      <c r="AU214" s="14">
        <f t="shared" ref="AU214:AU253" si="70">+AI214-AS214</f>
        <v>0</v>
      </c>
    </row>
    <row r="215" spans="1:47" x14ac:dyDescent="0.2">
      <c r="A215" s="8"/>
      <c r="B215" s="3" t="s">
        <v>222</v>
      </c>
      <c r="C215" s="14">
        <v>0</v>
      </c>
      <c r="E215" s="14">
        <v>0</v>
      </c>
      <c r="G215" s="14">
        <v>0</v>
      </c>
      <c r="I215" s="14">
        <v>0</v>
      </c>
      <c r="K215" s="14">
        <v>0</v>
      </c>
      <c r="M215" s="14">
        <v>0</v>
      </c>
      <c r="O215" s="14">
        <v>0</v>
      </c>
      <c r="Q215" s="14">
        <v>0</v>
      </c>
      <c r="S215" s="14">
        <v>0</v>
      </c>
      <c r="U215" s="14">
        <v>0</v>
      </c>
      <c r="W215" s="14">
        <v>0</v>
      </c>
      <c r="Y215" s="14">
        <v>0</v>
      </c>
      <c r="AA215" s="14">
        <v>0</v>
      </c>
      <c r="AC215" s="14">
        <v>0</v>
      </c>
      <c r="AE215" s="14">
        <v>0</v>
      </c>
      <c r="AF215" s="14">
        <v>0</v>
      </c>
      <c r="AG215" s="14">
        <v>0</v>
      </c>
      <c r="AI215" s="17">
        <f t="shared" si="64"/>
        <v>0</v>
      </c>
      <c r="AK215" s="14">
        <f t="shared" si="65"/>
        <v>0</v>
      </c>
      <c r="AM215" s="14">
        <f t="shared" si="66"/>
        <v>0</v>
      </c>
      <c r="AO215" s="14">
        <f t="shared" si="67"/>
        <v>0</v>
      </c>
      <c r="AQ215" s="14">
        <f t="shared" si="68"/>
        <v>0</v>
      </c>
      <c r="AS215" s="14">
        <f t="shared" si="69"/>
        <v>0</v>
      </c>
      <c r="AU215" s="14">
        <f t="shared" si="70"/>
        <v>0</v>
      </c>
    </row>
    <row r="216" spans="1:47" x14ac:dyDescent="0.2">
      <c r="A216" s="8"/>
      <c r="B216" s="3" t="s">
        <v>223</v>
      </c>
      <c r="C216" s="14">
        <v>0</v>
      </c>
      <c r="E216" s="14">
        <v>0</v>
      </c>
      <c r="G216" s="14">
        <v>0</v>
      </c>
      <c r="I216" s="14">
        <v>0</v>
      </c>
      <c r="K216" s="14">
        <v>0</v>
      </c>
      <c r="M216" s="14">
        <v>0</v>
      </c>
      <c r="O216" s="14">
        <v>0</v>
      </c>
      <c r="Q216" s="14">
        <v>0</v>
      </c>
      <c r="S216" s="14">
        <v>0</v>
      </c>
      <c r="U216" s="14">
        <v>0</v>
      </c>
      <c r="W216" s="14">
        <v>0</v>
      </c>
      <c r="Y216" s="14">
        <v>0</v>
      </c>
      <c r="AA216" s="14">
        <v>0</v>
      </c>
      <c r="AC216" s="14">
        <v>0</v>
      </c>
      <c r="AE216" s="14">
        <v>0</v>
      </c>
      <c r="AF216" s="14">
        <v>0</v>
      </c>
      <c r="AG216" s="14">
        <v>0</v>
      </c>
      <c r="AI216" s="17">
        <f t="shared" si="64"/>
        <v>0</v>
      </c>
      <c r="AK216" s="14">
        <f t="shared" si="65"/>
        <v>0</v>
      </c>
      <c r="AM216" s="14">
        <f t="shared" si="66"/>
        <v>0</v>
      </c>
      <c r="AO216" s="14">
        <f t="shared" si="67"/>
        <v>0</v>
      </c>
      <c r="AQ216" s="14">
        <f t="shared" si="68"/>
        <v>0</v>
      </c>
      <c r="AS216" s="14">
        <f t="shared" si="69"/>
        <v>0</v>
      </c>
      <c r="AU216" s="14">
        <f t="shared" si="70"/>
        <v>0</v>
      </c>
    </row>
    <row r="217" spans="1:47" x14ac:dyDescent="0.2">
      <c r="A217" s="8"/>
      <c r="B217" s="3" t="s">
        <v>224</v>
      </c>
      <c r="C217" s="14">
        <v>0</v>
      </c>
      <c r="E217" s="14">
        <v>0</v>
      </c>
      <c r="G217" s="14">
        <v>0</v>
      </c>
      <c r="I217" s="14">
        <v>0</v>
      </c>
      <c r="K217" s="14">
        <v>0</v>
      </c>
      <c r="M217" s="14">
        <v>0</v>
      </c>
      <c r="O217" s="14">
        <v>0</v>
      </c>
      <c r="Q217" s="14">
        <v>0</v>
      </c>
      <c r="S217" s="14">
        <v>0</v>
      </c>
      <c r="U217" s="14">
        <v>0</v>
      </c>
      <c r="W217" s="14">
        <v>0</v>
      </c>
      <c r="Y217" s="14">
        <v>0</v>
      </c>
      <c r="AA217" s="14">
        <v>0</v>
      </c>
      <c r="AC217" s="14">
        <v>0</v>
      </c>
      <c r="AE217" s="14">
        <v>0</v>
      </c>
      <c r="AF217" s="14">
        <v>0</v>
      </c>
      <c r="AG217" s="14">
        <v>0</v>
      </c>
      <c r="AI217" s="16">
        <f t="shared" si="64"/>
        <v>0</v>
      </c>
      <c r="AK217" s="14">
        <f t="shared" si="65"/>
        <v>0</v>
      </c>
      <c r="AM217" s="14">
        <f t="shared" si="66"/>
        <v>0</v>
      </c>
      <c r="AO217" s="14">
        <f t="shared" si="67"/>
        <v>0</v>
      </c>
      <c r="AQ217" s="14">
        <f t="shared" si="68"/>
        <v>0</v>
      </c>
      <c r="AS217" s="14">
        <f t="shared" si="69"/>
        <v>0</v>
      </c>
      <c r="AU217" s="14">
        <f t="shared" si="70"/>
        <v>0</v>
      </c>
    </row>
    <row r="218" spans="1:47" x14ac:dyDescent="0.2">
      <c r="A218" s="8"/>
      <c r="B218" s="12" t="s">
        <v>249</v>
      </c>
      <c r="C218" s="18">
        <f>SUM(C207:C217)</f>
        <v>0</v>
      </c>
      <c r="E218" s="18">
        <f>SUM(E207:E217)</f>
        <v>0</v>
      </c>
      <c r="G218" s="18">
        <f>SUM(G207:G217)</f>
        <v>0</v>
      </c>
      <c r="I218" s="18">
        <f>SUM(I207:I217)</f>
        <v>0</v>
      </c>
      <c r="K218" s="18">
        <f>SUM(K207:K217)</f>
        <v>0</v>
      </c>
      <c r="M218" s="18">
        <f>SUM(M207:M217)</f>
        <v>0</v>
      </c>
      <c r="O218" s="18">
        <f>SUM(O207:O217)</f>
        <v>0</v>
      </c>
      <c r="Q218" s="18">
        <f>SUM(Q207:Q217)</f>
        <v>0</v>
      </c>
      <c r="S218" s="18">
        <f>SUM(S207:S217)</f>
        <v>0</v>
      </c>
      <c r="U218" s="18">
        <f>SUM(U207:U217)</f>
        <v>0</v>
      </c>
      <c r="W218" s="18">
        <f>SUM(W207:W217)</f>
        <v>0</v>
      </c>
      <c r="Y218" s="18">
        <f>SUM(Y207:Y217)</f>
        <v>0</v>
      </c>
      <c r="AA218" s="18">
        <f>SUM(AA207:AA217)</f>
        <v>0</v>
      </c>
      <c r="AC218" s="18">
        <f>SUM(AC207:AC217)</f>
        <v>0</v>
      </c>
      <c r="AE218" s="18">
        <f>SUM(AE207:AE217)</f>
        <v>0</v>
      </c>
      <c r="AF218" s="18">
        <f>SUM(AF207:AF217)</f>
        <v>0</v>
      </c>
      <c r="AG218" s="18">
        <f>SUM(AG206:AG217)</f>
        <v>0</v>
      </c>
      <c r="AI218" s="18">
        <f>SUM(AI207:AI217)</f>
        <v>0</v>
      </c>
      <c r="AK218" s="18">
        <f>SUM(AK207:AK217)</f>
        <v>0</v>
      </c>
      <c r="AM218" s="18">
        <f>SUM(AM207:AM217)</f>
        <v>0</v>
      </c>
      <c r="AO218" s="18">
        <f>SUM(AO207:AO217)</f>
        <v>0</v>
      </c>
      <c r="AQ218" s="18">
        <f>SUM(AQ207:AQ217)</f>
        <v>0</v>
      </c>
      <c r="AS218" s="18">
        <f>SUM(AS207:AS217)</f>
        <v>0</v>
      </c>
      <c r="AU218" s="18">
        <f t="shared" si="70"/>
        <v>0</v>
      </c>
    </row>
    <row r="219" spans="1:47" x14ac:dyDescent="0.2">
      <c r="A219" s="8"/>
      <c r="C219" s="14"/>
      <c r="E219" s="14"/>
      <c r="G219" s="14"/>
      <c r="I219" s="14"/>
      <c r="K219" s="14"/>
      <c r="M219" s="14"/>
      <c r="O219" s="14"/>
      <c r="Q219" s="14"/>
      <c r="S219" s="14"/>
      <c r="U219" s="14"/>
      <c r="W219" s="14"/>
      <c r="Y219" s="14"/>
      <c r="AA219" s="14"/>
      <c r="AC219" s="14"/>
      <c r="AE219" s="14"/>
      <c r="AF219" s="14"/>
      <c r="AG219" s="14"/>
      <c r="AI219" s="14"/>
      <c r="AK219" s="14"/>
      <c r="AM219" s="14"/>
      <c r="AO219" s="14"/>
      <c r="AQ219" s="14"/>
      <c r="AS219" s="14"/>
      <c r="AU219" s="14"/>
    </row>
    <row r="220" spans="1:47" x14ac:dyDescent="0.2">
      <c r="A220" s="8"/>
      <c r="B220" s="12" t="s">
        <v>18</v>
      </c>
      <c r="C220" s="14"/>
      <c r="E220" s="14"/>
      <c r="G220" s="14"/>
      <c r="I220" s="14"/>
      <c r="K220" s="14"/>
      <c r="M220" s="14"/>
      <c r="O220" s="14"/>
      <c r="Q220" s="14"/>
      <c r="S220" s="14"/>
      <c r="U220" s="14"/>
      <c r="W220" s="14"/>
      <c r="Y220" s="14"/>
      <c r="AA220" s="14"/>
      <c r="AC220" s="14"/>
      <c r="AE220" s="14"/>
      <c r="AF220" s="14"/>
      <c r="AG220" s="14"/>
      <c r="AI220" s="14"/>
      <c r="AK220" s="14"/>
      <c r="AM220" s="14"/>
      <c r="AO220" s="14"/>
      <c r="AQ220" s="14"/>
      <c r="AS220" s="14"/>
      <c r="AU220" s="14"/>
    </row>
    <row r="221" spans="1:47" x14ac:dyDescent="0.2">
      <c r="A221" s="8"/>
      <c r="B221" s="3" t="s">
        <v>227</v>
      </c>
      <c r="C221" s="14">
        <v>0</v>
      </c>
      <c r="E221" s="14">
        <v>0</v>
      </c>
      <c r="G221" s="14">
        <v>0</v>
      </c>
      <c r="I221" s="14">
        <v>0</v>
      </c>
      <c r="K221" s="14">
        <v>0</v>
      </c>
      <c r="M221" s="14">
        <v>0</v>
      </c>
      <c r="O221" s="14">
        <v>0</v>
      </c>
      <c r="Q221" s="14">
        <v>0</v>
      </c>
      <c r="S221" s="14">
        <v>0</v>
      </c>
      <c r="U221" s="14">
        <v>0</v>
      </c>
      <c r="W221" s="14">
        <v>0</v>
      </c>
      <c r="Y221" s="14">
        <v>0</v>
      </c>
      <c r="AA221" s="14">
        <v>0</v>
      </c>
      <c r="AC221" s="14">
        <v>0</v>
      </c>
      <c r="AE221" s="14">
        <v>0</v>
      </c>
      <c r="AF221" s="14">
        <v>0</v>
      </c>
      <c r="AG221" s="14">
        <v>0</v>
      </c>
      <c r="AI221" s="17">
        <f t="shared" ref="AI221:AI234" si="71">SUM(C221:AF221)</f>
        <v>0</v>
      </c>
      <c r="AK221" s="14">
        <f t="shared" ref="AK221:AK234" si="72">SUMIF($C$9:$AH$9,"=Addition",$C221:$AH221)</f>
        <v>0</v>
      </c>
      <c r="AM221" s="14">
        <f t="shared" ref="AM221:AM234" si="73">SUMIF($C$9:$AH$9,"=Adjustment",$C221:$AH221)</f>
        <v>0</v>
      </c>
      <c r="AO221" s="14">
        <f t="shared" ref="AO221:AO234" si="74">SUMIF($C$9:$AH$9,"=Transfer",$C221:$AH221)</f>
        <v>0</v>
      </c>
      <c r="AQ221" s="14">
        <f t="shared" ref="AQ221:AQ234" si="75">SUMIF($C$9:$Z$9,"=N/A",$C221:$Z221)</f>
        <v>0</v>
      </c>
      <c r="AS221" s="14">
        <f t="shared" ref="AS221:AS234" si="76">SUM(AK221:AQ221)</f>
        <v>0</v>
      </c>
      <c r="AU221" s="14">
        <f t="shared" si="70"/>
        <v>0</v>
      </c>
    </row>
    <row r="222" spans="1:47" x14ac:dyDescent="0.2">
      <c r="A222" s="8"/>
      <c r="B222" s="3" t="s">
        <v>228</v>
      </c>
      <c r="C222" s="14">
        <v>0</v>
      </c>
      <c r="E222" s="14">
        <v>0</v>
      </c>
      <c r="G222" s="14">
        <v>0</v>
      </c>
      <c r="I222" s="14">
        <v>0</v>
      </c>
      <c r="K222" s="14">
        <v>0</v>
      </c>
      <c r="M222" s="14">
        <v>0</v>
      </c>
      <c r="O222" s="14">
        <v>0</v>
      </c>
      <c r="Q222" s="14">
        <v>0</v>
      </c>
      <c r="S222" s="14">
        <v>0</v>
      </c>
      <c r="U222" s="14">
        <v>0</v>
      </c>
      <c r="W222" s="14">
        <v>0</v>
      </c>
      <c r="Y222" s="14">
        <v>0</v>
      </c>
      <c r="AA222" s="14">
        <v>0</v>
      </c>
      <c r="AC222" s="14">
        <v>0</v>
      </c>
      <c r="AE222" s="14">
        <v>0</v>
      </c>
      <c r="AF222" s="14">
        <v>0</v>
      </c>
      <c r="AG222" s="14">
        <v>0</v>
      </c>
      <c r="AI222" s="17">
        <f t="shared" si="71"/>
        <v>0</v>
      </c>
      <c r="AK222" s="14">
        <f t="shared" si="72"/>
        <v>0</v>
      </c>
      <c r="AM222" s="14">
        <f t="shared" si="73"/>
        <v>0</v>
      </c>
      <c r="AO222" s="14">
        <f t="shared" si="74"/>
        <v>0</v>
      </c>
      <c r="AQ222" s="14">
        <f t="shared" si="75"/>
        <v>0</v>
      </c>
      <c r="AS222" s="14">
        <f t="shared" si="76"/>
        <v>0</v>
      </c>
      <c r="AU222" s="14">
        <f t="shared" si="70"/>
        <v>0</v>
      </c>
    </row>
    <row r="223" spans="1:47" x14ac:dyDescent="0.2">
      <c r="A223" s="8"/>
      <c r="B223" s="3" t="s">
        <v>229</v>
      </c>
      <c r="C223" s="14">
        <v>0</v>
      </c>
      <c r="E223" s="14">
        <v>0</v>
      </c>
      <c r="G223" s="14">
        <v>0</v>
      </c>
      <c r="I223" s="14">
        <v>0</v>
      </c>
      <c r="K223" s="14">
        <v>0</v>
      </c>
      <c r="M223" s="14">
        <v>0</v>
      </c>
      <c r="O223" s="14">
        <v>0</v>
      </c>
      <c r="Q223" s="14">
        <v>0</v>
      </c>
      <c r="S223" s="14">
        <v>0</v>
      </c>
      <c r="U223" s="14">
        <v>0</v>
      </c>
      <c r="W223" s="14">
        <v>0</v>
      </c>
      <c r="Y223" s="14">
        <v>0</v>
      </c>
      <c r="AA223" s="14">
        <v>0</v>
      </c>
      <c r="AC223" s="14">
        <v>0</v>
      </c>
      <c r="AE223" s="14">
        <v>0</v>
      </c>
      <c r="AF223" s="14">
        <v>0</v>
      </c>
      <c r="AG223" s="14">
        <v>0</v>
      </c>
      <c r="AI223" s="17">
        <f t="shared" si="71"/>
        <v>0</v>
      </c>
      <c r="AK223" s="14">
        <f t="shared" si="72"/>
        <v>0</v>
      </c>
      <c r="AM223" s="14">
        <f t="shared" si="73"/>
        <v>0</v>
      </c>
      <c r="AO223" s="14">
        <f t="shared" si="74"/>
        <v>0</v>
      </c>
      <c r="AQ223" s="14">
        <f t="shared" si="75"/>
        <v>0</v>
      </c>
      <c r="AS223" s="14">
        <f t="shared" si="76"/>
        <v>0</v>
      </c>
      <c r="AU223" s="14">
        <f t="shared" si="70"/>
        <v>0</v>
      </c>
    </row>
    <row r="224" spans="1:47" x14ac:dyDescent="0.2">
      <c r="A224" s="8"/>
      <c r="B224" s="3" t="s">
        <v>230</v>
      </c>
      <c r="C224" s="14">
        <v>0</v>
      </c>
      <c r="E224" s="14">
        <v>0</v>
      </c>
      <c r="G224" s="14">
        <v>0</v>
      </c>
      <c r="I224" s="14">
        <v>0</v>
      </c>
      <c r="K224" s="14">
        <v>0</v>
      </c>
      <c r="M224" s="14">
        <v>0</v>
      </c>
      <c r="O224" s="14">
        <v>0</v>
      </c>
      <c r="Q224" s="14">
        <v>0</v>
      </c>
      <c r="S224" s="14">
        <v>0</v>
      </c>
      <c r="U224" s="14">
        <v>0</v>
      </c>
      <c r="W224" s="14">
        <v>0</v>
      </c>
      <c r="Y224" s="14">
        <v>0</v>
      </c>
      <c r="AA224" s="14">
        <v>0</v>
      </c>
      <c r="AC224" s="14">
        <v>0</v>
      </c>
      <c r="AE224" s="14">
        <v>0</v>
      </c>
      <c r="AF224" s="14">
        <v>0</v>
      </c>
      <c r="AG224" s="14">
        <v>0</v>
      </c>
      <c r="AI224" s="17">
        <f t="shared" si="71"/>
        <v>0</v>
      </c>
      <c r="AK224" s="14">
        <f t="shared" si="72"/>
        <v>0</v>
      </c>
      <c r="AM224" s="14">
        <f t="shared" si="73"/>
        <v>0</v>
      </c>
      <c r="AO224" s="14">
        <f t="shared" si="74"/>
        <v>0</v>
      </c>
      <c r="AQ224" s="14">
        <f t="shared" si="75"/>
        <v>0</v>
      </c>
      <c r="AS224" s="14">
        <f t="shared" si="76"/>
        <v>0</v>
      </c>
      <c r="AU224" s="14">
        <f t="shared" si="70"/>
        <v>0</v>
      </c>
    </row>
    <row r="225" spans="1:47" x14ac:dyDescent="0.2">
      <c r="A225" s="8"/>
      <c r="B225" s="3" t="s">
        <v>231</v>
      </c>
      <c r="C225" s="14">
        <v>0</v>
      </c>
      <c r="E225" s="14">
        <v>0</v>
      </c>
      <c r="G225" s="14">
        <v>0</v>
      </c>
      <c r="I225" s="14">
        <v>0</v>
      </c>
      <c r="K225" s="14">
        <v>0</v>
      </c>
      <c r="M225" s="14">
        <v>0</v>
      </c>
      <c r="O225" s="14">
        <v>0</v>
      </c>
      <c r="Q225" s="14">
        <v>0</v>
      </c>
      <c r="S225" s="14">
        <v>0</v>
      </c>
      <c r="U225" s="14">
        <v>0</v>
      </c>
      <c r="W225" s="14">
        <v>0</v>
      </c>
      <c r="Y225" s="14">
        <v>0</v>
      </c>
      <c r="AA225" s="14">
        <v>0</v>
      </c>
      <c r="AC225" s="14">
        <v>0</v>
      </c>
      <c r="AE225" s="14">
        <v>0</v>
      </c>
      <c r="AF225" s="14">
        <v>0</v>
      </c>
      <c r="AG225" s="14">
        <v>0</v>
      </c>
      <c r="AI225" s="17">
        <f t="shared" si="71"/>
        <v>0</v>
      </c>
      <c r="AK225" s="14">
        <f t="shared" si="72"/>
        <v>0</v>
      </c>
      <c r="AM225" s="14">
        <f t="shared" si="73"/>
        <v>0</v>
      </c>
      <c r="AO225" s="14">
        <f t="shared" si="74"/>
        <v>0</v>
      </c>
      <c r="AQ225" s="14">
        <f t="shared" si="75"/>
        <v>0</v>
      </c>
      <c r="AS225" s="14">
        <f t="shared" si="76"/>
        <v>0</v>
      </c>
      <c r="AU225" s="14">
        <f t="shared" si="70"/>
        <v>0</v>
      </c>
    </row>
    <row r="226" spans="1:47" x14ac:dyDescent="0.2">
      <c r="A226" s="8"/>
      <c r="B226" s="3" t="s">
        <v>232</v>
      </c>
      <c r="C226" s="14">
        <v>0</v>
      </c>
      <c r="E226" s="14">
        <v>0</v>
      </c>
      <c r="G226" s="14">
        <v>0</v>
      </c>
      <c r="I226" s="14">
        <v>0</v>
      </c>
      <c r="K226" s="14">
        <v>0</v>
      </c>
      <c r="M226" s="14">
        <v>0</v>
      </c>
      <c r="O226" s="14">
        <v>0</v>
      </c>
      <c r="Q226" s="14">
        <v>0</v>
      </c>
      <c r="S226" s="14">
        <v>0</v>
      </c>
      <c r="U226" s="14">
        <v>0</v>
      </c>
      <c r="W226" s="14">
        <v>0</v>
      </c>
      <c r="Y226" s="14">
        <v>0</v>
      </c>
      <c r="AA226" s="14">
        <v>0</v>
      </c>
      <c r="AC226" s="14">
        <v>0</v>
      </c>
      <c r="AE226" s="14">
        <v>0</v>
      </c>
      <c r="AF226" s="14">
        <v>0</v>
      </c>
      <c r="AG226" s="14">
        <v>0</v>
      </c>
      <c r="AI226" s="17">
        <f t="shared" si="71"/>
        <v>0</v>
      </c>
      <c r="AK226" s="14">
        <f t="shared" si="72"/>
        <v>0</v>
      </c>
      <c r="AM226" s="14">
        <f t="shared" si="73"/>
        <v>0</v>
      </c>
      <c r="AO226" s="14">
        <f t="shared" si="74"/>
        <v>0</v>
      </c>
      <c r="AQ226" s="14">
        <f t="shared" si="75"/>
        <v>0</v>
      </c>
      <c r="AS226" s="14">
        <f t="shared" si="76"/>
        <v>0</v>
      </c>
      <c r="AU226" s="14">
        <f t="shared" si="70"/>
        <v>0</v>
      </c>
    </row>
    <row r="227" spans="1:47" x14ac:dyDescent="0.2">
      <c r="A227" s="8"/>
      <c r="B227" s="3" t="s">
        <v>233</v>
      </c>
      <c r="C227" s="14">
        <v>0</v>
      </c>
      <c r="E227" s="14">
        <v>0</v>
      </c>
      <c r="G227" s="14">
        <v>0</v>
      </c>
      <c r="I227" s="14">
        <v>0</v>
      </c>
      <c r="K227" s="14">
        <v>0</v>
      </c>
      <c r="M227" s="14">
        <v>0</v>
      </c>
      <c r="O227" s="14">
        <v>0</v>
      </c>
      <c r="Q227" s="14">
        <v>0</v>
      </c>
      <c r="S227" s="14">
        <v>0</v>
      </c>
      <c r="U227" s="14">
        <v>0</v>
      </c>
      <c r="W227" s="14">
        <v>0</v>
      </c>
      <c r="Y227" s="14">
        <v>0</v>
      </c>
      <c r="AA227" s="14">
        <v>0</v>
      </c>
      <c r="AC227" s="14">
        <v>0</v>
      </c>
      <c r="AE227" s="14">
        <v>0</v>
      </c>
      <c r="AF227" s="14">
        <v>0</v>
      </c>
      <c r="AG227" s="14">
        <v>0</v>
      </c>
      <c r="AI227" s="17">
        <f t="shared" si="71"/>
        <v>0</v>
      </c>
      <c r="AK227" s="14">
        <f t="shared" si="72"/>
        <v>0</v>
      </c>
      <c r="AM227" s="14">
        <f t="shared" si="73"/>
        <v>0</v>
      </c>
      <c r="AO227" s="14">
        <f t="shared" si="74"/>
        <v>0</v>
      </c>
      <c r="AQ227" s="14">
        <f t="shared" si="75"/>
        <v>0</v>
      </c>
      <c r="AS227" s="14">
        <f t="shared" si="76"/>
        <v>0</v>
      </c>
      <c r="AU227" s="14">
        <f t="shared" si="70"/>
        <v>0</v>
      </c>
    </row>
    <row r="228" spans="1:47" x14ac:dyDescent="0.2">
      <c r="A228" s="8"/>
      <c r="B228" s="3" t="s">
        <v>234</v>
      </c>
      <c r="C228" s="14">
        <v>0</v>
      </c>
      <c r="E228" s="14">
        <v>0</v>
      </c>
      <c r="G228" s="14">
        <v>0</v>
      </c>
      <c r="I228" s="14">
        <v>0</v>
      </c>
      <c r="K228" s="14">
        <v>0</v>
      </c>
      <c r="M228" s="14">
        <v>0</v>
      </c>
      <c r="O228" s="14">
        <v>0</v>
      </c>
      <c r="Q228" s="14">
        <v>0</v>
      </c>
      <c r="S228" s="14">
        <v>0</v>
      </c>
      <c r="U228" s="14">
        <v>0</v>
      </c>
      <c r="W228" s="14">
        <v>0</v>
      </c>
      <c r="Y228" s="14">
        <v>0</v>
      </c>
      <c r="AA228" s="14">
        <v>0</v>
      </c>
      <c r="AC228" s="14">
        <v>0</v>
      </c>
      <c r="AE228" s="14">
        <v>0</v>
      </c>
      <c r="AF228" s="14">
        <v>0</v>
      </c>
      <c r="AG228" s="14">
        <v>0</v>
      </c>
      <c r="AI228" s="17">
        <f t="shared" si="71"/>
        <v>0</v>
      </c>
      <c r="AK228" s="14">
        <f t="shared" si="72"/>
        <v>0</v>
      </c>
      <c r="AM228" s="14">
        <f t="shared" si="73"/>
        <v>0</v>
      </c>
      <c r="AO228" s="14">
        <f t="shared" si="74"/>
        <v>0</v>
      </c>
      <c r="AQ228" s="14">
        <f t="shared" si="75"/>
        <v>0</v>
      </c>
      <c r="AS228" s="14">
        <f t="shared" si="76"/>
        <v>0</v>
      </c>
      <c r="AU228" s="14">
        <f t="shared" si="70"/>
        <v>0</v>
      </c>
    </row>
    <row r="229" spans="1:47" x14ac:dyDescent="0.2">
      <c r="A229" s="8"/>
      <c r="B229" s="3" t="s">
        <v>235</v>
      </c>
      <c r="C229" s="14">
        <v>0</v>
      </c>
      <c r="E229" s="14">
        <v>0</v>
      </c>
      <c r="G229" s="14">
        <v>0</v>
      </c>
      <c r="I229" s="14">
        <v>0</v>
      </c>
      <c r="K229" s="14">
        <v>0</v>
      </c>
      <c r="M229" s="14">
        <v>0</v>
      </c>
      <c r="O229" s="14">
        <v>0</v>
      </c>
      <c r="Q229" s="14">
        <v>0</v>
      </c>
      <c r="S229" s="14">
        <v>0</v>
      </c>
      <c r="U229" s="14">
        <v>0</v>
      </c>
      <c r="W229" s="14">
        <v>0</v>
      </c>
      <c r="Y229" s="14">
        <v>0</v>
      </c>
      <c r="AA229" s="14">
        <v>0</v>
      </c>
      <c r="AC229" s="14">
        <v>0</v>
      </c>
      <c r="AE229" s="14">
        <v>0</v>
      </c>
      <c r="AF229" s="14">
        <v>0</v>
      </c>
      <c r="AG229" s="14">
        <v>0</v>
      </c>
      <c r="AI229" s="17">
        <f t="shared" si="71"/>
        <v>0</v>
      </c>
      <c r="AK229" s="14">
        <f t="shared" si="72"/>
        <v>0</v>
      </c>
      <c r="AM229" s="14">
        <f t="shared" si="73"/>
        <v>0</v>
      </c>
      <c r="AO229" s="14">
        <f t="shared" si="74"/>
        <v>0</v>
      </c>
      <c r="AQ229" s="14">
        <f t="shared" si="75"/>
        <v>0</v>
      </c>
      <c r="AS229" s="14">
        <f t="shared" si="76"/>
        <v>0</v>
      </c>
      <c r="AU229" s="14">
        <f t="shared" si="70"/>
        <v>0</v>
      </c>
    </row>
    <row r="230" spans="1:47" x14ac:dyDescent="0.2">
      <c r="A230" s="8"/>
      <c r="B230" s="3" t="s">
        <v>236</v>
      </c>
      <c r="C230" s="14">
        <v>0</v>
      </c>
      <c r="E230" s="14">
        <v>0</v>
      </c>
      <c r="G230" s="14">
        <v>0</v>
      </c>
      <c r="I230" s="14">
        <v>0</v>
      </c>
      <c r="K230" s="14">
        <v>0</v>
      </c>
      <c r="M230" s="14">
        <v>0</v>
      </c>
      <c r="O230" s="14">
        <v>0</v>
      </c>
      <c r="Q230" s="14">
        <v>0</v>
      </c>
      <c r="S230" s="14">
        <v>0</v>
      </c>
      <c r="U230" s="14">
        <v>0</v>
      </c>
      <c r="W230" s="14">
        <v>0</v>
      </c>
      <c r="Y230" s="14">
        <v>0</v>
      </c>
      <c r="AA230" s="14">
        <v>0</v>
      </c>
      <c r="AC230" s="14">
        <v>0</v>
      </c>
      <c r="AE230" s="14">
        <v>0</v>
      </c>
      <c r="AF230" s="14">
        <v>0</v>
      </c>
      <c r="AG230" s="14">
        <v>0</v>
      </c>
      <c r="AI230" s="17">
        <f t="shared" si="71"/>
        <v>0</v>
      </c>
      <c r="AK230" s="14">
        <f t="shared" si="72"/>
        <v>0</v>
      </c>
      <c r="AM230" s="14">
        <f t="shared" si="73"/>
        <v>0</v>
      </c>
      <c r="AO230" s="14">
        <f t="shared" si="74"/>
        <v>0</v>
      </c>
      <c r="AQ230" s="14">
        <f t="shared" si="75"/>
        <v>0</v>
      </c>
      <c r="AS230" s="14">
        <f t="shared" si="76"/>
        <v>0</v>
      </c>
      <c r="AU230" s="14">
        <f t="shared" si="70"/>
        <v>0</v>
      </c>
    </row>
    <row r="231" spans="1:47" x14ac:dyDescent="0.2">
      <c r="A231" s="8"/>
      <c r="B231" s="3" t="s">
        <v>237</v>
      </c>
      <c r="C231" s="14">
        <v>0</v>
      </c>
      <c r="E231" s="14">
        <v>0</v>
      </c>
      <c r="G231" s="14">
        <v>0</v>
      </c>
      <c r="I231" s="14">
        <v>0</v>
      </c>
      <c r="K231" s="14">
        <v>0</v>
      </c>
      <c r="M231" s="14">
        <v>0</v>
      </c>
      <c r="O231" s="14">
        <v>0</v>
      </c>
      <c r="Q231" s="14">
        <v>0</v>
      </c>
      <c r="S231" s="14">
        <v>0</v>
      </c>
      <c r="U231" s="14">
        <v>0</v>
      </c>
      <c r="W231" s="14">
        <v>0</v>
      </c>
      <c r="Y231" s="14">
        <v>0</v>
      </c>
      <c r="AA231" s="14">
        <v>0</v>
      </c>
      <c r="AC231" s="14">
        <v>0</v>
      </c>
      <c r="AE231" s="14">
        <v>0</v>
      </c>
      <c r="AF231" s="14">
        <v>0</v>
      </c>
      <c r="AG231" s="14">
        <v>0</v>
      </c>
      <c r="AI231" s="17">
        <f t="shared" si="71"/>
        <v>0</v>
      </c>
      <c r="AK231" s="14">
        <f t="shared" si="72"/>
        <v>0</v>
      </c>
      <c r="AM231" s="14">
        <f t="shared" si="73"/>
        <v>0</v>
      </c>
      <c r="AO231" s="14">
        <f t="shared" si="74"/>
        <v>0</v>
      </c>
      <c r="AQ231" s="14">
        <f t="shared" si="75"/>
        <v>0</v>
      </c>
      <c r="AS231" s="14">
        <f t="shared" si="76"/>
        <v>0</v>
      </c>
      <c r="AU231" s="14">
        <f t="shared" si="70"/>
        <v>0</v>
      </c>
    </row>
    <row r="232" spans="1:47" x14ac:dyDescent="0.2">
      <c r="A232" s="8"/>
      <c r="B232" s="3" t="s">
        <v>238</v>
      </c>
      <c r="C232" s="14">
        <v>0</v>
      </c>
      <c r="E232" s="14">
        <v>0</v>
      </c>
      <c r="G232" s="14">
        <v>0</v>
      </c>
      <c r="I232" s="14">
        <v>0</v>
      </c>
      <c r="K232" s="14">
        <v>0</v>
      </c>
      <c r="M232" s="14">
        <v>0</v>
      </c>
      <c r="O232" s="14">
        <v>0</v>
      </c>
      <c r="Q232" s="14">
        <v>0</v>
      </c>
      <c r="S232" s="14">
        <v>0</v>
      </c>
      <c r="U232" s="14">
        <v>0</v>
      </c>
      <c r="W232" s="14">
        <v>0</v>
      </c>
      <c r="Y232" s="14">
        <v>0</v>
      </c>
      <c r="AA232" s="14">
        <v>0</v>
      </c>
      <c r="AC232" s="14">
        <v>0</v>
      </c>
      <c r="AE232" s="14">
        <v>0</v>
      </c>
      <c r="AF232" s="14">
        <v>0</v>
      </c>
      <c r="AG232" s="14">
        <v>0</v>
      </c>
      <c r="AI232" s="17">
        <f t="shared" si="71"/>
        <v>0</v>
      </c>
      <c r="AK232" s="14">
        <f t="shared" si="72"/>
        <v>0</v>
      </c>
      <c r="AM232" s="14">
        <f t="shared" si="73"/>
        <v>0</v>
      </c>
      <c r="AO232" s="14">
        <f t="shared" si="74"/>
        <v>0</v>
      </c>
      <c r="AQ232" s="14">
        <f t="shared" si="75"/>
        <v>0</v>
      </c>
      <c r="AS232" s="14">
        <f t="shared" si="76"/>
        <v>0</v>
      </c>
      <c r="AU232" s="14">
        <f t="shared" si="70"/>
        <v>0</v>
      </c>
    </row>
    <row r="233" spans="1:47" x14ac:dyDescent="0.2">
      <c r="A233" s="8"/>
      <c r="B233" s="3" t="s">
        <v>239</v>
      </c>
      <c r="C233" s="14">
        <v>0</v>
      </c>
      <c r="E233" s="14">
        <v>0</v>
      </c>
      <c r="G233" s="14">
        <v>0</v>
      </c>
      <c r="I233" s="14">
        <v>0</v>
      </c>
      <c r="K233" s="14">
        <v>0</v>
      </c>
      <c r="M233" s="14">
        <v>0</v>
      </c>
      <c r="O233" s="14">
        <v>0</v>
      </c>
      <c r="Q233" s="14">
        <v>0</v>
      </c>
      <c r="S233" s="14">
        <v>0</v>
      </c>
      <c r="U233" s="14">
        <v>0</v>
      </c>
      <c r="W233" s="14">
        <v>0</v>
      </c>
      <c r="Y233" s="14">
        <v>0</v>
      </c>
      <c r="AA233" s="14">
        <v>0</v>
      </c>
      <c r="AC233" s="14">
        <v>0</v>
      </c>
      <c r="AE233" s="14">
        <v>0</v>
      </c>
      <c r="AF233" s="14">
        <v>0</v>
      </c>
      <c r="AG233" s="14">
        <v>0</v>
      </c>
      <c r="AI233" s="17">
        <f t="shared" si="71"/>
        <v>0</v>
      </c>
      <c r="AK233" s="14">
        <f t="shared" si="72"/>
        <v>0</v>
      </c>
      <c r="AM233" s="14">
        <f t="shared" si="73"/>
        <v>0</v>
      </c>
      <c r="AO233" s="14">
        <f t="shared" si="74"/>
        <v>0</v>
      </c>
      <c r="AQ233" s="14">
        <f t="shared" si="75"/>
        <v>0</v>
      </c>
      <c r="AS233" s="14">
        <f t="shared" si="76"/>
        <v>0</v>
      </c>
      <c r="AU233" s="14">
        <f t="shared" si="70"/>
        <v>0</v>
      </c>
    </row>
    <row r="234" spans="1:47" x14ac:dyDescent="0.2">
      <c r="A234" s="8"/>
      <c r="B234" s="3" t="s">
        <v>240</v>
      </c>
      <c r="C234" s="14">
        <v>0</v>
      </c>
      <c r="E234" s="14">
        <v>0</v>
      </c>
      <c r="G234" s="14">
        <v>0</v>
      </c>
      <c r="I234" s="14">
        <v>0</v>
      </c>
      <c r="K234" s="14">
        <v>0</v>
      </c>
      <c r="M234" s="14">
        <v>0</v>
      </c>
      <c r="O234" s="14">
        <v>0</v>
      </c>
      <c r="Q234" s="14">
        <v>0</v>
      </c>
      <c r="S234" s="14">
        <v>0</v>
      </c>
      <c r="U234" s="14">
        <v>0</v>
      </c>
      <c r="W234" s="14">
        <v>0</v>
      </c>
      <c r="Y234" s="14">
        <v>0</v>
      </c>
      <c r="AA234" s="14">
        <v>0</v>
      </c>
      <c r="AC234" s="14">
        <v>0</v>
      </c>
      <c r="AE234" s="14">
        <v>0</v>
      </c>
      <c r="AF234" s="14">
        <v>0</v>
      </c>
      <c r="AG234" s="14">
        <v>0</v>
      </c>
      <c r="AI234" s="16">
        <f t="shared" si="71"/>
        <v>0</v>
      </c>
      <c r="AK234" s="14">
        <f t="shared" si="72"/>
        <v>0</v>
      </c>
      <c r="AM234" s="14">
        <f t="shared" si="73"/>
        <v>0</v>
      </c>
      <c r="AO234" s="14">
        <f t="shared" si="74"/>
        <v>0</v>
      </c>
      <c r="AQ234" s="14">
        <f t="shared" si="75"/>
        <v>0</v>
      </c>
      <c r="AS234" s="14">
        <f t="shared" si="76"/>
        <v>0</v>
      </c>
      <c r="AU234" s="14">
        <f t="shared" si="70"/>
        <v>0</v>
      </c>
    </row>
    <row r="235" spans="1:47" x14ac:dyDescent="0.2">
      <c r="A235" s="8"/>
      <c r="B235" s="12" t="s">
        <v>250</v>
      </c>
      <c r="C235" s="18">
        <f>SUM(C221:C234)</f>
        <v>0</v>
      </c>
      <c r="E235" s="18">
        <f>SUM(E221:E234)</f>
        <v>0</v>
      </c>
      <c r="G235" s="18">
        <f>SUM(G221:G234)</f>
        <v>0</v>
      </c>
      <c r="I235" s="18">
        <f>SUM(I221:I234)</f>
        <v>0</v>
      </c>
      <c r="K235" s="18">
        <f>SUM(K221:K234)</f>
        <v>0</v>
      </c>
      <c r="M235" s="18">
        <f>SUM(M221:M234)</f>
        <v>0</v>
      </c>
      <c r="O235" s="18">
        <f>SUM(O221:O234)</f>
        <v>0</v>
      </c>
      <c r="Q235" s="18">
        <f>SUM(Q221:Q234)</f>
        <v>0</v>
      </c>
      <c r="S235" s="18">
        <f>SUM(S221:S234)</f>
        <v>0</v>
      </c>
      <c r="U235" s="18">
        <f>SUM(U221:U234)</f>
        <v>0</v>
      </c>
      <c r="W235" s="18">
        <f>SUM(W221:W234)</f>
        <v>0</v>
      </c>
      <c r="Y235" s="18">
        <f>SUM(Y221:Y234)</f>
        <v>0</v>
      </c>
      <c r="AA235" s="18">
        <f>SUM(AA221:AA234)</f>
        <v>0</v>
      </c>
      <c r="AC235" s="18">
        <f>SUM(AC221:AC234)</f>
        <v>0</v>
      </c>
      <c r="AE235" s="18">
        <f>SUM(AE221:AE234)</f>
        <v>0</v>
      </c>
      <c r="AF235" s="18">
        <f>SUM(AF221:AF234)</f>
        <v>0</v>
      </c>
      <c r="AG235" s="18">
        <f>SUM(AG221:AG234)</f>
        <v>0</v>
      </c>
      <c r="AI235" s="18">
        <f>SUM(AI221:AI234)</f>
        <v>0</v>
      </c>
      <c r="AK235" s="18">
        <f>SUM(AK221:AK234)</f>
        <v>0</v>
      </c>
      <c r="AM235" s="18">
        <f>SUM(AM221:AM234)</f>
        <v>0</v>
      </c>
      <c r="AO235" s="18">
        <f>SUM(AO221:AO234)</f>
        <v>0</v>
      </c>
      <c r="AQ235" s="18">
        <f>SUM(AQ221:AQ234)</f>
        <v>0</v>
      </c>
      <c r="AS235" s="18">
        <f>SUM(AS221:AS234)</f>
        <v>0</v>
      </c>
      <c r="AU235" s="18">
        <f t="shared" si="70"/>
        <v>0</v>
      </c>
    </row>
    <row r="236" spans="1:47" x14ac:dyDescent="0.2">
      <c r="A236" s="8"/>
      <c r="B236" s="12"/>
      <c r="C236" s="16"/>
      <c r="E236" s="16"/>
      <c r="G236" s="16"/>
      <c r="I236" s="16"/>
      <c r="K236" s="16"/>
      <c r="M236" s="16"/>
      <c r="O236" s="16"/>
      <c r="Q236" s="16"/>
      <c r="S236" s="16"/>
      <c r="U236" s="16"/>
      <c r="W236" s="16"/>
      <c r="Y236" s="16"/>
      <c r="AA236" s="16"/>
      <c r="AC236" s="16"/>
      <c r="AE236" s="16"/>
      <c r="AF236" s="16"/>
      <c r="AG236" s="16"/>
      <c r="AI236" s="16"/>
      <c r="AK236" s="16"/>
      <c r="AM236" s="16"/>
      <c r="AO236" s="16"/>
      <c r="AQ236" s="16"/>
      <c r="AS236" s="16"/>
      <c r="AU236" s="16">
        <f t="shared" si="70"/>
        <v>0</v>
      </c>
    </row>
    <row r="237" spans="1:47" x14ac:dyDescent="0.2">
      <c r="A237" s="8"/>
      <c r="C237" s="17"/>
      <c r="D237" s="14"/>
      <c r="E237" s="17"/>
      <c r="F237" s="14"/>
      <c r="G237" s="17"/>
      <c r="H237" s="14"/>
      <c r="I237" s="17"/>
      <c r="J237" s="14"/>
      <c r="K237" s="17"/>
      <c r="L237" s="14"/>
      <c r="M237" s="17"/>
      <c r="N237" s="14"/>
      <c r="O237" s="17"/>
      <c r="P237" s="14"/>
      <c r="Q237" s="17"/>
      <c r="R237" s="14"/>
      <c r="S237" s="17"/>
      <c r="T237" s="14"/>
      <c r="U237" s="17"/>
      <c r="V237" s="14"/>
      <c r="W237" s="17"/>
      <c r="X237" s="14"/>
      <c r="Y237" s="17"/>
      <c r="Z237" s="14"/>
      <c r="AA237" s="17"/>
      <c r="AB237" s="14"/>
      <c r="AC237" s="17"/>
      <c r="AD237" s="14"/>
      <c r="AE237" s="17"/>
      <c r="AF237" s="17"/>
      <c r="AG237" s="17"/>
      <c r="AH237" s="14"/>
      <c r="AI237" s="17"/>
      <c r="AJ237" s="4"/>
      <c r="AK237" s="17"/>
      <c r="AL237" s="14"/>
      <c r="AM237" s="17"/>
      <c r="AN237" s="14"/>
      <c r="AO237" s="17"/>
      <c r="AP237" s="14"/>
      <c r="AQ237" s="17"/>
      <c r="AR237" s="14"/>
      <c r="AS237" s="17"/>
      <c r="AT237" s="14"/>
      <c r="AU237" s="17">
        <f t="shared" si="70"/>
        <v>0</v>
      </c>
    </row>
    <row r="238" spans="1:47" x14ac:dyDescent="0.2">
      <c r="A238" s="8"/>
      <c r="B238" s="12" t="s">
        <v>26</v>
      </c>
      <c r="C238" s="16">
        <f>+C152+C172+C183+C190+C204+C218+C235</f>
        <v>0</v>
      </c>
      <c r="D238" s="14"/>
      <c r="E238" s="16">
        <f>+E152+E172+E183+E190+E204+E218+E235</f>
        <v>0</v>
      </c>
      <c r="F238" s="14"/>
      <c r="G238" s="16">
        <f>+G152+G172+G183+G190+G204+G218+G235</f>
        <v>0</v>
      </c>
      <c r="H238" s="14"/>
      <c r="I238" s="16">
        <f>+I152+I172+I183+I190+I204+I218+I235</f>
        <v>0</v>
      </c>
      <c r="J238" s="14"/>
      <c r="K238" s="16">
        <f>+K152+K172+K183+K190+K204+K218+K235</f>
        <v>0</v>
      </c>
      <c r="L238" s="14"/>
      <c r="M238" s="16">
        <f>+M152+M172+M183+M190+M204+M218+M235</f>
        <v>0</v>
      </c>
      <c r="N238" s="14"/>
      <c r="O238" s="16">
        <f>+O152+O172+O183+O190+O204+O218+O235</f>
        <v>0</v>
      </c>
      <c r="P238" s="14"/>
      <c r="Q238" s="16">
        <f>+Q152+Q172+Q183+Q190+Q204+Q218+Q235</f>
        <v>0</v>
      </c>
      <c r="R238" s="14"/>
      <c r="S238" s="16">
        <f>+S152+S172+S183+S190+S204+S218+S235</f>
        <v>0</v>
      </c>
      <c r="T238" s="14"/>
      <c r="U238" s="16">
        <f>+U152+U172+U183+U190+U204+U218+U235</f>
        <v>0</v>
      </c>
      <c r="V238" s="14"/>
      <c r="W238" s="16">
        <f>+W152+W172+W183+W190+W204+W218+W235</f>
        <v>0</v>
      </c>
      <c r="X238" s="14"/>
      <c r="Y238" s="16">
        <f>+Y152+Y172+Y183+Y190+Y204+Y218+Y235</f>
        <v>0</v>
      </c>
      <c r="Z238" s="14"/>
      <c r="AA238" s="16">
        <f>+AA152+AA172+AA183+AA190+AA204+AA218+AA235</f>
        <v>0</v>
      </c>
      <c r="AB238" s="14"/>
      <c r="AC238" s="16">
        <f>+AC152+AC172+AC183+AC190+AC204+AC218+AC235</f>
        <v>0</v>
      </c>
      <c r="AD238" s="14"/>
      <c r="AE238" s="16">
        <f>+AE152+AE172+AE183+AE190+AE204+AE218+AE235</f>
        <v>0</v>
      </c>
      <c r="AF238" s="16">
        <f>+AF152+AF172+AF183+AF190+AF204+AF218+AF235</f>
        <v>0</v>
      </c>
      <c r="AG238" s="16">
        <f>+AG152+AG172+AG183+AG190+AG204+AG218+AG235</f>
        <v>0</v>
      </c>
      <c r="AH238" s="14"/>
      <c r="AI238" s="16">
        <f>+AI152+AI172+AI183+AI190+AI204+AI218+AI235</f>
        <v>0</v>
      </c>
      <c r="AJ238" s="4"/>
      <c r="AK238" s="16">
        <f>+AK152+AK172+AK183+AK190+AK204+AK218+AK235</f>
        <v>0</v>
      </c>
      <c r="AL238" s="14"/>
      <c r="AM238" s="16">
        <f>+AM152+AM172+AM183+AM190+AM204+AM218+AM235</f>
        <v>0</v>
      </c>
      <c r="AN238" s="14"/>
      <c r="AO238" s="16">
        <f>+AO152+AO172+AO183+AO190+AO204+AO218+AO235</f>
        <v>0</v>
      </c>
      <c r="AP238" s="14"/>
      <c r="AQ238" s="16">
        <f>+AQ152+AQ172+AQ183+AQ190+AQ204+AQ218+AQ235</f>
        <v>0</v>
      </c>
      <c r="AR238" s="14"/>
      <c r="AS238" s="16">
        <f>+AS152+AS172+AS183+AS190+AS204+AS218+AS235</f>
        <v>0</v>
      </c>
      <c r="AT238" s="14"/>
      <c r="AU238" s="16">
        <f t="shared" si="70"/>
        <v>0</v>
      </c>
    </row>
    <row r="239" spans="1:47" x14ac:dyDescent="0.2">
      <c r="A239" s="8"/>
      <c r="B239" s="12"/>
      <c r="C239" s="17"/>
      <c r="D239" s="14"/>
      <c r="E239" s="17"/>
      <c r="F239" s="14"/>
      <c r="G239" s="17"/>
      <c r="H239" s="14"/>
      <c r="I239" s="17"/>
      <c r="J239" s="14"/>
      <c r="K239" s="17"/>
      <c r="L239" s="14"/>
      <c r="M239" s="17"/>
      <c r="N239" s="14"/>
      <c r="O239" s="17"/>
      <c r="P239" s="14"/>
      <c r="Q239" s="17"/>
      <c r="R239" s="14"/>
      <c r="S239" s="17"/>
      <c r="T239" s="14"/>
      <c r="U239" s="17"/>
      <c r="V239" s="14"/>
      <c r="W239" s="17"/>
      <c r="X239" s="14"/>
      <c r="Y239" s="17"/>
      <c r="Z239" s="14"/>
      <c r="AA239" s="17"/>
      <c r="AB239" s="14"/>
      <c r="AC239" s="17"/>
      <c r="AD239" s="14"/>
      <c r="AE239" s="17"/>
      <c r="AF239" s="17"/>
      <c r="AG239" s="17"/>
      <c r="AH239" s="14"/>
      <c r="AI239" s="17"/>
      <c r="AJ239" s="4"/>
      <c r="AK239" s="17"/>
      <c r="AL239" s="14"/>
      <c r="AM239" s="17"/>
      <c r="AN239" s="14"/>
      <c r="AO239" s="17"/>
      <c r="AP239" s="14"/>
      <c r="AQ239" s="17"/>
      <c r="AR239" s="14"/>
      <c r="AS239" s="17"/>
      <c r="AT239" s="14"/>
      <c r="AU239" s="17"/>
    </row>
    <row r="240" spans="1:47" x14ac:dyDescent="0.2">
      <c r="A240" s="8">
        <v>107</v>
      </c>
      <c r="B240" s="12" t="s">
        <v>31</v>
      </c>
      <c r="D240" s="14"/>
      <c r="F240" s="14"/>
      <c r="H240" s="14"/>
      <c r="J240" s="14"/>
      <c r="L240" s="14"/>
      <c r="N240" s="14"/>
      <c r="P240" s="14"/>
      <c r="R240" s="14"/>
      <c r="T240" s="14"/>
      <c r="V240" s="14"/>
      <c r="X240" s="14"/>
      <c r="Z240" s="14"/>
      <c r="AB240" s="14"/>
      <c r="AD240" s="14"/>
      <c r="AH240" s="14"/>
      <c r="AJ240" s="14"/>
      <c r="AL240" s="14"/>
      <c r="AN240" s="14"/>
      <c r="AP240" s="14"/>
      <c r="AR240" s="14"/>
      <c r="AT240" s="14"/>
    </row>
    <row r="241" spans="1:47" x14ac:dyDescent="0.2">
      <c r="A241" s="8"/>
      <c r="B241" s="12" t="s">
        <v>11</v>
      </c>
      <c r="D241" s="14"/>
      <c r="F241" s="14"/>
      <c r="H241" s="14"/>
      <c r="J241" s="14"/>
      <c r="L241" s="14"/>
      <c r="N241" s="14"/>
      <c r="P241" s="14"/>
      <c r="R241" s="14"/>
      <c r="T241" s="14"/>
      <c r="V241" s="14"/>
      <c r="X241" s="14"/>
      <c r="Z241" s="14"/>
      <c r="AB241" s="14"/>
      <c r="AD241" s="14"/>
      <c r="AH241" s="14"/>
      <c r="AJ241" s="14"/>
      <c r="AL241" s="14"/>
      <c r="AN241" s="14"/>
      <c r="AP241" s="14"/>
      <c r="AR241" s="14"/>
      <c r="AT241" s="14"/>
    </row>
    <row r="242" spans="1:47" x14ac:dyDescent="0.2">
      <c r="A242" s="8"/>
      <c r="B242" s="43" t="s">
        <v>11</v>
      </c>
      <c r="C242" s="16">
        <v>0</v>
      </c>
      <c r="D242" s="14"/>
      <c r="E242" s="16">
        <v>0</v>
      </c>
      <c r="F242" s="14"/>
      <c r="G242" s="16">
        <v>0</v>
      </c>
      <c r="H242" s="14"/>
      <c r="I242" s="16">
        <v>0</v>
      </c>
      <c r="J242" s="14"/>
      <c r="K242" s="16">
        <v>0</v>
      </c>
      <c r="L242" s="14"/>
      <c r="M242" s="16">
        <v>0</v>
      </c>
      <c r="N242" s="14"/>
      <c r="O242" s="16">
        <v>0</v>
      </c>
      <c r="P242" s="14"/>
      <c r="Q242" s="16">
        <v>0</v>
      </c>
      <c r="R242" s="14"/>
      <c r="S242" s="16">
        <v>0</v>
      </c>
      <c r="T242" s="14"/>
      <c r="U242" s="16">
        <v>0</v>
      </c>
      <c r="V242" s="14"/>
      <c r="W242" s="16">
        <v>0</v>
      </c>
      <c r="X242" s="14"/>
      <c r="Y242" s="16">
        <v>0</v>
      </c>
      <c r="Z242" s="14"/>
      <c r="AA242" s="16">
        <v>0</v>
      </c>
      <c r="AB242" s="14"/>
      <c r="AC242" s="16">
        <v>0</v>
      </c>
      <c r="AD242" s="14"/>
      <c r="AE242" s="16">
        <v>0</v>
      </c>
      <c r="AF242" s="16">
        <v>0</v>
      </c>
      <c r="AG242" s="16">
        <v>0</v>
      </c>
      <c r="AH242" s="14"/>
      <c r="AI242" s="16">
        <v>0</v>
      </c>
      <c r="AJ242" s="14"/>
      <c r="AK242" s="14">
        <f>SUMIF($C$9:$AH$9,"=Addition",$C242:$AH242)</f>
        <v>0</v>
      </c>
      <c r="AM242" s="14">
        <f>SUMIF($C$9:$AH$9,"=Adjustment",$C242:$AH242)</f>
        <v>0</v>
      </c>
      <c r="AO242" s="14">
        <f>SUMIF($C$9:$AH$9,"=Transfer",$C242:$AH242)</f>
        <v>0</v>
      </c>
      <c r="AQ242" s="14">
        <f>SUMIF($C$9:$Z$9,"=N/A",$C242:$Z242)</f>
        <v>0</v>
      </c>
      <c r="AS242" s="16">
        <f>SUM(AK242:AQ242)</f>
        <v>0</v>
      </c>
      <c r="AT242" s="14"/>
      <c r="AU242" s="16">
        <f t="shared" si="70"/>
        <v>0</v>
      </c>
    </row>
    <row r="243" spans="1:47" x14ac:dyDescent="0.2">
      <c r="A243" s="8"/>
      <c r="D243" s="14"/>
      <c r="F243" s="14"/>
      <c r="H243" s="14"/>
      <c r="J243" s="14"/>
      <c r="L243" s="14"/>
      <c r="N243" s="14"/>
      <c r="P243" s="14"/>
      <c r="R243" s="14"/>
      <c r="T243" s="14"/>
      <c r="V243" s="14"/>
      <c r="X243" s="14"/>
      <c r="Z243" s="14"/>
      <c r="AB243" s="14"/>
      <c r="AD243" s="14"/>
      <c r="AH243" s="14"/>
      <c r="AJ243" s="14"/>
      <c r="AK243" s="77"/>
      <c r="AL243" s="14"/>
      <c r="AM243" s="77"/>
      <c r="AN243" s="14"/>
      <c r="AO243" s="77"/>
      <c r="AP243" s="14"/>
      <c r="AQ243" s="77"/>
      <c r="AR243" s="14"/>
      <c r="AT243" s="14"/>
    </row>
    <row r="244" spans="1:47" x14ac:dyDescent="0.2">
      <c r="A244" s="8"/>
      <c r="B244" s="12" t="s">
        <v>32</v>
      </c>
      <c r="C244" s="16">
        <f>C242</f>
        <v>0</v>
      </c>
      <c r="D244" s="14"/>
      <c r="E244" s="16">
        <f>E242</f>
        <v>0</v>
      </c>
      <c r="F244" s="14"/>
      <c r="G244" s="16">
        <f>G242</f>
        <v>0</v>
      </c>
      <c r="H244" s="14"/>
      <c r="I244" s="16">
        <f>I242</f>
        <v>0</v>
      </c>
      <c r="J244" s="14"/>
      <c r="K244" s="16">
        <f>K242</f>
        <v>0</v>
      </c>
      <c r="L244" s="14"/>
      <c r="M244" s="16">
        <f>M242</f>
        <v>0</v>
      </c>
      <c r="N244" s="14"/>
      <c r="O244" s="16">
        <f>O242</f>
        <v>0</v>
      </c>
      <c r="P244" s="14"/>
      <c r="Q244" s="16">
        <f>Q242</f>
        <v>0</v>
      </c>
      <c r="R244" s="14"/>
      <c r="S244" s="16">
        <f>S242</f>
        <v>0</v>
      </c>
      <c r="T244" s="14"/>
      <c r="U244" s="16">
        <f>U242</f>
        <v>0</v>
      </c>
      <c r="V244" s="14"/>
      <c r="W244" s="16">
        <f>W242</f>
        <v>0</v>
      </c>
      <c r="X244" s="14"/>
      <c r="Y244" s="16">
        <f>Y242</f>
        <v>0</v>
      </c>
      <c r="Z244" s="14"/>
      <c r="AA244" s="16">
        <f>AA242</f>
        <v>0</v>
      </c>
      <c r="AB244" s="14"/>
      <c r="AC244" s="16">
        <f>AC242</f>
        <v>0</v>
      </c>
      <c r="AD244" s="14"/>
      <c r="AE244" s="16">
        <f>AE242</f>
        <v>0</v>
      </c>
      <c r="AF244" s="16">
        <f>AF242</f>
        <v>0</v>
      </c>
      <c r="AG244" s="16">
        <f>AG242</f>
        <v>0</v>
      </c>
      <c r="AH244" s="14"/>
      <c r="AI244" s="16">
        <f>AI242</f>
        <v>0</v>
      </c>
      <c r="AJ244" s="14"/>
      <c r="AK244" s="16">
        <f>AK242</f>
        <v>0</v>
      </c>
      <c r="AL244" s="14"/>
      <c r="AM244" s="16">
        <f>AM242</f>
        <v>0</v>
      </c>
      <c r="AN244" s="14"/>
      <c r="AO244" s="16">
        <f>AO242</f>
        <v>0</v>
      </c>
      <c r="AP244" s="14"/>
      <c r="AQ244" s="16">
        <f>AQ242</f>
        <v>0</v>
      </c>
      <c r="AR244" s="14"/>
      <c r="AS244" s="16">
        <f>AS242</f>
        <v>0</v>
      </c>
      <c r="AT244" s="14"/>
      <c r="AU244" s="16">
        <f t="shared" si="70"/>
        <v>0</v>
      </c>
    </row>
    <row r="245" spans="1:47" x14ac:dyDescent="0.2">
      <c r="A245" s="8"/>
      <c r="D245" s="14"/>
      <c r="F245" s="14"/>
      <c r="H245" s="14"/>
      <c r="J245" s="14"/>
      <c r="L245" s="14"/>
      <c r="N245" s="14"/>
      <c r="P245" s="14"/>
      <c r="R245" s="14"/>
      <c r="T245" s="14"/>
      <c r="V245" s="14"/>
      <c r="X245" s="14"/>
      <c r="Z245" s="14"/>
      <c r="AB245" s="14"/>
      <c r="AD245" s="14"/>
      <c r="AH245" s="14"/>
      <c r="AJ245" s="14"/>
      <c r="AL245" s="14"/>
      <c r="AN245" s="14"/>
      <c r="AP245" s="14"/>
      <c r="AR245" s="14"/>
      <c r="AT245" s="14"/>
    </row>
    <row r="246" spans="1:47" x14ac:dyDescent="0.2">
      <c r="A246" s="8">
        <v>121</v>
      </c>
      <c r="B246" s="12" t="s">
        <v>27</v>
      </c>
      <c r="D246" s="14"/>
      <c r="F246" s="14"/>
      <c r="H246" s="14"/>
      <c r="J246" s="14"/>
      <c r="L246" s="14"/>
      <c r="N246" s="14"/>
      <c r="P246" s="14"/>
      <c r="R246" s="14"/>
      <c r="T246" s="14"/>
      <c r="V246" s="14"/>
      <c r="X246" s="14"/>
      <c r="Z246" s="14"/>
      <c r="AB246" s="14"/>
      <c r="AD246" s="14"/>
      <c r="AH246" s="14"/>
      <c r="AJ246" s="14"/>
      <c r="AL246" s="14"/>
      <c r="AN246" s="14"/>
      <c r="AP246" s="14"/>
      <c r="AR246" s="14"/>
      <c r="AT246" s="14"/>
    </row>
    <row r="247" spans="1:47" x14ac:dyDescent="0.2">
      <c r="A247" s="8"/>
      <c r="B247" s="12" t="s">
        <v>28</v>
      </c>
      <c r="D247" s="14"/>
      <c r="F247" s="14"/>
      <c r="H247" s="14"/>
      <c r="J247" s="14"/>
      <c r="L247" s="14"/>
      <c r="N247" s="14"/>
      <c r="P247" s="14"/>
      <c r="R247" s="14"/>
      <c r="T247" s="14"/>
      <c r="V247" s="14"/>
      <c r="X247" s="14"/>
      <c r="Z247" s="14"/>
      <c r="AB247" s="14"/>
      <c r="AD247" s="14"/>
      <c r="AH247" s="14"/>
      <c r="AJ247" s="14"/>
      <c r="AL247" s="14"/>
      <c r="AN247" s="14"/>
      <c r="AP247" s="14"/>
      <c r="AR247" s="14"/>
      <c r="AT247" s="14"/>
    </row>
    <row r="248" spans="1:47" x14ac:dyDescent="0.2">
      <c r="A248" s="8"/>
      <c r="B248" s="3" t="s">
        <v>29</v>
      </c>
      <c r="C248" s="16">
        <v>0</v>
      </c>
      <c r="D248" s="14"/>
      <c r="E248" s="16">
        <v>0</v>
      </c>
      <c r="F248" s="14"/>
      <c r="G248" s="16">
        <v>0</v>
      </c>
      <c r="H248" s="14"/>
      <c r="I248" s="16">
        <v>0</v>
      </c>
      <c r="J248" s="14"/>
      <c r="K248" s="16">
        <v>0</v>
      </c>
      <c r="L248" s="14"/>
      <c r="M248" s="16">
        <v>0</v>
      </c>
      <c r="N248" s="14"/>
      <c r="O248" s="16">
        <v>0</v>
      </c>
      <c r="P248" s="14"/>
      <c r="Q248" s="16">
        <v>0</v>
      </c>
      <c r="R248" s="14"/>
      <c r="S248" s="16">
        <v>0</v>
      </c>
      <c r="T248" s="14"/>
      <c r="U248" s="16">
        <v>0</v>
      </c>
      <c r="V248" s="14"/>
      <c r="W248" s="16">
        <v>0</v>
      </c>
      <c r="X248" s="14"/>
      <c r="Y248" s="16">
        <v>0</v>
      </c>
      <c r="Z248" s="14"/>
      <c r="AA248" s="16">
        <v>0</v>
      </c>
      <c r="AB248" s="14"/>
      <c r="AC248" s="16">
        <v>0</v>
      </c>
      <c r="AD248" s="14"/>
      <c r="AE248" s="16">
        <v>0</v>
      </c>
      <c r="AF248" s="16">
        <v>0</v>
      </c>
      <c r="AG248" s="16">
        <v>0</v>
      </c>
      <c r="AH248" s="14"/>
      <c r="AI248" s="16">
        <f>SUM(C248:Z248)</f>
        <v>0</v>
      </c>
      <c r="AJ248" s="4"/>
      <c r="AK248" s="14">
        <f>SUMIF($C$9:$AH$9,"=Addition",$C248:$AH248)</f>
        <v>0</v>
      </c>
      <c r="AM248" s="14">
        <f>SUMIF($C$9:$AH$9,"=Adjustment",$C248:$AH248)</f>
        <v>0</v>
      </c>
      <c r="AO248" s="14">
        <f>SUMIF($C$9:$AH$9,"=Transfer",$C248:$AH248)</f>
        <v>0</v>
      </c>
      <c r="AQ248" s="14">
        <f>SUMIF($C$9:$Z$9,"=N/A",$C248:$Z248)</f>
        <v>0</v>
      </c>
      <c r="AS248" s="16">
        <f>SUM(AK248:AQ248)</f>
        <v>0</v>
      </c>
      <c r="AT248" s="14"/>
      <c r="AU248" s="16">
        <f t="shared" si="70"/>
        <v>0</v>
      </c>
    </row>
    <row r="249" spans="1:47" x14ac:dyDescent="0.2">
      <c r="A249" s="8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F249" s="14"/>
      <c r="AG249" s="14"/>
      <c r="AH249" s="14"/>
      <c r="AI249" s="14"/>
      <c r="AJ249" s="4"/>
      <c r="AK249" s="18"/>
      <c r="AL249" s="14"/>
      <c r="AM249" s="18"/>
      <c r="AN249" s="14"/>
      <c r="AO249" s="18"/>
      <c r="AP249" s="14"/>
      <c r="AQ249" s="18"/>
      <c r="AR249" s="14"/>
      <c r="AS249" s="14"/>
      <c r="AT249" s="14"/>
      <c r="AU249" s="14"/>
    </row>
    <row r="250" spans="1:47" x14ac:dyDescent="0.2">
      <c r="A250" s="8"/>
      <c r="B250" s="12" t="s">
        <v>30</v>
      </c>
      <c r="C250" s="16">
        <f>SUM(C248)</f>
        <v>0</v>
      </c>
      <c r="D250" s="14"/>
      <c r="E250" s="16">
        <f>SUM(E248)</f>
        <v>0</v>
      </c>
      <c r="F250" s="14"/>
      <c r="G250" s="16">
        <f>SUM(G248)</f>
        <v>0</v>
      </c>
      <c r="H250" s="14"/>
      <c r="I250" s="16">
        <f>SUM(I248)</f>
        <v>0</v>
      </c>
      <c r="J250" s="14"/>
      <c r="K250" s="16">
        <f>SUM(K248)</f>
        <v>0</v>
      </c>
      <c r="L250" s="14"/>
      <c r="M250" s="16">
        <f>SUM(M248)</f>
        <v>0</v>
      </c>
      <c r="N250" s="14"/>
      <c r="O250" s="16">
        <f>SUM(O248)</f>
        <v>0</v>
      </c>
      <c r="P250" s="14"/>
      <c r="Q250" s="16">
        <f>SUM(Q248)</f>
        <v>0</v>
      </c>
      <c r="R250" s="14"/>
      <c r="S250" s="16">
        <f>SUM(S248)</f>
        <v>0</v>
      </c>
      <c r="T250" s="14"/>
      <c r="U250" s="16">
        <f>SUM(U248)</f>
        <v>0</v>
      </c>
      <c r="V250" s="14"/>
      <c r="W250" s="16">
        <f>SUM(W248)</f>
        <v>0</v>
      </c>
      <c r="X250" s="14"/>
      <c r="Y250" s="16">
        <f>SUM(Y248)</f>
        <v>0</v>
      </c>
      <c r="Z250" s="14"/>
      <c r="AA250" s="16">
        <f>SUM(AA248)</f>
        <v>0</v>
      </c>
      <c r="AB250" s="14"/>
      <c r="AC250" s="16">
        <f>SUM(AC248)</f>
        <v>0</v>
      </c>
      <c r="AD250" s="14"/>
      <c r="AE250" s="16">
        <f>SUM(AE248)</f>
        <v>0</v>
      </c>
      <c r="AF250" s="16">
        <f>SUM(AF248)</f>
        <v>0</v>
      </c>
      <c r="AG250" s="16">
        <f>SUM(AG248)</f>
        <v>0</v>
      </c>
      <c r="AH250" s="14"/>
      <c r="AI250" s="16">
        <f>SUM(AI248)</f>
        <v>0</v>
      </c>
      <c r="AJ250" s="4"/>
      <c r="AK250" s="16">
        <f>SUM(AK248)</f>
        <v>0</v>
      </c>
      <c r="AL250" s="14"/>
      <c r="AM250" s="16">
        <f>SUM(AM248)</f>
        <v>0</v>
      </c>
      <c r="AN250" s="14"/>
      <c r="AO250" s="16">
        <f>SUM(AO248)</f>
        <v>0</v>
      </c>
      <c r="AP250" s="14"/>
      <c r="AQ250" s="16">
        <f>SUM(AQ248)</f>
        <v>0</v>
      </c>
      <c r="AR250" s="14"/>
      <c r="AS250" s="16">
        <f>SUM(AS248)</f>
        <v>0</v>
      </c>
      <c r="AT250" s="14"/>
      <c r="AU250" s="16">
        <f t="shared" si="70"/>
        <v>0</v>
      </c>
    </row>
    <row r="251" spans="1:47" x14ac:dyDescent="0.2">
      <c r="A251" s="8"/>
      <c r="C251" s="12"/>
      <c r="D251" s="17"/>
      <c r="E251" s="12"/>
      <c r="F251" s="17"/>
      <c r="G251" s="12"/>
      <c r="H251" s="17"/>
      <c r="I251" s="12"/>
      <c r="J251" s="17"/>
      <c r="K251" s="12"/>
      <c r="L251" s="17"/>
      <c r="M251" s="12"/>
      <c r="N251" s="17"/>
      <c r="O251" s="12"/>
      <c r="P251" s="17"/>
      <c r="Q251" s="12"/>
      <c r="R251" s="17"/>
      <c r="S251" s="12"/>
      <c r="T251" s="17"/>
      <c r="U251" s="12"/>
      <c r="V251" s="17"/>
      <c r="W251" s="12"/>
      <c r="X251" s="17"/>
      <c r="Y251" s="12"/>
      <c r="Z251" s="17"/>
      <c r="AA251" s="12"/>
      <c r="AB251" s="17"/>
      <c r="AC251" s="12"/>
      <c r="AD251" s="12"/>
      <c r="AE251" s="12"/>
      <c r="AF251" s="12"/>
      <c r="AG251" s="12"/>
      <c r="AH251" s="17"/>
      <c r="AI251" s="12"/>
      <c r="AJ251" s="17"/>
      <c r="AK251" s="14"/>
      <c r="AL251" s="17"/>
      <c r="AM251" s="14"/>
      <c r="AN251" s="17"/>
      <c r="AO251" s="14"/>
      <c r="AP251" s="17"/>
      <c r="AQ251" s="14"/>
      <c r="AR251" s="17"/>
      <c r="AS251" s="14"/>
      <c r="AT251" s="17"/>
      <c r="AU251" s="14"/>
    </row>
    <row r="252" spans="1:47" x14ac:dyDescent="0.2">
      <c r="A252" s="8"/>
      <c r="B252" s="12"/>
      <c r="C252" s="17"/>
      <c r="D252" s="14"/>
      <c r="E252" s="17"/>
      <c r="F252" s="14"/>
      <c r="G252" s="17"/>
      <c r="H252" s="14"/>
      <c r="I252" s="17"/>
      <c r="J252" s="14"/>
      <c r="K252" s="17"/>
      <c r="L252" s="14"/>
      <c r="M252" s="17"/>
      <c r="N252" s="14"/>
      <c r="O252" s="17"/>
      <c r="P252" s="14"/>
      <c r="Q252" s="17"/>
      <c r="R252" s="14"/>
      <c r="S252" s="17"/>
      <c r="T252" s="14"/>
      <c r="U252" s="17"/>
      <c r="V252" s="14"/>
      <c r="W252" s="17"/>
      <c r="X252" s="14"/>
      <c r="Y252" s="17"/>
      <c r="Z252" s="14"/>
      <c r="AA252" s="17"/>
      <c r="AB252" s="14"/>
      <c r="AC252" s="17"/>
      <c r="AD252" s="14"/>
      <c r="AE252" s="17"/>
      <c r="AF252" s="17"/>
      <c r="AG252" s="17"/>
      <c r="AH252" s="14"/>
      <c r="AI252" s="17"/>
      <c r="AJ252" s="4"/>
      <c r="AK252" s="17"/>
      <c r="AL252" s="14"/>
      <c r="AM252" s="17"/>
      <c r="AN252" s="14"/>
      <c r="AO252" s="17"/>
      <c r="AP252" s="14"/>
      <c r="AQ252" s="17"/>
      <c r="AR252" s="14"/>
      <c r="AS252" s="17"/>
      <c r="AT252" s="14"/>
      <c r="AU252" s="17"/>
    </row>
    <row r="253" spans="1:47" ht="13.5" thickBot="1" x14ac:dyDescent="0.25">
      <c r="A253" s="8"/>
      <c r="B253" s="12" t="s">
        <v>251</v>
      </c>
      <c r="C253" s="78">
        <f>C118+C132+C238+C250+C124+C244</f>
        <v>0</v>
      </c>
      <c r="D253" s="14"/>
      <c r="E253" s="78">
        <f>E118+E132+E238+E250+E124+E244</f>
        <v>0</v>
      </c>
      <c r="F253" s="14"/>
      <c r="G253" s="78">
        <f>G118+G132+G238+G250+G124+G244</f>
        <v>0</v>
      </c>
      <c r="H253" s="14"/>
      <c r="I253" s="78">
        <f>I118+I132+I238+I250+I124+I244</f>
        <v>0</v>
      </c>
      <c r="J253" s="14"/>
      <c r="K253" s="78">
        <f>K118+K132+K238+K250+K124+K244</f>
        <v>0</v>
      </c>
      <c r="L253" s="14"/>
      <c r="M253" s="78">
        <f>M118+M132+M238+M250+M124+M244</f>
        <v>0</v>
      </c>
      <c r="N253" s="14"/>
      <c r="O253" s="78">
        <f>O118+O132+O238+O250+O124+O244</f>
        <v>0</v>
      </c>
      <c r="P253" s="14"/>
      <c r="Q253" s="78">
        <f>Q118+Q132+Q238+Q250+Q124+Q244</f>
        <v>-103618.65</v>
      </c>
      <c r="R253" s="14"/>
      <c r="S253" s="78">
        <f>S118+S132+S238+S250+S124+S244</f>
        <v>-9.4587448984384537E-11</v>
      </c>
      <c r="T253" s="14"/>
      <c r="U253" s="78">
        <f>U118+U132+U238+U250+U124+U244</f>
        <v>1780993.09</v>
      </c>
      <c r="V253" s="14"/>
      <c r="W253" s="78">
        <f>W118+W132+W238+W250+W124+W244</f>
        <v>0</v>
      </c>
      <c r="X253" s="14"/>
      <c r="Y253" s="78">
        <f>Y118+Y132+Y238+Y250+Y124+Y244</f>
        <v>-1030240.43</v>
      </c>
      <c r="Z253" s="14"/>
      <c r="AA253" s="78">
        <f>AA118+AA132+AA238+AA250+AA124+AA244</f>
        <v>0</v>
      </c>
      <c r="AB253" s="14"/>
      <c r="AC253" s="78">
        <f>AC118+AC132+AC238+AC250+AC124+AC244</f>
        <v>16464681.059999999</v>
      </c>
      <c r="AD253" s="14"/>
      <c r="AE253" s="78">
        <f>AE118+AE132+AE238+AE250+AE124+AE244</f>
        <v>-3392175.3</v>
      </c>
      <c r="AF253" s="78">
        <f>AF118+AF132+AF238+AF250+AF124+AF244</f>
        <v>0</v>
      </c>
      <c r="AG253" s="78">
        <f>AG118+AG132+AG238+AG250+AG124+AG244</f>
        <v>0</v>
      </c>
      <c r="AH253" s="14"/>
      <c r="AI253" s="78">
        <f>AI118+AI132+AI238+AI250+AI124+AI244</f>
        <v>-78605890.499999985</v>
      </c>
      <c r="AJ253" s="4"/>
      <c r="AK253" s="78">
        <f>AK118+AK132+AK238+AK250+AK124+AK244</f>
        <v>18245674.149999999</v>
      </c>
      <c r="AL253" s="14"/>
      <c r="AM253" s="78">
        <f>AM118+AM132+AM238+AM250+AM124+AM244</f>
        <v>-96747946</v>
      </c>
      <c r="AN253" s="14"/>
      <c r="AO253" s="78">
        <f>AO118+AO132+AO238+AO250+AO124+AO244</f>
        <v>-103618.64999997395</v>
      </c>
      <c r="AP253" s="14"/>
      <c r="AQ253" s="78">
        <f>AQ118+AQ132+AQ238+AQ250+AQ124+AQ244</f>
        <v>0</v>
      </c>
      <c r="AR253" s="14"/>
      <c r="AS253" s="78">
        <f>AS118+AS132+AS238+AS250+AS124+AS244</f>
        <v>-78605890.499999985</v>
      </c>
      <c r="AT253" s="14"/>
      <c r="AU253" s="78">
        <f t="shared" si="70"/>
        <v>0</v>
      </c>
    </row>
    <row r="254" spans="1:47" ht="13.5" thickTop="1" x14ac:dyDescent="0.2">
      <c r="A254" s="8"/>
      <c r="B254" s="12"/>
      <c r="C254" s="17"/>
      <c r="D254" s="14"/>
      <c r="E254" s="17"/>
      <c r="F254" s="14"/>
      <c r="G254" s="17"/>
      <c r="H254" s="14"/>
      <c r="I254" s="17"/>
      <c r="J254" s="14"/>
      <c r="K254" s="17"/>
      <c r="L254" s="14"/>
      <c r="M254" s="17"/>
      <c r="N254" s="14"/>
      <c r="O254" s="17"/>
      <c r="P254" s="14"/>
      <c r="Q254" s="17"/>
      <c r="R254" s="14"/>
      <c r="S254" s="17"/>
      <c r="T254" s="14"/>
      <c r="U254" s="17"/>
      <c r="V254" s="14"/>
      <c r="W254" s="17"/>
      <c r="X254" s="14"/>
      <c r="Y254" s="17"/>
      <c r="Z254" s="14"/>
      <c r="AA254" s="17"/>
      <c r="AB254" s="14"/>
      <c r="AC254" s="17"/>
      <c r="AD254" s="14"/>
      <c r="AE254" s="17"/>
      <c r="AF254" s="17"/>
      <c r="AG254" s="17"/>
      <c r="AH254" s="14"/>
      <c r="AI254" s="17"/>
      <c r="AJ254" s="4"/>
      <c r="AK254" s="17"/>
      <c r="AL254" s="14"/>
      <c r="AM254" s="17"/>
      <c r="AN254" s="14"/>
      <c r="AO254" s="17"/>
      <c r="AP254" s="14"/>
      <c r="AQ254" s="17"/>
      <c r="AR254" s="14"/>
      <c r="AS254" s="17"/>
      <c r="AT254" s="14"/>
      <c r="AU254" s="17"/>
    </row>
    <row r="255" spans="1:47" x14ac:dyDescent="0.2">
      <c r="C255" s="25" t="s">
        <v>3</v>
      </c>
      <c r="E255" s="25" t="s">
        <v>3</v>
      </c>
      <c r="G255" s="25" t="s">
        <v>3</v>
      </c>
      <c r="I255" s="25" t="s">
        <v>3</v>
      </c>
      <c r="K255" s="25" t="s">
        <v>3</v>
      </c>
      <c r="M255" s="25" t="s">
        <v>3</v>
      </c>
      <c r="O255" s="25" t="s">
        <v>3</v>
      </c>
      <c r="Q255" s="25" t="s">
        <v>3</v>
      </c>
      <c r="S255" s="25" t="s">
        <v>3</v>
      </c>
      <c r="U255" s="25" t="s">
        <v>3</v>
      </c>
      <c r="W255" s="25" t="s">
        <v>3</v>
      </c>
      <c r="Y255" s="25" t="s">
        <v>3</v>
      </c>
      <c r="AA255" s="25" t="s">
        <v>3</v>
      </c>
      <c r="AC255" s="25" t="s">
        <v>3</v>
      </c>
      <c r="AE255" s="25" t="s">
        <v>3</v>
      </c>
      <c r="AF255" s="25" t="s">
        <v>3</v>
      </c>
      <c r="AG255" s="25" t="s">
        <v>3</v>
      </c>
      <c r="AI255" s="25" t="s">
        <v>4</v>
      </c>
      <c r="AK255" s="25"/>
      <c r="AM255" s="25"/>
      <c r="AO255" s="25"/>
      <c r="AQ255" s="25"/>
      <c r="AS255" s="25"/>
      <c r="AU255" s="25"/>
    </row>
    <row r="256" spans="1:47" x14ac:dyDescent="0.2">
      <c r="C256" s="10" t="s">
        <v>8</v>
      </c>
      <c r="E256" s="10" t="s">
        <v>8</v>
      </c>
      <c r="G256" s="10" t="s">
        <v>8</v>
      </c>
      <c r="I256" s="10" t="s">
        <v>8</v>
      </c>
      <c r="K256" s="10" t="s">
        <v>8</v>
      </c>
      <c r="M256" s="10" t="s">
        <v>8</v>
      </c>
      <c r="O256" s="10" t="s">
        <v>8</v>
      </c>
      <c r="Q256" s="10" t="s">
        <v>8</v>
      </c>
      <c r="S256" s="10" t="s">
        <v>8</v>
      </c>
      <c r="U256" s="10" t="s">
        <v>8</v>
      </c>
      <c r="W256" s="10" t="s">
        <v>8</v>
      </c>
      <c r="Y256" s="10" t="s">
        <v>8</v>
      </c>
      <c r="AA256" s="10" t="s">
        <v>8</v>
      </c>
      <c r="AC256" s="10" t="s">
        <v>8</v>
      </c>
      <c r="AE256" s="10" t="s">
        <v>8</v>
      </c>
      <c r="AF256" s="10" t="s">
        <v>8</v>
      </c>
      <c r="AG256" s="10" t="s">
        <v>8</v>
      </c>
      <c r="AI256" s="10" t="s">
        <v>5</v>
      </c>
      <c r="AK256" s="25"/>
      <c r="AM256" s="25"/>
      <c r="AO256" s="25"/>
      <c r="AQ256" s="25"/>
      <c r="AS256" s="25"/>
      <c r="AU256" s="25"/>
    </row>
    <row r="257" spans="1:47" x14ac:dyDescent="0.2">
      <c r="C257" s="11" t="s">
        <v>131</v>
      </c>
      <c r="E257" s="11"/>
      <c r="G257" s="11"/>
      <c r="I257" s="11"/>
      <c r="K257" s="11"/>
      <c r="M257" s="11"/>
      <c r="O257" s="11"/>
      <c r="Q257" s="11"/>
      <c r="S257" s="11"/>
      <c r="U257" s="11"/>
      <c r="W257" s="11"/>
      <c r="Y257" s="11"/>
      <c r="AA257" s="11"/>
      <c r="AC257" s="11"/>
      <c r="AE257" s="11"/>
      <c r="AF257" s="11"/>
      <c r="AG257" s="11"/>
      <c r="AI257" s="11"/>
      <c r="AK257" s="25"/>
      <c r="AM257" s="25"/>
      <c r="AO257" s="25"/>
      <c r="AQ257" s="25"/>
      <c r="AS257" s="25"/>
      <c r="AU257" s="25"/>
    </row>
    <row r="258" spans="1:47" x14ac:dyDescent="0.2">
      <c r="A258" s="12" t="s">
        <v>45</v>
      </c>
      <c r="C258" s="11"/>
      <c r="E258" s="11"/>
      <c r="G258" s="11"/>
      <c r="I258" s="11"/>
      <c r="K258" s="11"/>
      <c r="M258" s="11"/>
      <c r="O258" s="11"/>
      <c r="Q258" s="11">
        <v>0</v>
      </c>
      <c r="S258" s="11"/>
      <c r="U258" s="11"/>
      <c r="W258" s="11"/>
      <c r="Y258" s="11"/>
      <c r="AA258" s="11"/>
      <c r="AC258" s="11"/>
      <c r="AE258" s="11"/>
      <c r="AF258" s="11"/>
      <c r="AG258" s="11"/>
      <c r="AI258" s="11"/>
      <c r="AK258" s="25"/>
      <c r="AM258" s="25"/>
      <c r="AO258" s="25"/>
      <c r="AQ258" s="25"/>
      <c r="AS258" s="25"/>
      <c r="AU258" s="25"/>
    </row>
    <row r="259" spans="1:47" x14ac:dyDescent="0.2">
      <c r="B259" s="3" t="s">
        <v>12</v>
      </c>
      <c r="C259" s="14">
        <v>0</v>
      </c>
      <c r="D259" s="14"/>
      <c r="E259" s="14">
        <v>0</v>
      </c>
      <c r="F259" s="14"/>
      <c r="G259" s="14">
        <v>36210.75</v>
      </c>
      <c r="H259" s="14"/>
      <c r="I259" s="14">
        <v>0</v>
      </c>
      <c r="J259" s="14"/>
      <c r="K259" s="14">
        <v>0</v>
      </c>
      <c r="L259" s="14"/>
      <c r="M259" s="14">
        <v>0</v>
      </c>
      <c r="N259" s="14"/>
      <c r="O259" s="14">
        <v>0</v>
      </c>
      <c r="P259" s="14"/>
      <c r="Q259" s="14">
        <v>0</v>
      </c>
      <c r="R259" s="19"/>
      <c r="S259" s="14">
        <f>-36210.75+23507.15</f>
        <v>-12703.599999999999</v>
      </c>
      <c r="T259" s="19"/>
      <c r="U259" s="14">
        <v>0</v>
      </c>
      <c r="V259" s="19"/>
      <c r="W259" s="14">
        <v>0</v>
      </c>
      <c r="X259" s="19"/>
      <c r="Y259" s="14">
        <v>0</v>
      </c>
      <c r="Z259" s="19"/>
      <c r="AA259" s="14">
        <v>0</v>
      </c>
      <c r="AB259" s="19"/>
      <c r="AC259" s="14">
        <v>0</v>
      </c>
      <c r="AD259" s="19"/>
      <c r="AE259" s="14">
        <v>0</v>
      </c>
      <c r="AF259" s="14">
        <v>-31900.74</v>
      </c>
      <c r="AG259" s="14">
        <v>0</v>
      </c>
      <c r="AH259" s="19"/>
      <c r="AI259" s="17">
        <f>SUM(C259:AF259)</f>
        <v>-8393.59</v>
      </c>
      <c r="AK259" s="25"/>
      <c r="AM259" s="25"/>
      <c r="AO259" s="25"/>
      <c r="AQ259" s="25"/>
      <c r="AS259" s="25"/>
      <c r="AT259" s="19"/>
      <c r="AU259" s="25"/>
    </row>
    <row r="260" spans="1:47" x14ac:dyDescent="0.2">
      <c r="B260" s="3" t="s">
        <v>46</v>
      </c>
      <c r="C260" s="14">
        <v>0</v>
      </c>
      <c r="D260" s="14"/>
      <c r="E260" s="14">
        <v>0</v>
      </c>
      <c r="F260" s="14"/>
      <c r="G260" s="14">
        <v>0</v>
      </c>
      <c r="H260" s="14"/>
      <c r="I260" s="14">
        <v>0</v>
      </c>
      <c r="J260" s="14"/>
      <c r="K260" s="14">
        <v>0</v>
      </c>
      <c r="L260" s="14"/>
      <c r="M260" s="14">
        <v>0</v>
      </c>
      <c r="N260" s="14"/>
      <c r="O260" s="14">
        <v>0</v>
      </c>
      <c r="P260" s="14"/>
      <c r="Q260" s="14">
        <v>0</v>
      </c>
      <c r="R260" s="19"/>
      <c r="S260" s="14">
        <v>0</v>
      </c>
      <c r="T260" s="19"/>
      <c r="U260" s="14">
        <v>0</v>
      </c>
      <c r="V260" s="19"/>
      <c r="W260" s="14">
        <v>0</v>
      </c>
      <c r="X260" s="19"/>
      <c r="Y260" s="14">
        <v>0</v>
      </c>
      <c r="Z260" s="19"/>
      <c r="AA260" s="14">
        <v>0</v>
      </c>
      <c r="AB260" s="19"/>
      <c r="AC260" s="14">
        <v>0</v>
      </c>
      <c r="AD260" s="19"/>
      <c r="AE260" s="14">
        <v>0</v>
      </c>
      <c r="AF260" s="14">
        <v>0</v>
      </c>
      <c r="AG260" s="14">
        <v>0</v>
      </c>
      <c r="AH260" s="19"/>
      <c r="AI260" s="17">
        <f t="shared" ref="AI260:AI270" si="77">SUM(C260:AF260)</f>
        <v>0</v>
      </c>
      <c r="AK260" s="25"/>
      <c r="AM260" s="25"/>
      <c r="AO260" s="25"/>
      <c r="AQ260" s="25"/>
      <c r="AS260" s="25"/>
      <c r="AT260" s="19"/>
      <c r="AU260" s="25"/>
    </row>
    <row r="261" spans="1:47" x14ac:dyDescent="0.2">
      <c r="B261" s="3" t="s">
        <v>13</v>
      </c>
      <c r="C261" s="14">
        <v>-5187.5200000000004</v>
      </c>
      <c r="D261" s="14"/>
      <c r="E261" s="14">
        <v>0</v>
      </c>
      <c r="F261" s="14"/>
      <c r="G261" s="14">
        <v>0</v>
      </c>
      <c r="H261" s="14"/>
      <c r="I261" s="14">
        <v>0</v>
      </c>
      <c r="J261" s="14"/>
      <c r="K261" s="14">
        <v>0</v>
      </c>
      <c r="L261" s="14"/>
      <c r="M261" s="14">
        <v>0</v>
      </c>
      <c r="N261" s="14"/>
      <c r="O261" s="14">
        <v>0</v>
      </c>
      <c r="P261" s="14"/>
      <c r="Q261" s="14">
        <v>0</v>
      </c>
      <c r="R261" s="19"/>
      <c r="S261" s="14">
        <v>0</v>
      </c>
      <c r="T261" s="19"/>
      <c r="U261" s="14">
        <v>0</v>
      </c>
      <c r="V261" s="19"/>
      <c r="W261" s="14">
        <v>0</v>
      </c>
      <c r="X261" s="19"/>
      <c r="Y261" s="14">
        <v>0</v>
      </c>
      <c r="Z261" s="19"/>
      <c r="AA261" s="14">
        <v>0</v>
      </c>
      <c r="AB261" s="19"/>
      <c r="AC261" s="14">
        <v>0</v>
      </c>
      <c r="AD261" s="19"/>
      <c r="AE261" s="14">
        <v>0</v>
      </c>
      <c r="AF261" s="14">
        <v>0</v>
      </c>
      <c r="AG261" s="14">
        <v>-413976.73</v>
      </c>
      <c r="AH261" s="19"/>
      <c r="AI261" s="17">
        <f>SUM(C261:AG261)</f>
        <v>-419164.25</v>
      </c>
      <c r="AK261" s="25"/>
      <c r="AM261" s="25"/>
      <c r="AO261" s="25"/>
      <c r="AQ261" s="25"/>
      <c r="AS261" s="25"/>
      <c r="AT261" s="19"/>
      <c r="AU261" s="25"/>
    </row>
    <row r="262" spans="1:47" x14ac:dyDescent="0.2">
      <c r="B262" s="3" t="s">
        <v>14</v>
      </c>
      <c r="C262" s="14">
        <v>0</v>
      </c>
      <c r="D262" s="14"/>
      <c r="E262" s="14">
        <v>0</v>
      </c>
      <c r="F262" s="14"/>
      <c r="G262" s="14">
        <v>0</v>
      </c>
      <c r="H262" s="14"/>
      <c r="I262" s="14">
        <v>0</v>
      </c>
      <c r="J262" s="14"/>
      <c r="K262" s="14">
        <v>0</v>
      </c>
      <c r="L262" s="14"/>
      <c r="M262" s="14">
        <v>0</v>
      </c>
      <c r="N262" s="14"/>
      <c r="O262" s="14">
        <v>0</v>
      </c>
      <c r="P262" s="14"/>
      <c r="Q262" s="14">
        <v>0</v>
      </c>
      <c r="R262" s="19"/>
      <c r="S262" s="14">
        <v>0</v>
      </c>
      <c r="T262" s="19"/>
      <c r="U262" s="14">
        <v>0</v>
      </c>
      <c r="V262" s="19"/>
      <c r="W262" s="14">
        <v>0</v>
      </c>
      <c r="X262" s="19"/>
      <c r="Y262" s="14">
        <v>0</v>
      </c>
      <c r="Z262" s="19"/>
      <c r="AA262" s="14">
        <v>0</v>
      </c>
      <c r="AB262" s="19"/>
      <c r="AC262" s="14">
        <v>0</v>
      </c>
      <c r="AD262" s="19"/>
      <c r="AE262" s="14">
        <v>0</v>
      </c>
      <c r="AF262" s="14">
        <v>0</v>
      </c>
      <c r="AG262" s="14">
        <v>0</v>
      </c>
      <c r="AH262" s="19"/>
      <c r="AI262" s="17">
        <f t="shared" si="77"/>
        <v>0</v>
      </c>
      <c r="AK262" s="25"/>
      <c r="AM262" s="25"/>
      <c r="AO262" s="25"/>
      <c r="AQ262" s="25"/>
      <c r="AS262" s="25"/>
      <c r="AT262" s="19"/>
      <c r="AU262" s="25"/>
    </row>
    <row r="263" spans="1:47" x14ac:dyDescent="0.2">
      <c r="B263" s="3" t="s">
        <v>47</v>
      </c>
      <c r="C263" s="14">
        <v>0</v>
      </c>
      <c r="D263" s="14"/>
      <c r="E263" s="14">
        <v>0</v>
      </c>
      <c r="F263" s="14"/>
      <c r="G263" s="14">
        <v>0</v>
      </c>
      <c r="H263" s="14"/>
      <c r="I263" s="14">
        <v>0</v>
      </c>
      <c r="J263" s="14"/>
      <c r="K263" s="14">
        <v>0</v>
      </c>
      <c r="L263" s="14"/>
      <c r="M263" s="14">
        <v>0</v>
      </c>
      <c r="N263" s="14"/>
      <c r="O263" s="14">
        <v>0</v>
      </c>
      <c r="P263" s="14"/>
      <c r="Q263" s="14">
        <v>0</v>
      </c>
      <c r="R263" s="19"/>
      <c r="S263" s="14">
        <v>0</v>
      </c>
      <c r="T263" s="19"/>
      <c r="U263" s="14">
        <v>0</v>
      </c>
      <c r="V263" s="19"/>
      <c r="W263" s="14">
        <v>0</v>
      </c>
      <c r="X263" s="19"/>
      <c r="Y263" s="14">
        <v>0</v>
      </c>
      <c r="Z263" s="19"/>
      <c r="AA263" s="14">
        <v>0</v>
      </c>
      <c r="AB263" s="19"/>
      <c r="AC263" s="14">
        <v>0</v>
      </c>
      <c r="AD263" s="19"/>
      <c r="AE263" s="14">
        <v>0</v>
      </c>
      <c r="AF263" s="14">
        <v>0</v>
      </c>
      <c r="AG263" s="14">
        <v>0</v>
      </c>
      <c r="AH263" s="19"/>
      <c r="AI263" s="17">
        <f t="shared" si="77"/>
        <v>0</v>
      </c>
      <c r="AK263" s="25"/>
      <c r="AM263" s="25"/>
      <c r="AO263" s="25"/>
      <c r="AQ263" s="25"/>
      <c r="AS263" s="25"/>
      <c r="AT263" s="19"/>
      <c r="AU263" s="25"/>
    </row>
    <row r="264" spans="1:47" x14ac:dyDescent="0.2">
      <c r="B264" s="3" t="s">
        <v>16</v>
      </c>
      <c r="C264" s="14">
        <v>0</v>
      </c>
      <c r="D264" s="14"/>
      <c r="E264" s="14">
        <v>0</v>
      </c>
      <c r="F264" s="14"/>
      <c r="G264" s="14">
        <v>0</v>
      </c>
      <c r="H264" s="14"/>
      <c r="I264" s="14">
        <v>0</v>
      </c>
      <c r="J264" s="14"/>
      <c r="K264" s="14">
        <v>0</v>
      </c>
      <c r="L264" s="14"/>
      <c r="M264" s="14">
        <v>0</v>
      </c>
      <c r="N264" s="14"/>
      <c r="O264" s="14">
        <v>0</v>
      </c>
      <c r="P264" s="14"/>
      <c r="Q264" s="14">
        <v>0</v>
      </c>
      <c r="R264" s="19"/>
      <c r="S264" s="14">
        <v>0</v>
      </c>
      <c r="T264" s="19"/>
      <c r="U264" s="14">
        <v>0</v>
      </c>
      <c r="V264" s="19"/>
      <c r="W264" s="14">
        <v>0</v>
      </c>
      <c r="X264" s="19"/>
      <c r="Y264" s="14">
        <v>0</v>
      </c>
      <c r="Z264" s="19"/>
      <c r="AA264" s="14">
        <v>0</v>
      </c>
      <c r="AB264" s="19"/>
      <c r="AC264" s="14">
        <v>0</v>
      </c>
      <c r="AD264" s="19"/>
      <c r="AE264" s="14">
        <v>0</v>
      </c>
      <c r="AF264" s="19">
        <v>0</v>
      </c>
      <c r="AG264" s="14">
        <v>0</v>
      </c>
      <c r="AH264" s="19"/>
      <c r="AI264" s="17">
        <f t="shared" si="77"/>
        <v>0</v>
      </c>
      <c r="AK264" s="25"/>
      <c r="AM264" s="25"/>
      <c r="AO264" s="25"/>
      <c r="AQ264" s="25"/>
      <c r="AS264" s="25"/>
      <c r="AT264" s="19"/>
      <c r="AU264" s="25"/>
    </row>
    <row r="265" spans="1:47" x14ac:dyDescent="0.2">
      <c r="B265" s="3" t="s">
        <v>48</v>
      </c>
      <c r="C265" s="14">
        <v>0</v>
      </c>
      <c r="D265" s="14"/>
      <c r="E265" s="14">
        <v>0</v>
      </c>
      <c r="F265" s="14"/>
      <c r="G265" s="14">
        <v>0</v>
      </c>
      <c r="H265" s="14"/>
      <c r="I265" s="14">
        <v>0</v>
      </c>
      <c r="J265" s="14"/>
      <c r="K265" s="14">
        <v>0</v>
      </c>
      <c r="L265" s="14"/>
      <c r="M265" s="14">
        <v>0</v>
      </c>
      <c r="N265" s="14"/>
      <c r="O265" s="14">
        <v>0</v>
      </c>
      <c r="P265" s="14"/>
      <c r="Q265" s="14">
        <v>0</v>
      </c>
      <c r="R265" s="19"/>
      <c r="S265" s="14">
        <v>0</v>
      </c>
      <c r="T265" s="19"/>
      <c r="U265" s="14">
        <v>0</v>
      </c>
      <c r="V265" s="19"/>
      <c r="W265" s="14">
        <v>0</v>
      </c>
      <c r="X265" s="19"/>
      <c r="Y265" s="14">
        <v>0</v>
      </c>
      <c r="Z265" s="19"/>
      <c r="AA265" s="14">
        <v>0</v>
      </c>
      <c r="AB265" s="19"/>
      <c r="AC265" s="14">
        <v>0</v>
      </c>
      <c r="AD265" s="19"/>
      <c r="AE265" s="14">
        <v>0</v>
      </c>
      <c r="AF265" s="19">
        <v>0</v>
      </c>
      <c r="AG265" s="14">
        <v>0</v>
      </c>
      <c r="AH265" s="19"/>
      <c r="AI265" s="17">
        <f t="shared" si="77"/>
        <v>0</v>
      </c>
      <c r="AK265" s="25"/>
      <c r="AM265" s="25"/>
      <c r="AO265" s="25"/>
      <c r="AQ265" s="25"/>
      <c r="AS265" s="25"/>
      <c r="AT265" s="19"/>
      <c r="AU265" s="25"/>
    </row>
    <row r="266" spans="1:47" x14ac:dyDescent="0.2">
      <c r="B266" s="3" t="s">
        <v>17</v>
      </c>
      <c r="C266" s="14">
        <v>0</v>
      </c>
      <c r="D266" s="14"/>
      <c r="E266" s="14">
        <v>0</v>
      </c>
      <c r="F266" s="14"/>
      <c r="G266" s="14">
        <v>0</v>
      </c>
      <c r="H266" s="14"/>
      <c r="I266" s="14">
        <v>0</v>
      </c>
      <c r="J266" s="14"/>
      <c r="K266" s="14">
        <v>0</v>
      </c>
      <c r="L266" s="14"/>
      <c r="M266" s="14">
        <v>0</v>
      </c>
      <c r="N266" s="14"/>
      <c r="O266" s="14">
        <v>0</v>
      </c>
      <c r="P266" s="14"/>
      <c r="Q266" s="14">
        <v>0</v>
      </c>
      <c r="R266" s="19"/>
      <c r="S266" s="14">
        <v>0</v>
      </c>
      <c r="T266" s="19"/>
      <c r="U266" s="14">
        <v>0</v>
      </c>
      <c r="V266" s="19"/>
      <c r="W266" s="14">
        <v>0</v>
      </c>
      <c r="X266" s="19"/>
      <c r="Y266" s="14">
        <v>0</v>
      </c>
      <c r="Z266" s="19"/>
      <c r="AA266" s="14">
        <v>0</v>
      </c>
      <c r="AB266" s="19"/>
      <c r="AC266" s="14">
        <v>0</v>
      </c>
      <c r="AD266" s="19"/>
      <c r="AE266" s="14">
        <v>0</v>
      </c>
      <c r="AF266" s="19">
        <v>0</v>
      </c>
      <c r="AG266" s="14">
        <v>0</v>
      </c>
      <c r="AH266" s="19"/>
      <c r="AI266" s="17">
        <f>SUM(C266:AG266)</f>
        <v>0</v>
      </c>
      <c r="AK266" s="25"/>
      <c r="AM266" s="25"/>
      <c r="AO266" s="25"/>
      <c r="AQ266" s="25"/>
      <c r="AS266" s="25"/>
      <c r="AT266" s="19"/>
      <c r="AU266" s="25"/>
    </row>
    <row r="267" spans="1:47" x14ac:dyDescent="0.2">
      <c r="B267" s="3" t="s">
        <v>49</v>
      </c>
      <c r="C267" s="14">
        <v>0</v>
      </c>
      <c r="D267" s="14"/>
      <c r="E267" s="14">
        <v>0</v>
      </c>
      <c r="F267" s="14"/>
      <c r="G267" s="14">
        <v>0</v>
      </c>
      <c r="H267" s="14"/>
      <c r="I267" s="14">
        <v>0</v>
      </c>
      <c r="J267" s="14"/>
      <c r="K267" s="14">
        <v>0</v>
      </c>
      <c r="L267" s="14"/>
      <c r="M267" s="14">
        <v>0</v>
      </c>
      <c r="N267" s="14"/>
      <c r="O267" s="14">
        <v>0</v>
      </c>
      <c r="P267" s="14"/>
      <c r="Q267" s="14">
        <v>0</v>
      </c>
      <c r="R267" s="19"/>
      <c r="S267" s="14">
        <v>0</v>
      </c>
      <c r="T267" s="19"/>
      <c r="U267" s="14">
        <v>0</v>
      </c>
      <c r="V267" s="19"/>
      <c r="W267" s="14">
        <v>0</v>
      </c>
      <c r="X267" s="19"/>
      <c r="Y267" s="14">
        <v>0</v>
      </c>
      <c r="Z267" s="19"/>
      <c r="AA267" s="14">
        <v>0</v>
      </c>
      <c r="AB267" s="19"/>
      <c r="AC267" s="14">
        <v>0</v>
      </c>
      <c r="AD267" s="19"/>
      <c r="AE267" s="14">
        <v>0</v>
      </c>
      <c r="AF267" s="14">
        <v>0</v>
      </c>
      <c r="AG267" s="14">
        <v>0</v>
      </c>
      <c r="AH267" s="19"/>
      <c r="AI267" s="17">
        <f t="shared" si="77"/>
        <v>0</v>
      </c>
      <c r="AK267" s="25"/>
      <c r="AM267" s="25"/>
      <c r="AO267" s="25"/>
      <c r="AQ267" s="25"/>
      <c r="AS267" s="25"/>
      <c r="AT267" s="19"/>
      <c r="AU267" s="25"/>
    </row>
    <row r="268" spans="1:47" x14ac:dyDescent="0.2">
      <c r="B268" s="3" t="s">
        <v>18</v>
      </c>
      <c r="C268" s="14">
        <v>0</v>
      </c>
      <c r="D268" s="14"/>
      <c r="E268" s="14">
        <v>0</v>
      </c>
      <c r="F268" s="14"/>
      <c r="G268" s="14">
        <v>-36210.75</v>
      </c>
      <c r="H268" s="14"/>
      <c r="I268" s="14">
        <v>0</v>
      </c>
      <c r="J268" s="14"/>
      <c r="K268" s="14">
        <v>0</v>
      </c>
      <c r="L268" s="14"/>
      <c r="M268" s="14">
        <v>0</v>
      </c>
      <c r="N268" s="14"/>
      <c r="O268" s="14">
        <v>0</v>
      </c>
      <c r="P268" s="14"/>
      <c r="Q268" s="14">
        <v>0</v>
      </c>
      <c r="R268" s="19"/>
      <c r="S268" s="14">
        <f>-23507.15+36210.75</f>
        <v>12703.599999999999</v>
      </c>
      <c r="T268" s="19"/>
      <c r="U268" s="14">
        <v>0</v>
      </c>
      <c r="V268" s="19"/>
      <c r="W268" s="14">
        <v>0</v>
      </c>
      <c r="X268" s="19"/>
      <c r="Y268" s="14">
        <v>0</v>
      </c>
      <c r="Z268" s="19"/>
      <c r="AA268" s="14">
        <v>0</v>
      </c>
      <c r="AB268" s="19"/>
      <c r="AC268" s="14">
        <v>0</v>
      </c>
      <c r="AD268" s="19"/>
      <c r="AE268" s="14">
        <v>0</v>
      </c>
      <c r="AF268" s="14">
        <v>31900.74</v>
      </c>
      <c r="AG268" s="14">
        <v>0</v>
      </c>
      <c r="AH268" s="19"/>
      <c r="AI268" s="17">
        <f>SUM(C268:AF268)</f>
        <v>8393.59</v>
      </c>
      <c r="AK268" s="25"/>
      <c r="AM268" s="25"/>
      <c r="AO268" s="25"/>
      <c r="AQ268" s="25"/>
      <c r="AS268" s="25"/>
      <c r="AT268" s="19"/>
      <c r="AU268" s="25"/>
    </row>
    <row r="269" spans="1:47" x14ac:dyDescent="0.2">
      <c r="B269" s="3" t="s">
        <v>50</v>
      </c>
      <c r="C269" s="14">
        <v>0</v>
      </c>
      <c r="D269" s="14"/>
      <c r="E269" s="14">
        <v>0</v>
      </c>
      <c r="F269" s="14"/>
      <c r="G269" s="14">
        <v>0</v>
      </c>
      <c r="H269" s="14"/>
      <c r="I269" s="14">
        <v>0</v>
      </c>
      <c r="J269" s="14"/>
      <c r="K269" s="14">
        <v>0</v>
      </c>
      <c r="L269" s="14"/>
      <c r="M269" s="14">
        <v>0</v>
      </c>
      <c r="N269" s="14"/>
      <c r="O269" s="14">
        <v>0</v>
      </c>
      <c r="P269" s="14"/>
      <c r="Q269" s="14">
        <v>0</v>
      </c>
      <c r="R269" s="19"/>
      <c r="S269" s="14">
        <v>0</v>
      </c>
      <c r="T269" s="19"/>
      <c r="U269" s="14">
        <v>0</v>
      </c>
      <c r="V269" s="19"/>
      <c r="W269" s="14">
        <v>0</v>
      </c>
      <c r="X269" s="19"/>
      <c r="Y269" s="14">
        <v>0</v>
      </c>
      <c r="Z269" s="19"/>
      <c r="AA269" s="14">
        <v>0</v>
      </c>
      <c r="AB269" s="19"/>
      <c r="AC269" s="14">
        <v>0</v>
      </c>
      <c r="AD269" s="19"/>
      <c r="AE269" s="14">
        <v>0</v>
      </c>
      <c r="AF269" s="14">
        <v>0</v>
      </c>
      <c r="AG269" s="14">
        <v>0</v>
      </c>
      <c r="AH269" s="19"/>
      <c r="AI269" s="17">
        <f t="shared" si="77"/>
        <v>0</v>
      </c>
      <c r="AK269" s="25"/>
      <c r="AM269" s="25"/>
      <c r="AO269" s="25"/>
      <c r="AQ269" s="25"/>
      <c r="AS269" s="25"/>
      <c r="AT269" s="19"/>
      <c r="AU269" s="25"/>
    </row>
    <row r="270" spans="1:47" x14ac:dyDescent="0.2">
      <c r="B270" s="3" t="s">
        <v>29</v>
      </c>
      <c r="C270" s="16">
        <v>0</v>
      </c>
      <c r="D270" s="17"/>
      <c r="E270" s="16">
        <v>0</v>
      </c>
      <c r="F270" s="17"/>
      <c r="G270" s="16">
        <v>0</v>
      </c>
      <c r="H270" s="17"/>
      <c r="I270" s="16">
        <v>0</v>
      </c>
      <c r="J270" s="17"/>
      <c r="K270" s="16">
        <v>0</v>
      </c>
      <c r="L270" s="17"/>
      <c r="M270" s="16">
        <v>0</v>
      </c>
      <c r="N270" s="17"/>
      <c r="O270" s="16">
        <v>0</v>
      </c>
      <c r="P270" s="17"/>
      <c r="Q270" s="16">
        <v>0</v>
      </c>
      <c r="R270" s="26"/>
      <c r="S270" s="16">
        <v>0</v>
      </c>
      <c r="T270" s="26"/>
      <c r="U270" s="16">
        <v>0</v>
      </c>
      <c r="V270" s="26"/>
      <c r="W270" s="16">
        <v>0</v>
      </c>
      <c r="X270" s="26"/>
      <c r="Y270" s="16">
        <v>0</v>
      </c>
      <c r="Z270" s="26"/>
      <c r="AA270" s="16">
        <v>0</v>
      </c>
      <c r="AB270" s="26"/>
      <c r="AC270" s="16">
        <v>0</v>
      </c>
      <c r="AD270" s="26"/>
      <c r="AE270" s="16">
        <v>0</v>
      </c>
      <c r="AF270" s="16">
        <v>0</v>
      </c>
      <c r="AG270" s="16">
        <v>0</v>
      </c>
      <c r="AH270" s="26"/>
      <c r="AI270" s="17">
        <f t="shared" si="77"/>
        <v>0</v>
      </c>
      <c r="AJ270" s="59"/>
      <c r="AK270" s="25"/>
      <c r="AM270" s="25"/>
      <c r="AO270" s="25"/>
      <c r="AQ270" s="25"/>
      <c r="AS270" s="25"/>
      <c r="AT270" s="26"/>
      <c r="AU270" s="25"/>
    </row>
    <row r="271" spans="1:47" x14ac:dyDescent="0.2">
      <c r="B271" s="20"/>
      <c r="C271" s="17">
        <f>SUM(C259:C270)</f>
        <v>-5187.5200000000004</v>
      </c>
      <c r="D271" s="17"/>
      <c r="E271" s="17">
        <f>SUM(E259:E270)</f>
        <v>0</v>
      </c>
      <c r="F271" s="17"/>
      <c r="G271" s="17">
        <f>SUM(G259:G270)</f>
        <v>0</v>
      </c>
      <c r="H271" s="17"/>
      <c r="I271" s="17">
        <f>SUM(I259:I270)</f>
        <v>0</v>
      </c>
      <c r="J271" s="17"/>
      <c r="K271" s="17">
        <f>SUM(K259:K270)</f>
        <v>0</v>
      </c>
      <c r="L271" s="17"/>
      <c r="M271" s="17">
        <f>SUM(M259:M270)</f>
        <v>0</v>
      </c>
      <c r="N271" s="17"/>
      <c r="O271" s="17">
        <f>SUM(O259:O270)</f>
        <v>0</v>
      </c>
      <c r="P271" s="17"/>
      <c r="Q271" s="17">
        <f>SUM(Q259:Q270)</f>
        <v>0</v>
      </c>
      <c r="R271" s="26"/>
      <c r="S271" s="17">
        <f>SUM(S259:S270)</f>
        <v>0</v>
      </c>
      <c r="T271" s="26"/>
      <c r="U271" s="17">
        <f>SUM(U259:U270)</f>
        <v>0</v>
      </c>
      <c r="V271" s="26"/>
      <c r="W271" s="17">
        <f>SUM(W259:W270)</f>
        <v>0</v>
      </c>
      <c r="X271" s="26"/>
      <c r="Y271" s="17">
        <f>SUM(Y259:Y270)</f>
        <v>0</v>
      </c>
      <c r="Z271" s="26"/>
      <c r="AA271" s="17">
        <f>SUM(AA259:AA270)</f>
        <v>0</v>
      </c>
      <c r="AB271" s="26"/>
      <c r="AC271" s="17">
        <f>SUM(AC259:AC270)</f>
        <v>0</v>
      </c>
      <c r="AD271" s="26"/>
      <c r="AE271" s="17">
        <f>SUM(AE259:AE270)</f>
        <v>0</v>
      </c>
      <c r="AF271" s="17">
        <f>SUM(AF259:AF270)</f>
        <v>0</v>
      </c>
      <c r="AG271" s="17">
        <f>SUM(AG259:AG270)</f>
        <v>-413976.73</v>
      </c>
      <c r="AH271" s="26"/>
      <c r="AI271" s="18">
        <f>SUM(AI259:AI270)</f>
        <v>-419164.25</v>
      </c>
      <c r="AJ271" s="59"/>
      <c r="AK271" s="25"/>
      <c r="AM271" s="25"/>
      <c r="AO271" s="25"/>
      <c r="AQ271" s="25"/>
      <c r="AS271" s="25"/>
      <c r="AT271" s="26"/>
      <c r="AU271" s="25"/>
    </row>
    <row r="272" spans="1:47" x14ac:dyDescent="0.2">
      <c r="C272" s="17"/>
      <c r="D272" s="17"/>
      <c r="E272" s="1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26"/>
      <c r="S272" s="17"/>
      <c r="T272" s="26"/>
      <c r="U272" s="17"/>
      <c r="V272" s="26"/>
      <c r="W272" s="17"/>
      <c r="X272" s="26"/>
      <c r="Y272" s="17"/>
      <c r="Z272" s="26"/>
      <c r="AA272" s="17"/>
      <c r="AB272" s="26"/>
      <c r="AC272" s="17"/>
      <c r="AD272" s="26"/>
      <c r="AE272" s="17"/>
      <c r="AF272" s="17"/>
      <c r="AG272" s="17"/>
      <c r="AH272" s="26"/>
      <c r="AI272" s="17"/>
      <c r="AJ272" s="59"/>
      <c r="AK272" s="25"/>
      <c r="AM272" s="25"/>
      <c r="AO272" s="25"/>
      <c r="AQ272" s="25"/>
      <c r="AS272" s="25"/>
      <c r="AT272" s="26"/>
      <c r="AU272" s="25"/>
    </row>
    <row r="273" spans="1:47" x14ac:dyDescent="0.2">
      <c r="A273" s="12" t="s">
        <v>51</v>
      </c>
      <c r="C273" s="26"/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U273" s="26"/>
      <c r="V273" s="26"/>
      <c r="W273" s="26"/>
      <c r="X273" s="26"/>
      <c r="Y273" s="26"/>
      <c r="Z273" s="26"/>
      <c r="AA273" s="26"/>
      <c r="AB273" s="26"/>
      <c r="AC273" s="26"/>
      <c r="AD273" s="26"/>
      <c r="AE273" s="26"/>
      <c r="AF273" s="26"/>
      <c r="AG273" s="26"/>
      <c r="AH273" s="26"/>
      <c r="AI273" s="26"/>
      <c r="AJ273" s="59"/>
      <c r="AK273" s="25"/>
      <c r="AM273" s="25"/>
      <c r="AO273" s="25"/>
      <c r="AQ273" s="25"/>
      <c r="AS273" s="25"/>
      <c r="AT273" s="26"/>
      <c r="AU273" s="25"/>
    </row>
    <row r="274" spans="1:47" x14ac:dyDescent="0.2">
      <c r="B274" s="3" t="s">
        <v>12</v>
      </c>
      <c r="C274" s="17">
        <v>0</v>
      </c>
      <c r="D274" s="17"/>
      <c r="E274" s="14">
        <v>0</v>
      </c>
      <c r="F274" s="17"/>
      <c r="G274" s="17">
        <v>9786.68</v>
      </c>
      <c r="H274" s="17"/>
      <c r="I274" s="17">
        <v>0</v>
      </c>
      <c r="J274" s="17"/>
      <c r="K274" s="17">
        <v>0</v>
      </c>
      <c r="L274" s="17"/>
      <c r="M274" s="17">
        <v>0</v>
      </c>
      <c r="N274" s="17"/>
      <c r="O274" s="17">
        <v>0</v>
      </c>
      <c r="P274" s="17"/>
      <c r="Q274" s="17">
        <v>0</v>
      </c>
      <c r="R274" s="26"/>
      <c r="S274" s="17">
        <f>-9786.68+9184.28</f>
        <v>-602.39999999999964</v>
      </c>
      <c r="T274" s="26"/>
      <c r="U274" s="17">
        <v>0</v>
      </c>
      <c r="V274" s="26"/>
      <c r="W274" s="17">
        <v>0</v>
      </c>
      <c r="X274" s="26"/>
      <c r="Y274" s="17">
        <v>0</v>
      </c>
      <c r="Z274" s="26"/>
      <c r="AA274" s="17">
        <v>0</v>
      </c>
      <c r="AB274" s="26"/>
      <c r="AC274" s="17">
        <v>0</v>
      </c>
      <c r="AD274" s="26"/>
      <c r="AE274" s="17">
        <v>0</v>
      </c>
      <c r="AF274" s="17">
        <v>-2974.86</v>
      </c>
      <c r="AG274" s="17">
        <v>0</v>
      </c>
      <c r="AH274" s="26"/>
      <c r="AI274" s="14">
        <f>SUM(C274:AG274)</f>
        <v>6209.42</v>
      </c>
      <c r="AJ274" s="59"/>
      <c r="AK274" s="25"/>
      <c r="AM274" s="25"/>
      <c r="AO274" s="25"/>
      <c r="AQ274" s="25"/>
      <c r="AS274" s="25"/>
      <c r="AT274" s="26"/>
      <c r="AU274" s="25"/>
    </row>
    <row r="275" spans="1:47" x14ac:dyDescent="0.2">
      <c r="B275" s="3" t="s">
        <v>13</v>
      </c>
      <c r="C275" s="17">
        <v>0</v>
      </c>
      <c r="D275" s="17"/>
      <c r="E275" s="17">
        <v>0</v>
      </c>
      <c r="F275" s="17"/>
      <c r="G275" s="17">
        <v>0</v>
      </c>
      <c r="H275" s="17"/>
      <c r="I275" s="17">
        <v>0</v>
      </c>
      <c r="J275" s="17"/>
      <c r="K275" s="17">
        <v>0</v>
      </c>
      <c r="L275" s="17"/>
      <c r="M275" s="17">
        <v>0</v>
      </c>
      <c r="N275" s="17"/>
      <c r="O275" s="17">
        <v>0</v>
      </c>
      <c r="P275" s="17"/>
      <c r="Q275" s="17">
        <v>0</v>
      </c>
      <c r="R275" s="26"/>
      <c r="S275" s="17">
        <v>0</v>
      </c>
      <c r="T275" s="26"/>
      <c r="U275" s="17">
        <v>0</v>
      </c>
      <c r="V275" s="26"/>
      <c r="W275" s="17">
        <v>0</v>
      </c>
      <c r="X275" s="26"/>
      <c r="Y275" s="17">
        <v>0</v>
      </c>
      <c r="Z275" s="26"/>
      <c r="AA275" s="17">
        <v>0</v>
      </c>
      <c r="AB275" s="26"/>
      <c r="AC275" s="17">
        <v>0</v>
      </c>
      <c r="AD275" s="26"/>
      <c r="AE275" s="17">
        <v>0</v>
      </c>
      <c r="AF275" s="17">
        <v>0</v>
      </c>
      <c r="AG275" s="17">
        <v>0</v>
      </c>
      <c r="AH275" s="26"/>
      <c r="AI275" s="14">
        <f t="shared" ref="AI275:AI280" si="78">SUM(C275:AE275)</f>
        <v>0</v>
      </c>
      <c r="AJ275" s="59"/>
      <c r="AK275" s="25"/>
      <c r="AM275" s="25"/>
      <c r="AO275" s="25"/>
      <c r="AQ275" s="25"/>
      <c r="AS275" s="25"/>
      <c r="AT275" s="26"/>
      <c r="AU275" s="25"/>
    </row>
    <row r="276" spans="1:47" x14ac:dyDescent="0.2">
      <c r="B276" s="3" t="s">
        <v>14</v>
      </c>
      <c r="C276" s="17">
        <v>0</v>
      </c>
      <c r="D276" s="17"/>
      <c r="E276" s="17">
        <v>0</v>
      </c>
      <c r="F276" s="17"/>
      <c r="G276" s="17">
        <v>0</v>
      </c>
      <c r="H276" s="17"/>
      <c r="I276" s="17">
        <v>0</v>
      </c>
      <c r="J276" s="17"/>
      <c r="K276" s="17">
        <v>0</v>
      </c>
      <c r="L276" s="17"/>
      <c r="M276" s="17">
        <v>0</v>
      </c>
      <c r="N276" s="17"/>
      <c r="O276" s="17">
        <v>0</v>
      </c>
      <c r="P276" s="17"/>
      <c r="Q276" s="17">
        <v>0</v>
      </c>
      <c r="R276" s="26"/>
      <c r="S276" s="17">
        <v>0</v>
      </c>
      <c r="T276" s="26"/>
      <c r="U276" s="17">
        <v>0</v>
      </c>
      <c r="V276" s="26"/>
      <c r="W276" s="17">
        <v>0</v>
      </c>
      <c r="X276" s="26"/>
      <c r="Y276" s="17">
        <v>0</v>
      </c>
      <c r="Z276" s="26"/>
      <c r="AA276" s="17">
        <v>0</v>
      </c>
      <c r="AB276" s="26"/>
      <c r="AC276" s="17">
        <v>0</v>
      </c>
      <c r="AD276" s="26"/>
      <c r="AE276" s="17">
        <v>0</v>
      </c>
      <c r="AF276" s="17">
        <v>0</v>
      </c>
      <c r="AG276" s="17">
        <v>0</v>
      </c>
      <c r="AH276" s="26"/>
      <c r="AI276" s="14">
        <f t="shared" si="78"/>
        <v>0</v>
      </c>
      <c r="AJ276" s="59"/>
      <c r="AK276" s="25"/>
      <c r="AM276" s="25"/>
      <c r="AO276" s="25"/>
      <c r="AQ276" s="25"/>
      <c r="AS276" s="25"/>
      <c r="AT276" s="26"/>
      <c r="AU276" s="25"/>
    </row>
    <row r="277" spans="1:47" x14ac:dyDescent="0.2">
      <c r="B277" s="3" t="s">
        <v>16</v>
      </c>
      <c r="C277" s="17">
        <v>0</v>
      </c>
      <c r="D277" s="17"/>
      <c r="E277" s="17">
        <v>0</v>
      </c>
      <c r="F277" s="17"/>
      <c r="G277" s="17">
        <v>0</v>
      </c>
      <c r="H277" s="17"/>
      <c r="I277" s="17">
        <v>0</v>
      </c>
      <c r="J277" s="17"/>
      <c r="K277" s="17">
        <v>0</v>
      </c>
      <c r="L277" s="17"/>
      <c r="M277" s="17">
        <v>0</v>
      </c>
      <c r="N277" s="17"/>
      <c r="O277" s="17">
        <v>0</v>
      </c>
      <c r="P277" s="17"/>
      <c r="Q277" s="17">
        <v>0</v>
      </c>
      <c r="R277" s="26"/>
      <c r="S277" s="17">
        <v>0</v>
      </c>
      <c r="T277" s="26"/>
      <c r="U277" s="17">
        <v>0</v>
      </c>
      <c r="V277" s="26"/>
      <c r="W277" s="17">
        <v>0</v>
      </c>
      <c r="X277" s="26"/>
      <c r="Y277" s="17">
        <v>0</v>
      </c>
      <c r="Z277" s="26"/>
      <c r="AA277" s="17">
        <v>0</v>
      </c>
      <c r="AB277" s="26"/>
      <c r="AC277" s="17">
        <v>0</v>
      </c>
      <c r="AD277" s="26"/>
      <c r="AE277" s="17">
        <v>0</v>
      </c>
      <c r="AF277" s="17">
        <v>0</v>
      </c>
      <c r="AG277" s="17">
        <v>0</v>
      </c>
      <c r="AH277" s="26"/>
      <c r="AI277" s="14">
        <f t="shared" si="78"/>
        <v>0</v>
      </c>
      <c r="AJ277" s="59"/>
      <c r="AK277" s="25"/>
      <c r="AM277" s="25"/>
      <c r="AO277" s="25"/>
      <c r="AQ277" s="25"/>
      <c r="AS277" s="25"/>
      <c r="AT277" s="26"/>
      <c r="AU277" s="25"/>
    </row>
    <row r="278" spans="1:47" x14ac:dyDescent="0.2">
      <c r="B278" s="3" t="s">
        <v>17</v>
      </c>
      <c r="C278" s="17">
        <v>0</v>
      </c>
      <c r="D278" s="17"/>
      <c r="E278" s="17">
        <v>0</v>
      </c>
      <c r="F278" s="17"/>
      <c r="G278" s="17">
        <v>0</v>
      </c>
      <c r="H278" s="17"/>
      <c r="I278" s="17">
        <v>0</v>
      </c>
      <c r="J278" s="17"/>
      <c r="K278" s="17">
        <v>0</v>
      </c>
      <c r="L278" s="17"/>
      <c r="M278" s="17">
        <v>0</v>
      </c>
      <c r="N278" s="17"/>
      <c r="O278" s="17">
        <v>0</v>
      </c>
      <c r="P278" s="17"/>
      <c r="Q278" s="17">
        <v>0</v>
      </c>
      <c r="R278" s="26"/>
      <c r="S278" s="17">
        <v>0</v>
      </c>
      <c r="T278" s="26"/>
      <c r="U278" s="17">
        <v>0</v>
      </c>
      <c r="V278" s="26"/>
      <c r="W278" s="17">
        <v>0</v>
      </c>
      <c r="X278" s="26"/>
      <c r="Y278" s="17">
        <v>0</v>
      </c>
      <c r="Z278" s="26"/>
      <c r="AA278" s="17">
        <v>0</v>
      </c>
      <c r="AB278" s="26"/>
      <c r="AC278" s="17">
        <v>0</v>
      </c>
      <c r="AD278" s="26"/>
      <c r="AE278" s="17">
        <v>0</v>
      </c>
      <c r="AF278" s="17">
        <v>0</v>
      </c>
      <c r="AG278" s="17">
        <v>0</v>
      </c>
      <c r="AH278" s="26"/>
      <c r="AI278" s="14">
        <f t="shared" si="78"/>
        <v>0</v>
      </c>
      <c r="AJ278" s="59"/>
      <c r="AK278" s="25"/>
      <c r="AM278" s="25"/>
      <c r="AO278" s="25"/>
      <c r="AQ278" s="25"/>
      <c r="AS278" s="25"/>
      <c r="AT278" s="26"/>
      <c r="AU278" s="25"/>
    </row>
    <row r="279" spans="1:47" x14ac:dyDescent="0.2">
      <c r="B279" s="3" t="s">
        <v>18</v>
      </c>
      <c r="C279" s="17">
        <v>0</v>
      </c>
      <c r="D279" s="17"/>
      <c r="E279" s="17">
        <v>0</v>
      </c>
      <c r="F279" s="17"/>
      <c r="G279" s="17">
        <v>-9786.68</v>
      </c>
      <c r="H279" s="17"/>
      <c r="I279" s="17">
        <v>0</v>
      </c>
      <c r="J279" s="17"/>
      <c r="K279" s="17">
        <v>0</v>
      </c>
      <c r="L279" s="17"/>
      <c r="M279" s="17">
        <v>0</v>
      </c>
      <c r="N279" s="17"/>
      <c r="O279" s="17">
        <v>0</v>
      </c>
      <c r="P279" s="17"/>
      <c r="Q279" s="17">
        <v>0</v>
      </c>
      <c r="R279" s="26"/>
      <c r="S279" s="17">
        <f>9786.68-9184.28</f>
        <v>602.39999999999964</v>
      </c>
      <c r="T279" s="26"/>
      <c r="U279" s="17">
        <v>0</v>
      </c>
      <c r="V279" s="26"/>
      <c r="W279" s="17">
        <v>0</v>
      </c>
      <c r="X279" s="26"/>
      <c r="Y279" s="17">
        <v>0</v>
      </c>
      <c r="Z279" s="26"/>
      <c r="AA279" s="17">
        <v>0</v>
      </c>
      <c r="AB279" s="26"/>
      <c r="AC279" s="17">
        <v>0</v>
      </c>
      <c r="AD279" s="26"/>
      <c r="AE279" s="17">
        <v>0</v>
      </c>
      <c r="AF279" s="17">
        <v>2974.86</v>
      </c>
      <c r="AG279" s="17">
        <v>0</v>
      </c>
      <c r="AH279" s="26"/>
      <c r="AI279" s="14">
        <f>SUM(C279:AG279)</f>
        <v>-6209.42</v>
      </c>
      <c r="AJ279" s="59"/>
      <c r="AK279" s="25"/>
      <c r="AM279" s="25"/>
      <c r="AO279" s="25"/>
      <c r="AQ279" s="25"/>
      <c r="AS279" s="25"/>
      <c r="AT279" s="26"/>
      <c r="AU279" s="25"/>
    </row>
    <row r="280" spans="1:47" x14ac:dyDescent="0.2">
      <c r="B280" s="3" t="s">
        <v>29</v>
      </c>
      <c r="C280" s="16">
        <v>0</v>
      </c>
      <c r="D280" s="17"/>
      <c r="E280" s="16">
        <v>0</v>
      </c>
      <c r="F280" s="17"/>
      <c r="G280" s="16">
        <v>0</v>
      </c>
      <c r="H280" s="17"/>
      <c r="I280" s="16">
        <v>0</v>
      </c>
      <c r="J280" s="17"/>
      <c r="K280" s="16">
        <v>0</v>
      </c>
      <c r="L280" s="17"/>
      <c r="M280" s="16">
        <v>0</v>
      </c>
      <c r="N280" s="17"/>
      <c r="O280" s="16">
        <v>0</v>
      </c>
      <c r="P280" s="17"/>
      <c r="Q280" s="16">
        <v>0</v>
      </c>
      <c r="R280" s="26"/>
      <c r="S280" s="16">
        <v>0</v>
      </c>
      <c r="T280" s="26"/>
      <c r="U280" s="16">
        <v>0</v>
      </c>
      <c r="V280" s="26"/>
      <c r="W280" s="16">
        <v>0</v>
      </c>
      <c r="X280" s="26"/>
      <c r="Y280" s="16">
        <v>0</v>
      </c>
      <c r="Z280" s="26"/>
      <c r="AA280" s="16">
        <v>0</v>
      </c>
      <c r="AB280" s="26"/>
      <c r="AC280" s="16">
        <v>0</v>
      </c>
      <c r="AD280" s="26"/>
      <c r="AE280" s="16">
        <v>0</v>
      </c>
      <c r="AF280" s="16">
        <v>0</v>
      </c>
      <c r="AG280" s="16">
        <v>0</v>
      </c>
      <c r="AH280" s="26"/>
      <c r="AI280" s="16">
        <f t="shared" si="78"/>
        <v>0</v>
      </c>
      <c r="AJ280" s="59"/>
      <c r="AK280" s="25"/>
      <c r="AM280" s="25"/>
      <c r="AO280" s="25"/>
      <c r="AQ280" s="25"/>
      <c r="AS280" s="25"/>
      <c r="AT280" s="26"/>
      <c r="AU280" s="25"/>
    </row>
    <row r="281" spans="1:47" x14ac:dyDescent="0.2">
      <c r="B281" s="20"/>
      <c r="C281" s="17">
        <f>SUM(C274:C280)</f>
        <v>0</v>
      </c>
      <c r="D281" s="17"/>
      <c r="E281" s="17">
        <f>SUM(E274:E280)</f>
        <v>0</v>
      </c>
      <c r="F281" s="17"/>
      <c r="G281" s="17">
        <f>SUM(G274:G280)</f>
        <v>0</v>
      </c>
      <c r="H281" s="17"/>
      <c r="I281" s="17">
        <f>SUM(I274:I280)</f>
        <v>0</v>
      </c>
      <c r="J281" s="17"/>
      <c r="K281" s="17">
        <f>SUM(K274:K280)</f>
        <v>0</v>
      </c>
      <c r="L281" s="17"/>
      <c r="M281" s="17">
        <f>SUM(M274:M280)</f>
        <v>0</v>
      </c>
      <c r="N281" s="17"/>
      <c r="O281" s="17">
        <f>SUM(O274:O280)</f>
        <v>0</v>
      </c>
      <c r="P281" s="17"/>
      <c r="Q281" s="17">
        <f>SUM(Q274:Q280)</f>
        <v>0</v>
      </c>
      <c r="R281" s="26"/>
      <c r="S281" s="17">
        <f>SUM(S274:S280)</f>
        <v>0</v>
      </c>
      <c r="T281" s="26"/>
      <c r="U281" s="17">
        <f>SUM(U274:U280)</f>
        <v>0</v>
      </c>
      <c r="V281" s="26"/>
      <c r="W281" s="17">
        <f>SUM(W274:W280)</f>
        <v>0</v>
      </c>
      <c r="X281" s="26"/>
      <c r="Y281" s="17">
        <f>SUM(Y274:Y280)</f>
        <v>0</v>
      </c>
      <c r="Z281" s="26"/>
      <c r="AA281" s="17">
        <f>SUM(AA274:AA280)</f>
        <v>0</v>
      </c>
      <c r="AB281" s="26"/>
      <c r="AC281" s="17">
        <f>SUM(AC274:AC280)</f>
        <v>0</v>
      </c>
      <c r="AD281" s="26"/>
      <c r="AE281" s="17">
        <f>SUM(AE274:AE280)</f>
        <v>0</v>
      </c>
      <c r="AF281" s="17">
        <f>SUM(AF274:AF280)</f>
        <v>0</v>
      </c>
      <c r="AG281" s="17">
        <f>SUM(AG274:AG280)</f>
        <v>0</v>
      </c>
      <c r="AH281" s="26"/>
      <c r="AI281" s="17">
        <f>SUM(AI274:AI280)</f>
        <v>0</v>
      </c>
      <c r="AJ281" s="59"/>
      <c r="AK281" s="25"/>
      <c r="AM281" s="25"/>
      <c r="AO281" s="25"/>
      <c r="AQ281" s="25"/>
      <c r="AS281" s="25"/>
      <c r="AT281" s="26"/>
      <c r="AU281" s="25"/>
    </row>
    <row r="282" spans="1:47" x14ac:dyDescent="0.2">
      <c r="C282" s="26"/>
      <c r="D282" s="26"/>
      <c r="E282" s="26"/>
      <c r="F282" s="26"/>
      <c r="G282" s="26"/>
      <c r="H282" s="26"/>
      <c r="I282" s="26"/>
      <c r="J282" s="26"/>
      <c r="K282" s="26"/>
      <c r="L282" s="26"/>
      <c r="M282" s="26"/>
      <c r="N282" s="26"/>
      <c r="O282" s="26"/>
      <c r="P282" s="26"/>
      <c r="Q282" s="26"/>
      <c r="R282" s="26"/>
      <c r="S282" s="26"/>
      <c r="T282" s="26"/>
      <c r="U282" s="26"/>
      <c r="V282" s="26"/>
      <c r="W282" s="26"/>
      <c r="X282" s="26"/>
      <c r="Y282" s="26"/>
      <c r="Z282" s="26"/>
      <c r="AA282" s="26"/>
      <c r="AB282" s="26"/>
      <c r="AC282" s="26"/>
      <c r="AD282" s="26"/>
      <c r="AE282" s="26"/>
      <c r="AF282" s="26"/>
      <c r="AG282" s="26"/>
      <c r="AH282" s="26"/>
      <c r="AI282" s="26"/>
      <c r="AJ282" s="59"/>
      <c r="AK282" s="25"/>
      <c r="AM282" s="25"/>
      <c r="AO282" s="25"/>
      <c r="AQ282" s="25"/>
      <c r="AS282" s="25"/>
      <c r="AT282" s="26"/>
      <c r="AU282" s="25"/>
    </row>
    <row r="283" spans="1:47" x14ac:dyDescent="0.2">
      <c r="A283" s="12" t="s">
        <v>52</v>
      </c>
      <c r="C283" s="26"/>
      <c r="D283" s="26"/>
      <c r="E283" s="26"/>
      <c r="F283" s="26"/>
      <c r="G283" s="26"/>
      <c r="H283" s="26"/>
      <c r="I283" s="26"/>
      <c r="J283" s="26"/>
      <c r="K283" s="26"/>
      <c r="L283" s="26"/>
      <c r="M283" s="26"/>
      <c r="N283" s="26"/>
      <c r="O283" s="26"/>
      <c r="P283" s="26"/>
      <c r="Q283" s="26"/>
      <c r="R283" s="26"/>
      <c r="S283" s="26"/>
      <c r="T283" s="26"/>
      <c r="U283" s="26"/>
      <c r="V283" s="26"/>
      <c r="W283" s="26"/>
      <c r="X283" s="26"/>
      <c r="Y283" s="26"/>
      <c r="Z283" s="26"/>
      <c r="AA283" s="26"/>
      <c r="AB283" s="26"/>
      <c r="AC283" s="26"/>
      <c r="AD283" s="26"/>
      <c r="AE283" s="26"/>
      <c r="AF283" s="26"/>
      <c r="AG283" s="26"/>
      <c r="AH283" s="26"/>
      <c r="AI283" s="26"/>
      <c r="AJ283" s="59"/>
      <c r="AK283" s="25"/>
      <c r="AM283" s="25"/>
      <c r="AO283" s="25"/>
      <c r="AQ283" s="25"/>
      <c r="AS283" s="25"/>
      <c r="AT283" s="26"/>
      <c r="AU283" s="25"/>
    </row>
    <row r="284" spans="1:47" x14ac:dyDescent="0.2">
      <c r="B284" s="3" t="s">
        <v>12</v>
      </c>
      <c r="C284" s="17">
        <v>0</v>
      </c>
      <c r="D284" s="17"/>
      <c r="E284" s="17">
        <v>0</v>
      </c>
      <c r="F284" s="17"/>
      <c r="G284" s="17">
        <v>0</v>
      </c>
      <c r="H284" s="17"/>
      <c r="I284" s="17">
        <v>0</v>
      </c>
      <c r="J284" s="17"/>
      <c r="K284" s="17"/>
      <c r="L284" s="17"/>
      <c r="M284" s="17">
        <v>0</v>
      </c>
      <c r="N284" s="17"/>
      <c r="O284" s="17">
        <v>0</v>
      </c>
      <c r="P284" s="17"/>
      <c r="Q284" s="17">
        <v>0</v>
      </c>
      <c r="R284" s="26"/>
      <c r="S284" s="17">
        <v>0</v>
      </c>
      <c r="T284" s="26"/>
      <c r="U284" s="17">
        <v>0</v>
      </c>
      <c r="V284" s="26"/>
      <c r="W284" s="17">
        <v>0</v>
      </c>
      <c r="X284" s="26"/>
      <c r="Y284" s="17">
        <v>0</v>
      </c>
      <c r="Z284" s="26"/>
      <c r="AA284" s="17">
        <v>0</v>
      </c>
      <c r="AB284" s="26"/>
      <c r="AC284" s="17">
        <v>0</v>
      </c>
      <c r="AD284" s="26"/>
      <c r="AE284" s="17">
        <v>0</v>
      </c>
      <c r="AF284" s="17">
        <v>0</v>
      </c>
      <c r="AG284" s="17">
        <v>0</v>
      </c>
      <c r="AH284" s="26"/>
      <c r="AI284" s="14">
        <f t="shared" ref="AI284:AI290" si="79">SUM(C284:AE284)</f>
        <v>0</v>
      </c>
      <c r="AJ284" s="59"/>
      <c r="AK284" s="25"/>
      <c r="AM284" s="25"/>
      <c r="AO284" s="25"/>
      <c r="AQ284" s="25"/>
      <c r="AS284" s="25"/>
      <c r="AT284" s="26"/>
      <c r="AU284" s="25"/>
    </row>
    <row r="285" spans="1:47" x14ac:dyDescent="0.2">
      <c r="B285" s="3" t="s">
        <v>13</v>
      </c>
      <c r="C285" s="17">
        <v>5187.5200000000004</v>
      </c>
      <c r="D285" s="17"/>
      <c r="E285" s="17">
        <v>0</v>
      </c>
      <c r="F285" s="17"/>
      <c r="G285" s="17">
        <v>0</v>
      </c>
      <c r="H285" s="17"/>
      <c r="I285" s="17">
        <v>0</v>
      </c>
      <c r="J285" s="17"/>
      <c r="K285" s="17">
        <v>0</v>
      </c>
      <c r="L285" s="17"/>
      <c r="M285" s="17">
        <v>0</v>
      </c>
      <c r="N285" s="17"/>
      <c r="O285" s="17">
        <v>0</v>
      </c>
      <c r="P285" s="17"/>
      <c r="Q285" s="17">
        <v>0</v>
      </c>
      <c r="R285" s="26"/>
      <c r="S285" s="17">
        <v>0</v>
      </c>
      <c r="T285" s="26"/>
      <c r="U285" s="17">
        <v>0</v>
      </c>
      <c r="V285" s="26"/>
      <c r="W285" s="17">
        <v>0</v>
      </c>
      <c r="X285" s="26"/>
      <c r="Y285" s="17">
        <v>0</v>
      </c>
      <c r="Z285" s="26"/>
      <c r="AA285" s="17">
        <v>0</v>
      </c>
      <c r="AB285" s="26"/>
      <c r="AC285" s="17">
        <v>0</v>
      </c>
      <c r="AD285" s="26"/>
      <c r="AE285" s="17">
        <v>0</v>
      </c>
      <c r="AF285" s="17">
        <v>0</v>
      </c>
      <c r="AG285" s="17">
        <v>0</v>
      </c>
      <c r="AH285" s="26"/>
      <c r="AI285" s="14">
        <f t="shared" si="79"/>
        <v>5187.5200000000004</v>
      </c>
      <c r="AJ285" s="59"/>
      <c r="AK285" s="25"/>
      <c r="AM285" s="25"/>
      <c r="AO285" s="25"/>
      <c r="AQ285" s="25"/>
      <c r="AS285" s="25"/>
      <c r="AT285" s="26"/>
      <c r="AU285" s="25"/>
    </row>
    <row r="286" spans="1:47" x14ac:dyDescent="0.2">
      <c r="B286" s="3" t="s">
        <v>14</v>
      </c>
      <c r="C286" s="17">
        <v>0</v>
      </c>
      <c r="D286" s="17"/>
      <c r="E286" s="17">
        <v>0</v>
      </c>
      <c r="F286" s="17"/>
      <c r="G286" s="17">
        <v>0</v>
      </c>
      <c r="H286" s="17"/>
      <c r="I286" s="17">
        <v>0</v>
      </c>
      <c r="J286" s="17"/>
      <c r="K286" s="17"/>
      <c r="L286" s="17"/>
      <c r="M286" s="17">
        <v>0</v>
      </c>
      <c r="N286" s="17"/>
      <c r="O286" s="17">
        <v>0</v>
      </c>
      <c r="P286" s="17"/>
      <c r="Q286" s="17">
        <v>0</v>
      </c>
      <c r="R286" s="26"/>
      <c r="S286" s="17">
        <v>0</v>
      </c>
      <c r="T286" s="26"/>
      <c r="U286" s="17">
        <v>0</v>
      </c>
      <c r="V286" s="26"/>
      <c r="W286" s="17">
        <v>0</v>
      </c>
      <c r="X286" s="26"/>
      <c r="Y286" s="17">
        <v>0</v>
      </c>
      <c r="Z286" s="26"/>
      <c r="AA286" s="17">
        <v>0</v>
      </c>
      <c r="AB286" s="26"/>
      <c r="AC286" s="17">
        <v>0</v>
      </c>
      <c r="AD286" s="26"/>
      <c r="AE286" s="17">
        <v>0</v>
      </c>
      <c r="AF286" s="17">
        <v>0</v>
      </c>
      <c r="AG286" s="17">
        <v>0</v>
      </c>
      <c r="AH286" s="26"/>
      <c r="AI286" s="14">
        <f t="shared" si="79"/>
        <v>0</v>
      </c>
      <c r="AJ286" s="59"/>
      <c r="AK286" s="25"/>
      <c r="AM286" s="25"/>
      <c r="AO286" s="25"/>
      <c r="AQ286" s="25"/>
      <c r="AS286" s="25"/>
      <c r="AT286" s="26"/>
      <c r="AU286" s="25"/>
    </row>
    <row r="287" spans="1:47" x14ac:dyDescent="0.2">
      <c r="B287" s="3" t="s">
        <v>16</v>
      </c>
      <c r="C287" s="17">
        <v>0</v>
      </c>
      <c r="D287" s="17"/>
      <c r="E287" s="17">
        <v>0</v>
      </c>
      <c r="F287" s="17"/>
      <c r="G287" s="17">
        <v>0</v>
      </c>
      <c r="H287" s="17"/>
      <c r="I287" s="17">
        <v>0</v>
      </c>
      <c r="J287" s="17"/>
      <c r="K287" s="17">
        <v>0</v>
      </c>
      <c r="L287" s="17"/>
      <c r="M287" s="17">
        <v>0</v>
      </c>
      <c r="N287" s="17"/>
      <c r="O287" s="17">
        <v>0</v>
      </c>
      <c r="P287" s="17"/>
      <c r="Q287" s="17">
        <v>0</v>
      </c>
      <c r="R287" s="26"/>
      <c r="S287" s="17">
        <v>0</v>
      </c>
      <c r="T287" s="26"/>
      <c r="U287" s="17">
        <v>0</v>
      </c>
      <c r="V287" s="26"/>
      <c r="W287" s="17">
        <v>0</v>
      </c>
      <c r="X287" s="26"/>
      <c r="Y287" s="17">
        <v>0</v>
      </c>
      <c r="Z287" s="26"/>
      <c r="AA287" s="17">
        <v>0</v>
      </c>
      <c r="AB287" s="26"/>
      <c r="AC287" s="17">
        <v>0</v>
      </c>
      <c r="AD287" s="26"/>
      <c r="AE287" s="17">
        <v>0</v>
      </c>
      <c r="AF287" s="17">
        <v>0</v>
      </c>
      <c r="AG287" s="17">
        <v>0</v>
      </c>
      <c r="AH287" s="26"/>
      <c r="AI287" s="14">
        <f t="shared" si="79"/>
        <v>0</v>
      </c>
      <c r="AJ287" s="59"/>
      <c r="AK287" s="25"/>
      <c r="AM287" s="25"/>
      <c r="AO287" s="25"/>
      <c r="AQ287" s="25"/>
      <c r="AS287" s="25"/>
      <c r="AT287" s="26"/>
      <c r="AU287" s="25"/>
    </row>
    <row r="288" spans="1:47" x14ac:dyDescent="0.2">
      <c r="B288" s="3" t="s">
        <v>17</v>
      </c>
      <c r="C288" s="17">
        <v>0</v>
      </c>
      <c r="D288" s="17"/>
      <c r="E288" s="17">
        <v>0</v>
      </c>
      <c r="F288" s="17"/>
      <c r="G288" s="17">
        <v>0</v>
      </c>
      <c r="H288" s="17"/>
      <c r="I288" s="17">
        <v>0</v>
      </c>
      <c r="J288" s="17"/>
      <c r="K288" s="17">
        <v>0</v>
      </c>
      <c r="L288" s="17"/>
      <c r="M288" s="17">
        <v>0</v>
      </c>
      <c r="N288" s="17"/>
      <c r="O288" s="17">
        <v>0</v>
      </c>
      <c r="P288" s="17"/>
      <c r="Q288" s="17">
        <v>0</v>
      </c>
      <c r="R288" s="26"/>
      <c r="S288" s="17">
        <v>0</v>
      </c>
      <c r="T288" s="26"/>
      <c r="U288" s="17">
        <v>0</v>
      </c>
      <c r="V288" s="26"/>
      <c r="W288" s="17">
        <v>0</v>
      </c>
      <c r="X288" s="26"/>
      <c r="Y288" s="17">
        <v>0</v>
      </c>
      <c r="Z288" s="26"/>
      <c r="AA288" s="17">
        <v>0</v>
      </c>
      <c r="AB288" s="26"/>
      <c r="AC288" s="17">
        <v>0</v>
      </c>
      <c r="AD288" s="26"/>
      <c r="AE288" s="17">
        <v>0</v>
      </c>
      <c r="AF288" s="17">
        <v>0</v>
      </c>
      <c r="AG288" s="17">
        <v>0</v>
      </c>
      <c r="AH288" s="26"/>
      <c r="AI288" s="14">
        <f t="shared" si="79"/>
        <v>0</v>
      </c>
      <c r="AJ288" s="59"/>
      <c r="AK288" s="25"/>
      <c r="AM288" s="25"/>
      <c r="AO288" s="25"/>
      <c r="AQ288" s="25"/>
      <c r="AS288" s="25"/>
      <c r="AT288" s="26"/>
      <c r="AU288" s="25"/>
    </row>
    <row r="289" spans="1:47" x14ac:dyDescent="0.2">
      <c r="B289" s="3" t="s">
        <v>18</v>
      </c>
      <c r="C289" s="17">
        <v>0</v>
      </c>
      <c r="D289" s="17"/>
      <c r="E289" s="17">
        <v>0</v>
      </c>
      <c r="F289" s="17"/>
      <c r="G289" s="17">
        <v>0</v>
      </c>
      <c r="H289" s="17"/>
      <c r="I289" s="17">
        <v>0</v>
      </c>
      <c r="J289" s="17"/>
      <c r="K289" s="17">
        <v>0</v>
      </c>
      <c r="L289" s="17"/>
      <c r="M289" s="17">
        <v>0</v>
      </c>
      <c r="N289" s="17"/>
      <c r="O289" s="17">
        <v>0</v>
      </c>
      <c r="P289" s="17"/>
      <c r="Q289" s="17">
        <v>0</v>
      </c>
      <c r="R289" s="26"/>
      <c r="S289" s="17">
        <v>0</v>
      </c>
      <c r="T289" s="26"/>
      <c r="U289" s="17">
        <v>0</v>
      </c>
      <c r="V289" s="26"/>
      <c r="W289" s="17">
        <v>0</v>
      </c>
      <c r="X289" s="26"/>
      <c r="Y289" s="17">
        <v>0</v>
      </c>
      <c r="Z289" s="26"/>
      <c r="AA289" s="17">
        <v>0</v>
      </c>
      <c r="AB289" s="26"/>
      <c r="AC289" s="17">
        <v>0</v>
      </c>
      <c r="AD289" s="26"/>
      <c r="AE289" s="17">
        <v>0</v>
      </c>
      <c r="AF289" s="17">
        <v>0</v>
      </c>
      <c r="AG289" s="17">
        <v>0</v>
      </c>
      <c r="AH289" s="26"/>
      <c r="AI289" s="14">
        <f t="shared" si="79"/>
        <v>0</v>
      </c>
      <c r="AJ289" s="59"/>
      <c r="AK289" s="25"/>
      <c r="AM289" s="25"/>
      <c r="AO289" s="25"/>
      <c r="AQ289" s="25"/>
      <c r="AS289" s="25"/>
      <c r="AT289" s="26"/>
      <c r="AU289" s="25"/>
    </row>
    <row r="290" spans="1:47" x14ac:dyDescent="0.2">
      <c r="B290" s="3" t="s">
        <v>29</v>
      </c>
      <c r="C290" s="16">
        <v>0</v>
      </c>
      <c r="D290" s="17"/>
      <c r="E290" s="16">
        <v>0</v>
      </c>
      <c r="F290" s="17"/>
      <c r="G290" s="16">
        <v>0</v>
      </c>
      <c r="H290" s="17"/>
      <c r="I290" s="16">
        <v>0</v>
      </c>
      <c r="J290" s="17"/>
      <c r="K290" s="16">
        <v>0</v>
      </c>
      <c r="L290" s="17"/>
      <c r="M290" s="16">
        <v>0</v>
      </c>
      <c r="N290" s="17"/>
      <c r="O290" s="16">
        <v>0</v>
      </c>
      <c r="P290" s="17"/>
      <c r="Q290" s="16">
        <v>0</v>
      </c>
      <c r="R290" s="26"/>
      <c r="S290" s="16">
        <v>0</v>
      </c>
      <c r="T290" s="26"/>
      <c r="U290" s="16">
        <v>0</v>
      </c>
      <c r="V290" s="26"/>
      <c r="W290" s="16">
        <v>0</v>
      </c>
      <c r="X290" s="26"/>
      <c r="Y290" s="16">
        <v>0</v>
      </c>
      <c r="Z290" s="26"/>
      <c r="AA290" s="16">
        <v>0</v>
      </c>
      <c r="AB290" s="26"/>
      <c r="AC290" s="16">
        <v>0</v>
      </c>
      <c r="AD290" s="26"/>
      <c r="AE290" s="16">
        <v>0</v>
      </c>
      <c r="AF290" s="16">
        <v>0</v>
      </c>
      <c r="AG290" s="16">
        <v>0</v>
      </c>
      <c r="AH290" s="26"/>
      <c r="AI290" s="16">
        <f t="shared" si="79"/>
        <v>0</v>
      </c>
      <c r="AJ290" s="59"/>
      <c r="AK290" s="25"/>
      <c r="AM290" s="25"/>
      <c r="AO290" s="25"/>
      <c r="AQ290" s="25"/>
      <c r="AS290" s="25"/>
      <c r="AT290" s="26"/>
      <c r="AU290" s="25"/>
    </row>
    <row r="291" spans="1:47" x14ac:dyDescent="0.2">
      <c r="B291" s="20"/>
      <c r="C291" s="17">
        <f>SUM(C284:C290)</f>
        <v>5187.5200000000004</v>
      </c>
      <c r="D291" s="17"/>
      <c r="E291" s="17">
        <f>SUM(E284:E290)</f>
        <v>0</v>
      </c>
      <c r="F291" s="17"/>
      <c r="G291" s="17">
        <f>SUM(G284:G290)</f>
        <v>0</v>
      </c>
      <c r="H291" s="17"/>
      <c r="I291" s="17">
        <f>SUM(I284:I290)</f>
        <v>0</v>
      </c>
      <c r="J291" s="17"/>
      <c r="K291" s="17">
        <f>SUM(K284:K290)</f>
        <v>0</v>
      </c>
      <c r="L291" s="17"/>
      <c r="M291" s="17">
        <f>SUM(M284:M290)</f>
        <v>0</v>
      </c>
      <c r="N291" s="17"/>
      <c r="O291" s="17">
        <f>SUM(O284:O290)</f>
        <v>0</v>
      </c>
      <c r="P291" s="17"/>
      <c r="Q291" s="17">
        <f>SUM(Q284:Q290)</f>
        <v>0</v>
      </c>
      <c r="R291" s="26"/>
      <c r="S291" s="17">
        <f>SUM(S284:S290)</f>
        <v>0</v>
      </c>
      <c r="T291" s="26"/>
      <c r="U291" s="17">
        <f>SUM(U284:U290)</f>
        <v>0</v>
      </c>
      <c r="V291" s="26"/>
      <c r="W291" s="17">
        <f>SUM(W284:W290)</f>
        <v>0</v>
      </c>
      <c r="X291" s="26"/>
      <c r="Y291" s="17">
        <f>SUM(Y284:Y290)</f>
        <v>0</v>
      </c>
      <c r="Z291" s="26"/>
      <c r="AA291" s="17">
        <f>SUM(AA284:AA290)</f>
        <v>0</v>
      </c>
      <c r="AB291" s="26"/>
      <c r="AC291" s="17">
        <f>SUM(AC284:AC290)</f>
        <v>0</v>
      </c>
      <c r="AD291" s="26"/>
      <c r="AE291" s="17">
        <f>SUM(AE284:AE290)</f>
        <v>0</v>
      </c>
      <c r="AF291" s="17">
        <f>SUM(AF284:AF290)</f>
        <v>0</v>
      </c>
      <c r="AG291" s="17">
        <f>SUM(AG284:AG290)</f>
        <v>0</v>
      </c>
      <c r="AH291" s="26"/>
      <c r="AI291" s="17">
        <f>SUM(AI284:AI290)</f>
        <v>5187.5200000000004</v>
      </c>
      <c r="AJ291" s="59"/>
      <c r="AK291" s="25"/>
      <c r="AM291" s="25"/>
      <c r="AO291" s="25"/>
      <c r="AQ291" s="25"/>
      <c r="AS291" s="25"/>
      <c r="AT291" s="26"/>
      <c r="AU291" s="25"/>
    </row>
    <row r="292" spans="1:47" x14ac:dyDescent="0.2">
      <c r="C292" s="19"/>
      <c r="D292" s="19"/>
      <c r="E292" s="19"/>
      <c r="F292" s="19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  <c r="AA292" s="19"/>
      <c r="AB292" s="19"/>
      <c r="AC292" s="19"/>
      <c r="AD292" s="19"/>
      <c r="AE292" s="19"/>
      <c r="AF292" s="19"/>
      <c r="AG292" s="19"/>
      <c r="AH292" s="19"/>
      <c r="AI292" s="19"/>
      <c r="AK292" s="25"/>
      <c r="AM292" s="25"/>
      <c r="AO292" s="25"/>
      <c r="AQ292" s="25"/>
      <c r="AS292" s="25"/>
      <c r="AT292" s="19"/>
      <c r="AU292" s="25"/>
    </row>
    <row r="293" spans="1:47" x14ac:dyDescent="0.2">
      <c r="A293" s="12" t="s">
        <v>53</v>
      </c>
      <c r="C293" s="19"/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  <c r="AA293" s="19"/>
      <c r="AB293" s="19"/>
      <c r="AC293" s="19"/>
      <c r="AD293" s="19"/>
      <c r="AE293" s="19"/>
      <c r="AF293" s="19"/>
      <c r="AG293" s="19"/>
      <c r="AH293" s="19"/>
      <c r="AI293" s="19"/>
      <c r="AK293" s="25"/>
      <c r="AM293" s="25"/>
      <c r="AO293" s="25"/>
      <c r="AQ293" s="25"/>
      <c r="AS293" s="25"/>
      <c r="AT293" s="19"/>
      <c r="AU293" s="25"/>
    </row>
    <row r="294" spans="1:47" x14ac:dyDescent="0.2">
      <c r="A294" s="12"/>
      <c r="B294" s="3" t="s">
        <v>12</v>
      </c>
      <c r="C294" s="19">
        <f>C259+C274+C284</f>
        <v>0</v>
      </c>
      <c r="D294" s="19"/>
      <c r="E294" s="19">
        <f>E259+E274+E284</f>
        <v>0</v>
      </c>
      <c r="F294" s="19"/>
      <c r="G294" s="19">
        <f>G259+G274+G284</f>
        <v>45997.43</v>
      </c>
      <c r="H294" s="19"/>
      <c r="I294" s="19">
        <f>I259+I274+I284</f>
        <v>0</v>
      </c>
      <c r="J294" s="19"/>
      <c r="K294" s="19">
        <f>K259+K274+K284</f>
        <v>0</v>
      </c>
      <c r="L294" s="19"/>
      <c r="M294" s="19">
        <f>M259+M274+M284</f>
        <v>0</v>
      </c>
      <c r="N294" s="19"/>
      <c r="O294" s="19">
        <f>O259+O274+O284</f>
        <v>0</v>
      </c>
      <c r="P294" s="19"/>
      <c r="Q294" s="19">
        <f>Q259+Q274+Q284</f>
        <v>0</v>
      </c>
      <c r="R294" s="19"/>
      <c r="S294" s="19">
        <f>S259+S274+S284</f>
        <v>-13305.999999999998</v>
      </c>
      <c r="T294" s="19"/>
      <c r="U294" s="19">
        <f>U259+U274+U284</f>
        <v>0</v>
      </c>
      <c r="V294" s="19"/>
      <c r="W294" s="19">
        <f>W259+W274+W284</f>
        <v>0</v>
      </c>
      <c r="X294" s="19"/>
      <c r="Y294" s="19">
        <f>Y259+Y274+Y284</f>
        <v>0</v>
      </c>
      <c r="Z294" s="19"/>
      <c r="AA294" s="19">
        <f>AA259+AA274+AA284</f>
        <v>0</v>
      </c>
      <c r="AB294" s="19"/>
      <c r="AC294" s="19">
        <f>AC259+AC274+AC284</f>
        <v>0</v>
      </c>
      <c r="AD294" s="19"/>
      <c r="AE294" s="19">
        <f>AE259+AE274+AE284</f>
        <v>0</v>
      </c>
      <c r="AF294" s="19">
        <f>AF259+AF274+AF284</f>
        <v>-34875.599999999999</v>
      </c>
      <c r="AG294" s="19">
        <f>AG259+AG274+AG284</f>
        <v>0</v>
      </c>
      <c r="AH294" s="19"/>
      <c r="AI294" s="14">
        <f>SUM(C294:AG294)</f>
        <v>-2184.1699999999983</v>
      </c>
      <c r="AK294" s="25"/>
      <c r="AM294" s="25"/>
      <c r="AO294" s="25"/>
      <c r="AQ294" s="25"/>
      <c r="AS294" s="25"/>
      <c r="AT294" s="19"/>
      <c r="AU294" s="25"/>
    </row>
    <row r="295" spans="1:47" x14ac:dyDescent="0.2">
      <c r="A295" s="12"/>
      <c r="B295" s="3" t="s">
        <v>46</v>
      </c>
      <c r="C295" s="19">
        <f>C260</f>
        <v>0</v>
      </c>
      <c r="D295" s="19"/>
      <c r="E295" s="19">
        <f>E260</f>
        <v>0</v>
      </c>
      <c r="F295" s="19"/>
      <c r="G295" s="19">
        <f>G260</f>
        <v>0</v>
      </c>
      <c r="H295" s="19"/>
      <c r="I295" s="19">
        <f>I260</f>
        <v>0</v>
      </c>
      <c r="J295" s="19"/>
      <c r="K295" s="19">
        <f>K260</f>
        <v>0</v>
      </c>
      <c r="L295" s="19"/>
      <c r="M295" s="19">
        <f>M260</f>
        <v>0</v>
      </c>
      <c r="N295" s="19"/>
      <c r="O295" s="19">
        <f>O260</f>
        <v>0</v>
      </c>
      <c r="P295" s="19"/>
      <c r="Q295" s="19">
        <f>Q260</f>
        <v>0</v>
      </c>
      <c r="R295" s="19"/>
      <c r="S295" s="19">
        <f>S260</f>
        <v>0</v>
      </c>
      <c r="T295" s="19"/>
      <c r="U295" s="19">
        <f>U260</f>
        <v>0</v>
      </c>
      <c r="V295" s="19"/>
      <c r="W295" s="19">
        <f>W260</f>
        <v>0</v>
      </c>
      <c r="X295" s="19"/>
      <c r="Y295" s="19">
        <f>Y260</f>
        <v>0</v>
      </c>
      <c r="Z295" s="19"/>
      <c r="AA295" s="19">
        <f>AA260</f>
        <v>0</v>
      </c>
      <c r="AB295" s="19"/>
      <c r="AC295" s="19">
        <f>AC260</f>
        <v>0</v>
      </c>
      <c r="AD295" s="19"/>
      <c r="AE295" s="19">
        <f>AE260</f>
        <v>0</v>
      </c>
      <c r="AF295" s="19">
        <f>AF260</f>
        <v>0</v>
      </c>
      <c r="AG295" s="19">
        <f>AG260</f>
        <v>0</v>
      </c>
      <c r="AH295" s="19"/>
      <c r="AI295" s="14">
        <f t="shared" ref="AI295:AI305" si="80">SUM(C295:AE295)</f>
        <v>0</v>
      </c>
      <c r="AK295" s="25"/>
      <c r="AM295" s="25"/>
      <c r="AO295" s="25"/>
      <c r="AQ295" s="25"/>
      <c r="AS295" s="25"/>
      <c r="AT295" s="19"/>
      <c r="AU295" s="25"/>
    </row>
    <row r="296" spans="1:47" x14ac:dyDescent="0.2">
      <c r="A296" s="12"/>
      <c r="B296" s="3" t="s">
        <v>13</v>
      </c>
      <c r="C296" s="19">
        <f>C261+C275+C285</f>
        <v>0</v>
      </c>
      <c r="D296" s="19"/>
      <c r="E296" s="19">
        <f>E261+E275+E285</f>
        <v>0</v>
      </c>
      <c r="F296" s="19"/>
      <c r="G296" s="19">
        <f>G261+G275+G285</f>
        <v>0</v>
      </c>
      <c r="H296" s="19"/>
      <c r="I296" s="19">
        <f>I261+I275+I285</f>
        <v>0</v>
      </c>
      <c r="J296" s="19"/>
      <c r="K296" s="19">
        <f>K261+K275+K285</f>
        <v>0</v>
      </c>
      <c r="L296" s="19"/>
      <c r="M296" s="19">
        <f>M261+M275+M285</f>
        <v>0</v>
      </c>
      <c r="N296" s="19"/>
      <c r="O296" s="19">
        <f>O261+O275+O285</f>
        <v>0</v>
      </c>
      <c r="P296" s="19"/>
      <c r="Q296" s="19">
        <f>Q261+Q275+Q285</f>
        <v>0</v>
      </c>
      <c r="R296" s="19"/>
      <c r="S296" s="19">
        <f>S261+S275+S285</f>
        <v>0</v>
      </c>
      <c r="T296" s="19"/>
      <c r="U296" s="19">
        <f>U261+U275+U285</f>
        <v>0</v>
      </c>
      <c r="V296" s="19"/>
      <c r="W296" s="19">
        <f>W261+W275+W285</f>
        <v>0</v>
      </c>
      <c r="X296" s="19"/>
      <c r="Y296" s="19">
        <f>Y261+Y275+Y285</f>
        <v>0</v>
      </c>
      <c r="Z296" s="19"/>
      <c r="AA296" s="19">
        <f>AA261+AA275+AA285</f>
        <v>0</v>
      </c>
      <c r="AB296" s="19"/>
      <c r="AC296" s="19">
        <f>AC261+AC275+AC285</f>
        <v>0</v>
      </c>
      <c r="AD296" s="19"/>
      <c r="AE296" s="19">
        <f t="shared" ref="AE296:AG297" si="81">AE261+AE275+AE285</f>
        <v>0</v>
      </c>
      <c r="AF296" s="19">
        <f t="shared" si="81"/>
        <v>0</v>
      </c>
      <c r="AG296" s="19">
        <f>AG261+AG275+AG285</f>
        <v>-413976.73</v>
      </c>
      <c r="AH296" s="19"/>
      <c r="AI296" s="14">
        <f>SUM(C296:AG296)</f>
        <v>-413976.73</v>
      </c>
      <c r="AK296" s="25"/>
      <c r="AM296" s="25"/>
      <c r="AO296" s="25"/>
      <c r="AQ296" s="25"/>
      <c r="AS296" s="25"/>
      <c r="AT296" s="19"/>
      <c r="AU296" s="25"/>
    </row>
    <row r="297" spans="1:47" x14ac:dyDescent="0.2">
      <c r="A297" s="12"/>
      <c r="B297" s="3" t="s">
        <v>14</v>
      </c>
      <c r="C297" s="19">
        <f>C262+C276+C286</f>
        <v>0</v>
      </c>
      <c r="D297" s="19"/>
      <c r="E297" s="19">
        <f>E262+E276+E286</f>
        <v>0</v>
      </c>
      <c r="F297" s="19"/>
      <c r="G297" s="19">
        <f>G262+G276+G286</f>
        <v>0</v>
      </c>
      <c r="H297" s="19"/>
      <c r="I297" s="19">
        <f>I262+I276+I286</f>
        <v>0</v>
      </c>
      <c r="J297" s="19"/>
      <c r="K297" s="19">
        <f>K262+K276+K286</f>
        <v>0</v>
      </c>
      <c r="L297" s="19"/>
      <c r="M297" s="19">
        <f>M262+M276+M286</f>
        <v>0</v>
      </c>
      <c r="N297" s="19"/>
      <c r="O297" s="19">
        <f>O262+O276+O286</f>
        <v>0</v>
      </c>
      <c r="P297" s="19"/>
      <c r="Q297" s="19">
        <f>Q262+Q276+Q286</f>
        <v>0</v>
      </c>
      <c r="R297" s="19"/>
      <c r="S297" s="19">
        <f>S262+S276+S286</f>
        <v>0</v>
      </c>
      <c r="T297" s="19"/>
      <c r="U297" s="19">
        <f>U262+U276+U286</f>
        <v>0</v>
      </c>
      <c r="V297" s="19"/>
      <c r="W297" s="19">
        <f>W262+W276+W286</f>
        <v>0</v>
      </c>
      <c r="X297" s="19"/>
      <c r="Y297" s="19">
        <f>Y262+Y276+Y286</f>
        <v>0</v>
      </c>
      <c r="Z297" s="19"/>
      <c r="AA297" s="19">
        <f>AA262+AA276+AA286</f>
        <v>0</v>
      </c>
      <c r="AB297" s="19"/>
      <c r="AC297" s="19">
        <f>AC262+AC276+AC286</f>
        <v>0</v>
      </c>
      <c r="AD297" s="19"/>
      <c r="AE297" s="19">
        <f t="shared" si="81"/>
        <v>0</v>
      </c>
      <c r="AF297" s="19">
        <f>AF262+AF276+AF286</f>
        <v>0</v>
      </c>
      <c r="AG297" s="19">
        <f t="shared" si="81"/>
        <v>0</v>
      </c>
      <c r="AH297" s="19"/>
      <c r="AI297" s="14">
        <f t="shared" si="80"/>
        <v>0</v>
      </c>
      <c r="AK297" s="25"/>
      <c r="AM297" s="25"/>
      <c r="AO297" s="25"/>
      <c r="AQ297" s="25"/>
      <c r="AS297" s="25"/>
      <c r="AT297" s="19"/>
      <c r="AU297" s="25"/>
    </row>
    <row r="298" spans="1:47" x14ac:dyDescent="0.2">
      <c r="A298" s="12"/>
      <c r="B298" s="3" t="s">
        <v>47</v>
      </c>
      <c r="C298" s="19">
        <f>C263</f>
        <v>0</v>
      </c>
      <c r="D298" s="19"/>
      <c r="E298" s="19">
        <f>E263</f>
        <v>0</v>
      </c>
      <c r="F298" s="19"/>
      <c r="G298" s="19">
        <f>G263</f>
        <v>0</v>
      </c>
      <c r="H298" s="19"/>
      <c r="I298" s="19">
        <f>I263</f>
        <v>0</v>
      </c>
      <c r="J298" s="19"/>
      <c r="K298" s="19">
        <f>K263</f>
        <v>0</v>
      </c>
      <c r="L298" s="19"/>
      <c r="M298" s="19">
        <f>M263</f>
        <v>0</v>
      </c>
      <c r="N298" s="19"/>
      <c r="O298" s="19">
        <f>O263</f>
        <v>0</v>
      </c>
      <c r="P298" s="19"/>
      <c r="Q298" s="19">
        <f>Q263</f>
        <v>0</v>
      </c>
      <c r="R298" s="19"/>
      <c r="S298" s="19">
        <f>S263</f>
        <v>0</v>
      </c>
      <c r="T298" s="19"/>
      <c r="U298" s="19">
        <f>U263</f>
        <v>0</v>
      </c>
      <c r="V298" s="19"/>
      <c r="W298" s="19">
        <f>W263</f>
        <v>0</v>
      </c>
      <c r="X298" s="19"/>
      <c r="Y298" s="19">
        <f>Y263</f>
        <v>0</v>
      </c>
      <c r="Z298" s="19"/>
      <c r="AA298" s="19">
        <f>AA263</f>
        <v>0</v>
      </c>
      <c r="AB298" s="19"/>
      <c r="AC298" s="19">
        <f>AC263</f>
        <v>0</v>
      </c>
      <c r="AD298" s="19"/>
      <c r="AE298" s="19">
        <f>AE263</f>
        <v>0</v>
      </c>
      <c r="AF298" s="19">
        <f>AF263</f>
        <v>0</v>
      </c>
      <c r="AG298" s="19">
        <f>AG263</f>
        <v>0</v>
      </c>
      <c r="AH298" s="19"/>
      <c r="AI298" s="14">
        <f t="shared" si="80"/>
        <v>0</v>
      </c>
      <c r="AK298" s="25"/>
      <c r="AM298" s="25"/>
      <c r="AO298" s="25"/>
      <c r="AQ298" s="25"/>
      <c r="AS298" s="25"/>
      <c r="AT298" s="19"/>
      <c r="AU298" s="25"/>
    </row>
    <row r="299" spans="1:47" x14ac:dyDescent="0.2">
      <c r="A299" s="12"/>
      <c r="B299" s="3" t="s">
        <v>16</v>
      </c>
      <c r="C299" s="19">
        <f>C264+C277+C287</f>
        <v>0</v>
      </c>
      <c r="D299" s="19"/>
      <c r="E299" s="19">
        <f>E264+E277+E287</f>
        <v>0</v>
      </c>
      <c r="F299" s="19"/>
      <c r="G299" s="19">
        <f>G264+G277+G287</f>
        <v>0</v>
      </c>
      <c r="H299" s="19"/>
      <c r="I299" s="19">
        <f>I264+I277+I287</f>
        <v>0</v>
      </c>
      <c r="J299" s="19"/>
      <c r="K299" s="19">
        <f>K264+K277+K287</f>
        <v>0</v>
      </c>
      <c r="L299" s="19"/>
      <c r="M299" s="19">
        <f>M264+M277+M287</f>
        <v>0</v>
      </c>
      <c r="N299" s="19"/>
      <c r="O299" s="19">
        <f>O264+O277+O287</f>
        <v>0</v>
      </c>
      <c r="P299" s="19"/>
      <c r="Q299" s="19">
        <f>Q264+Q277+Q287</f>
        <v>0</v>
      </c>
      <c r="R299" s="19"/>
      <c r="S299" s="19">
        <f>S264+S277+S287</f>
        <v>0</v>
      </c>
      <c r="T299" s="19"/>
      <c r="U299" s="19">
        <f>U264+U277+U287</f>
        <v>0</v>
      </c>
      <c r="V299" s="19"/>
      <c r="W299" s="19">
        <f>W264+W277+W287</f>
        <v>0</v>
      </c>
      <c r="X299" s="19"/>
      <c r="Y299" s="19">
        <f>Y264+Y277+Y287</f>
        <v>0</v>
      </c>
      <c r="Z299" s="19"/>
      <c r="AA299" s="19">
        <f>AA264+AA277+AA287</f>
        <v>0</v>
      </c>
      <c r="AB299" s="19"/>
      <c r="AC299" s="19">
        <f>AC264+AC277+AC287</f>
        <v>0</v>
      </c>
      <c r="AD299" s="19"/>
      <c r="AE299" s="19">
        <f>AE264+AE277+AE287</f>
        <v>0</v>
      </c>
      <c r="AF299" s="19">
        <f>AF264+AF277+AF287</f>
        <v>0</v>
      </c>
      <c r="AG299" s="19">
        <f>AG264+AG277+AG287</f>
        <v>0</v>
      </c>
      <c r="AH299" s="19"/>
      <c r="AI299" s="14">
        <f>SUM(C299:AF299)</f>
        <v>0</v>
      </c>
      <c r="AK299" s="25"/>
      <c r="AM299" s="25"/>
      <c r="AO299" s="25"/>
      <c r="AQ299" s="25"/>
      <c r="AS299" s="25"/>
      <c r="AT299" s="19"/>
      <c r="AU299" s="25"/>
    </row>
    <row r="300" spans="1:47" x14ac:dyDescent="0.2">
      <c r="A300" s="12"/>
      <c r="B300" s="3" t="s">
        <v>48</v>
      </c>
      <c r="C300" s="19">
        <f>C265</f>
        <v>0</v>
      </c>
      <c r="D300" s="19"/>
      <c r="E300" s="19">
        <f>E265</f>
        <v>0</v>
      </c>
      <c r="F300" s="19"/>
      <c r="G300" s="19">
        <f>G265</f>
        <v>0</v>
      </c>
      <c r="H300" s="19"/>
      <c r="I300" s="19">
        <f>I265</f>
        <v>0</v>
      </c>
      <c r="J300" s="19"/>
      <c r="K300" s="19">
        <f>K265</f>
        <v>0</v>
      </c>
      <c r="L300" s="19"/>
      <c r="M300" s="19">
        <f>M265</f>
        <v>0</v>
      </c>
      <c r="N300" s="19"/>
      <c r="O300" s="19">
        <f>O265</f>
        <v>0</v>
      </c>
      <c r="P300" s="19"/>
      <c r="Q300" s="19">
        <f>Q265</f>
        <v>0</v>
      </c>
      <c r="R300" s="19"/>
      <c r="S300" s="19">
        <f>S265</f>
        <v>0</v>
      </c>
      <c r="T300" s="19"/>
      <c r="U300" s="19">
        <f>U265</f>
        <v>0</v>
      </c>
      <c r="V300" s="19"/>
      <c r="W300" s="19">
        <f>W265</f>
        <v>0</v>
      </c>
      <c r="X300" s="19"/>
      <c r="Y300" s="19">
        <f>Y265</f>
        <v>0</v>
      </c>
      <c r="Z300" s="19"/>
      <c r="AA300" s="19">
        <f>AA265</f>
        <v>0</v>
      </c>
      <c r="AB300" s="19"/>
      <c r="AC300" s="19">
        <f>AC265</f>
        <v>0</v>
      </c>
      <c r="AD300" s="19"/>
      <c r="AE300" s="19">
        <f>AE265</f>
        <v>0</v>
      </c>
      <c r="AF300" s="19">
        <f>AF265+AF277+AF287</f>
        <v>0</v>
      </c>
      <c r="AG300" s="19">
        <f>AG265</f>
        <v>0</v>
      </c>
      <c r="AH300" s="19"/>
      <c r="AI300" s="14">
        <f>SUM(C300:AG300)</f>
        <v>0</v>
      </c>
      <c r="AK300" s="25"/>
      <c r="AM300" s="25"/>
      <c r="AO300" s="25"/>
      <c r="AQ300" s="25"/>
      <c r="AS300" s="25"/>
      <c r="AT300" s="19"/>
      <c r="AU300" s="25"/>
    </row>
    <row r="301" spans="1:47" x14ac:dyDescent="0.2">
      <c r="A301" s="12"/>
      <c r="B301" s="3" t="s">
        <v>17</v>
      </c>
      <c r="C301" s="19">
        <f>C266+C278+C288</f>
        <v>0</v>
      </c>
      <c r="D301" s="19"/>
      <c r="E301" s="19">
        <f>E266+E278+E288</f>
        <v>0</v>
      </c>
      <c r="F301" s="19"/>
      <c r="G301" s="19">
        <f>G266+G278+G288</f>
        <v>0</v>
      </c>
      <c r="H301" s="19"/>
      <c r="I301" s="19">
        <f>I266+I278+I288</f>
        <v>0</v>
      </c>
      <c r="J301" s="19"/>
      <c r="K301" s="19">
        <f>K266</f>
        <v>0</v>
      </c>
      <c r="L301" s="19"/>
      <c r="M301" s="19">
        <f>M266+M278+M288</f>
        <v>0</v>
      </c>
      <c r="N301" s="19"/>
      <c r="O301" s="19">
        <f>O266+O278+O288</f>
        <v>0</v>
      </c>
      <c r="P301" s="19"/>
      <c r="Q301" s="19">
        <f>Q266+Q278+Q288</f>
        <v>0</v>
      </c>
      <c r="R301" s="19"/>
      <c r="S301" s="19">
        <f>S266+S278+S288</f>
        <v>0</v>
      </c>
      <c r="T301" s="19"/>
      <c r="U301" s="19">
        <f>U266+U278+U288</f>
        <v>0</v>
      </c>
      <c r="V301" s="19"/>
      <c r="W301" s="19">
        <f>W266+W278+W288</f>
        <v>0</v>
      </c>
      <c r="X301" s="19"/>
      <c r="Y301" s="19">
        <f>Y266+Y278+Y288</f>
        <v>0</v>
      </c>
      <c r="Z301" s="19"/>
      <c r="AA301" s="19">
        <f>AA266+AA278+AA288</f>
        <v>0</v>
      </c>
      <c r="AB301" s="19"/>
      <c r="AC301" s="19">
        <f>AC266+AC278+AC288</f>
        <v>0</v>
      </c>
      <c r="AD301" s="19"/>
      <c r="AE301" s="19">
        <f>AE266+AE278+AE288</f>
        <v>0</v>
      </c>
      <c r="AF301" s="19">
        <f>AF266+AF280+AF290</f>
        <v>0</v>
      </c>
      <c r="AG301" s="19">
        <f>AG266+AG278+AG288</f>
        <v>0</v>
      </c>
      <c r="AH301" s="19"/>
      <c r="AI301" s="14">
        <f>SUM(C301:AG301)</f>
        <v>0</v>
      </c>
      <c r="AK301" s="25"/>
      <c r="AM301" s="25"/>
      <c r="AO301" s="25"/>
      <c r="AQ301" s="25"/>
      <c r="AS301" s="25"/>
      <c r="AT301" s="19"/>
      <c r="AU301" s="25"/>
    </row>
    <row r="302" spans="1:47" x14ac:dyDescent="0.2">
      <c r="A302" s="12"/>
      <c r="B302" s="3" t="s">
        <v>49</v>
      </c>
      <c r="C302" s="19">
        <f>C267</f>
        <v>0</v>
      </c>
      <c r="D302" s="19"/>
      <c r="E302" s="19">
        <f>E267</f>
        <v>0</v>
      </c>
      <c r="F302" s="19"/>
      <c r="G302" s="19">
        <f>G267</f>
        <v>0</v>
      </c>
      <c r="H302" s="19"/>
      <c r="I302" s="19">
        <f>I267</f>
        <v>0</v>
      </c>
      <c r="J302" s="19"/>
      <c r="K302" s="19">
        <f>K267</f>
        <v>0</v>
      </c>
      <c r="L302" s="19"/>
      <c r="M302" s="19">
        <f>M267</f>
        <v>0</v>
      </c>
      <c r="N302" s="19"/>
      <c r="O302" s="19">
        <f>O267</f>
        <v>0</v>
      </c>
      <c r="P302" s="19"/>
      <c r="Q302" s="19">
        <f>Q267</f>
        <v>0</v>
      </c>
      <c r="R302" s="19"/>
      <c r="S302" s="19">
        <f>S267</f>
        <v>0</v>
      </c>
      <c r="T302" s="19"/>
      <c r="U302" s="19">
        <f>U267</f>
        <v>0</v>
      </c>
      <c r="V302" s="19"/>
      <c r="W302" s="19">
        <f>W267</f>
        <v>0</v>
      </c>
      <c r="X302" s="19"/>
      <c r="Y302" s="19">
        <f>Y267</f>
        <v>0</v>
      </c>
      <c r="Z302" s="19"/>
      <c r="AA302" s="19">
        <f>AA267</f>
        <v>0</v>
      </c>
      <c r="AB302" s="19"/>
      <c r="AC302" s="19">
        <f>AC267</f>
        <v>0</v>
      </c>
      <c r="AD302" s="19"/>
      <c r="AE302" s="19">
        <f>AE267</f>
        <v>0</v>
      </c>
      <c r="AF302" s="19">
        <f>AF267+AF281+AF291</f>
        <v>0</v>
      </c>
      <c r="AG302" s="19">
        <f>AG267</f>
        <v>0</v>
      </c>
      <c r="AH302" s="19"/>
      <c r="AI302" s="14">
        <f t="shared" si="80"/>
        <v>0</v>
      </c>
      <c r="AK302" s="25"/>
      <c r="AM302" s="25"/>
      <c r="AO302" s="25"/>
      <c r="AQ302" s="25"/>
      <c r="AS302" s="25"/>
      <c r="AT302" s="19"/>
      <c r="AU302" s="25"/>
    </row>
    <row r="303" spans="1:47" x14ac:dyDescent="0.2">
      <c r="A303" s="12"/>
      <c r="B303" s="3" t="s">
        <v>18</v>
      </c>
      <c r="C303" s="19">
        <f>C268+C279+C289</f>
        <v>0</v>
      </c>
      <c r="D303" s="19"/>
      <c r="E303" s="19">
        <f>E268+E279+E289</f>
        <v>0</v>
      </c>
      <c r="F303" s="19"/>
      <c r="G303" s="19">
        <f>G268+G279+G289</f>
        <v>-45997.43</v>
      </c>
      <c r="H303" s="19"/>
      <c r="I303" s="19">
        <f>I268+I279+I289</f>
        <v>0</v>
      </c>
      <c r="J303" s="19"/>
      <c r="K303" s="19">
        <f>K268+K279+K289</f>
        <v>0</v>
      </c>
      <c r="L303" s="19"/>
      <c r="M303" s="19">
        <f>M268+M279+M289</f>
        <v>0</v>
      </c>
      <c r="N303" s="19"/>
      <c r="O303" s="19">
        <f>O268+O279+O289</f>
        <v>0</v>
      </c>
      <c r="P303" s="19"/>
      <c r="Q303" s="19">
        <f>Q268+Q279+Q289</f>
        <v>0</v>
      </c>
      <c r="R303" s="19"/>
      <c r="S303" s="19">
        <f>S268+S279+S289</f>
        <v>13305.999999999998</v>
      </c>
      <c r="T303" s="19"/>
      <c r="U303" s="19">
        <f>U268+U279+U289</f>
        <v>0</v>
      </c>
      <c r="V303" s="19"/>
      <c r="W303" s="19">
        <f>W268+W279+W289</f>
        <v>0</v>
      </c>
      <c r="X303" s="19"/>
      <c r="Y303" s="19">
        <f>Y268+Y279+Y289</f>
        <v>0</v>
      </c>
      <c r="Z303" s="19"/>
      <c r="AA303" s="19">
        <f>AA268+AA279+AA289</f>
        <v>0</v>
      </c>
      <c r="AB303" s="19"/>
      <c r="AC303" s="19">
        <f>AC268+AC279+AC289</f>
        <v>0</v>
      </c>
      <c r="AD303" s="19"/>
      <c r="AE303" s="19">
        <f>AE268+AE279+AE289</f>
        <v>0</v>
      </c>
      <c r="AF303" s="19">
        <f>AF268+AF279+AF289</f>
        <v>34875.599999999999</v>
      </c>
      <c r="AG303" s="19">
        <f>AG268+AG279+AG289</f>
        <v>0</v>
      </c>
      <c r="AH303" s="19"/>
      <c r="AI303" s="14">
        <f>SUM(C303:AG303)</f>
        <v>2184.1699999999983</v>
      </c>
      <c r="AK303" s="25"/>
      <c r="AM303" s="25"/>
      <c r="AO303" s="25"/>
      <c r="AQ303" s="25"/>
      <c r="AS303" s="25"/>
      <c r="AT303" s="19"/>
      <c r="AU303" s="25"/>
    </row>
    <row r="304" spans="1:47" x14ac:dyDescent="0.2">
      <c r="A304" s="12"/>
      <c r="B304" s="3" t="s">
        <v>50</v>
      </c>
      <c r="C304" s="19">
        <f>C269</f>
        <v>0</v>
      </c>
      <c r="D304" s="19"/>
      <c r="E304" s="19">
        <f>E269</f>
        <v>0</v>
      </c>
      <c r="F304" s="19"/>
      <c r="G304" s="19">
        <f>G269</f>
        <v>0</v>
      </c>
      <c r="H304" s="19"/>
      <c r="I304" s="19">
        <f>I269</f>
        <v>0</v>
      </c>
      <c r="J304" s="19"/>
      <c r="K304" s="19">
        <f>K269</f>
        <v>0</v>
      </c>
      <c r="L304" s="19"/>
      <c r="M304" s="19">
        <f>M269</f>
        <v>0</v>
      </c>
      <c r="N304" s="19"/>
      <c r="O304" s="19">
        <f>O269</f>
        <v>0</v>
      </c>
      <c r="P304" s="19"/>
      <c r="Q304" s="19">
        <f>Q269</f>
        <v>0</v>
      </c>
      <c r="R304" s="19"/>
      <c r="S304" s="19">
        <f>S269</f>
        <v>0</v>
      </c>
      <c r="T304" s="19"/>
      <c r="U304" s="19">
        <f>U269</f>
        <v>0</v>
      </c>
      <c r="V304" s="19"/>
      <c r="W304" s="19">
        <f>W269</f>
        <v>0</v>
      </c>
      <c r="X304" s="19"/>
      <c r="Y304" s="19">
        <f>Y269</f>
        <v>0</v>
      </c>
      <c r="Z304" s="19"/>
      <c r="AA304" s="19">
        <f>AA269</f>
        <v>0</v>
      </c>
      <c r="AB304" s="19"/>
      <c r="AC304" s="19">
        <f>AC269</f>
        <v>0</v>
      </c>
      <c r="AD304" s="19"/>
      <c r="AE304" s="19">
        <f>AE269</f>
        <v>0</v>
      </c>
      <c r="AF304" s="19">
        <f>AF269</f>
        <v>0</v>
      </c>
      <c r="AG304" s="19">
        <f>AG269</f>
        <v>0</v>
      </c>
      <c r="AH304" s="19"/>
      <c r="AI304" s="14">
        <f t="shared" si="80"/>
        <v>0</v>
      </c>
      <c r="AK304" s="25"/>
      <c r="AM304" s="25"/>
      <c r="AO304" s="25"/>
      <c r="AQ304" s="25"/>
      <c r="AS304" s="25"/>
      <c r="AT304" s="19"/>
      <c r="AU304" s="25"/>
    </row>
    <row r="305" spans="1:47" x14ac:dyDescent="0.2">
      <c r="A305" s="12"/>
      <c r="B305" s="3" t="s">
        <v>29</v>
      </c>
      <c r="C305" s="27">
        <v>0</v>
      </c>
      <c r="D305" s="19"/>
      <c r="E305" s="27">
        <v>0</v>
      </c>
      <c r="F305" s="19"/>
      <c r="G305" s="27">
        <v>0</v>
      </c>
      <c r="H305" s="19"/>
      <c r="I305" s="27">
        <v>0</v>
      </c>
      <c r="J305" s="19"/>
      <c r="K305" s="27">
        <v>0</v>
      </c>
      <c r="L305" s="19"/>
      <c r="M305" s="27">
        <v>0</v>
      </c>
      <c r="N305" s="19"/>
      <c r="O305" s="27">
        <v>0</v>
      </c>
      <c r="P305" s="19"/>
      <c r="Q305" s="27">
        <v>0</v>
      </c>
      <c r="R305" s="19"/>
      <c r="S305" s="27">
        <v>0</v>
      </c>
      <c r="T305" s="19"/>
      <c r="U305" s="27">
        <v>0</v>
      </c>
      <c r="V305" s="19"/>
      <c r="W305" s="27">
        <v>0</v>
      </c>
      <c r="X305" s="19"/>
      <c r="Y305" s="27">
        <v>0</v>
      </c>
      <c r="Z305" s="19"/>
      <c r="AA305" s="27">
        <v>0</v>
      </c>
      <c r="AB305" s="19"/>
      <c r="AC305" s="27">
        <v>0</v>
      </c>
      <c r="AD305" s="19"/>
      <c r="AE305" s="27">
        <v>0</v>
      </c>
      <c r="AF305" s="27">
        <v>0</v>
      </c>
      <c r="AG305" s="27">
        <v>0</v>
      </c>
      <c r="AH305" s="19"/>
      <c r="AI305" s="16">
        <f t="shared" si="80"/>
        <v>0</v>
      </c>
      <c r="AK305" s="25"/>
      <c r="AM305" s="25"/>
      <c r="AO305" s="25"/>
      <c r="AQ305" s="25"/>
      <c r="AS305" s="25"/>
      <c r="AT305" s="19"/>
      <c r="AU305" s="25"/>
    </row>
    <row r="306" spans="1:47" x14ac:dyDescent="0.2">
      <c r="B306" s="20"/>
      <c r="C306" s="26">
        <f>SUM(C294:C305)</f>
        <v>0</v>
      </c>
      <c r="D306" s="26"/>
      <c r="E306" s="26">
        <f>SUM(E294:E305)</f>
        <v>0</v>
      </c>
      <c r="F306" s="26"/>
      <c r="G306" s="26">
        <f>SUM(G294:G305)</f>
        <v>0</v>
      </c>
      <c r="H306" s="26"/>
      <c r="I306" s="26">
        <f>SUM(I294:I305)</f>
        <v>0</v>
      </c>
      <c r="J306" s="26"/>
      <c r="K306" s="26">
        <f>SUM(K294:K305)</f>
        <v>0</v>
      </c>
      <c r="L306" s="26"/>
      <c r="M306" s="26">
        <f>SUM(M294:M305)</f>
        <v>0</v>
      </c>
      <c r="N306" s="26"/>
      <c r="O306" s="26">
        <f>SUM(O294:O305)</f>
        <v>0</v>
      </c>
      <c r="P306" s="26"/>
      <c r="Q306" s="26">
        <f>SUM(Q294:Q305)</f>
        <v>0</v>
      </c>
      <c r="R306" s="26"/>
      <c r="S306" s="26">
        <f>SUM(S294:S305)</f>
        <v>0</v>
      </c>
      <c r="T306" s="26"/>
      <c r="U306" s="26">
        <f>SUM(U294:U305)</f>
        <v>0</v>
      </c>
      <c r="V306" s="26"/>
      <c r="W306" s="26">
        <f>SUM(W294:W305)</f>
        <v>0</v>
      </c>
      <c r="X306" s="26"/>
      <c r="Y306" s="26">
        <f>SUM(Y294:Y305)</f>
        <v>0</v>
      </c>
      <c r="Z306" s="26"/>
      <c r="AA306" s="26">
        <f>SUM(AA294:AA305)</f>
        <v>0</v>
      </c>
      <c r="AB306" s="26"/>
      <c r="AC306" s="26">
        <f>SUM(AC294:AC305)</f>
        <v>0</v>
      </c>
      <c r="AD306" s="26"/>
      <c r="AE306" s="26">
        <f>SUM(AE294:AE305)</f>
        <v>0</v>
      </c>
      <c r="AF306" s="26">
        <f>SUM(AF294:AF305)</f>
        <v>0</v>
      </c>
      <c r="AG306" s="26">
        <f>SUM(AG294:AG305)</f>
        <v>-413976.73</v>
      </c>
      <c r="AH306" s="26"/>
      <c r="AI306" s="26">
        <f>SUM(AI294:AI305)</f>
        <v>-413976.73</v>
      </c>
      <c r="AJ306" s="59"/>
      <c r="AK306" s="25"/>
      <c r="AM306" s="25"/>
      <c r="AO306" s="25"/>
      <c r="AQ306" s="25"/>
      <c r="AS306" s="25"/>
      <c r="AT306" s="26"/>
      <c r="AU306" s="25"/>
    </row>
    <row r="307" spans="1:47" x14ac:dyDescent="0.2"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  <c r="AA307" s="19"/>
      <c r="AB307" s="19"/>
      <c r="AC307" s="19"/>
      <c r="AD307" s="19"/>
      <c r="AE307" s="19"/>
      <c r="AF307" s="19"/>
      <c r="AG307" s="19"/>
      <c r="AH307" s="19"/>
      <c r="AI307" s="19"/>
      <c r="AK307" s="25"/>
      <c r="AM307" s="25"/>
      <c r="AO307" s="25"/>
      <c r="AQ307" s="25"/>
      <c r="AS307" s="25"/>
      <c r="AT307" s="19"/>
      <c r="AU307" s="25"/>
    </row>
    <row r="308" spans="1:47" ht="13.5" customHeight="1" x14ac:dyDescent="0.2">
      <c r="A308" s="12" t="s">
        <v>54</v>
      </c>
      <c r="C308" s="19"/>
      <c r="D308" s="19"/>
      <c r="E308" s="19"/>
      <c r="F308" s="19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  <c r="AA308" s="19"/>
      <c r="AB308" s="19"/>
      <c r="AC308" s="19"/>
      <c r="AD308" s="19"/>
      <c r="AE308" s="19"/>
      <c r="AF308" s="19"/>
      <c r="AG308" s="19"/>
      <c r="AH308" s="19"/>
      <c r="AI308" s="19"/>
      <c r="AK308" s="25"/>
      <c r="AM308" s="25"/>
      <c r="AO308" s="25"/>
      <c r="AQ308" s="25"/>
      <c r="AS308" s="25"/>
      <c r="AT308" s="19"/>
      <c r="AU308" s="25"/>
    </row>
    <row r="309" spans="1:47" x14ac:dyDescent="0.2">
      <c r="B309" s="3" t="s">
        <v>11</v>
      </c>
      <c r="C309" s="19">
        <v>0</v>
      </c>
      <c r="D309" s="19"/>
      <c r="E309" s="19">
        <v>0</v>
      </c>
      <c r="F309" s="19"/>
      <c r="G309" s="19">
        <v>0</v>
      </c>
      <c r="H309" s="19"/>
      <c r="I309" s="19">
        <v>16751.28</v>
      </c>
      <c r="J309" s="19"/>
      <c r="K309" s="19">
        <v>0</v>
      </c>
      <c r="L309" s="19"/>
      <c r="M309" s="19">
        <v>0</v>
      </c>
      <c r="N309" s="19"/>
      <c r="O309" s="19">
        <v>0</v>
      </c>
      <c r="P309" s="19"/>
      <c r="Q309" s="19">
        <v>0</v>
      </c>
      <c r="R309" s="19"/>
      <c r="S309" s="19">
        <v>0</v>
      </c>
      <c r="T309" s="19"/>
      <c r="U309" s="19">
        <v>0</v>
      </c>
      <c r="V309" s="19"/>
      <c r="W309" s="19">
        <v>0</v>
      </c>
      <c r="X309" s="19"/>
      <c r="Y309" s="19">
        <v>0</v>
      </c>
      <c r="Z309" s="19"/>
      <c r="AA309" s="19">
        <v>0</v>
      </c>
      <c r="AB309" s="19"/>
      <c r="AC309" s="19">
        <v>0</v>
      </c>
      <c r="AD309" s="19"/>
      <c r="AE309" s="19">
        <v>0</v>
      </c>
      <c r="AF309" s="19">
        <v>0</v>
      </c>
      <c r="AG309" s="19">
        <v>0</v>
      </c>
      <c r="AH309" s="19"/>
      <c r="AI309" s="16">
        <f>SUM(C309:AG309)</f>
        <v>16751.28</v>
      </c>
      <c r="AJ309" s="34"/>
      <c r="AK309" s="25"/>
      <c r="AM309" s="25"/>
      <c r="AO309" s="25"/>
      <c r="AQ309" s="25"/>
      <c r="AS309" s="25"/>
      <c r="AT309" s="19"/>
      <c r="AU309" s="25"/>
    </row>
    <row r="310" spans="1:47" x14ac:dyDescent="0.2">
      <c r="B310" s="20"/>
      <c r="C310" s="31">
        <f>SUM(C309:C309)</f>
        <v>0</v>
      </c>
      <c r="D310" s="19"/>
      <c r="E310" s="31">
        <f>SUM(E309:E309)</f>
        <v>0</v>
      </c>
      <c r="F310" s="19"/>
      <c r="G310" s="31">
        <f>SUM(G309:G309)</f>
        <v>0</v>
      </c>
      <c r="H310" s="19"/>
      <c r="I310" s="31">
        <f>SUM(I309:I309)</f>
        <v>16751.28</v>
      </c>
      <c r="J310" s="19"/>
      <c r="K310" s="31">
        <f>SUM(K309:K309)</f>
        <v>0</v>
      </c>
      <c r="L310" s="19"/>
      <c r="M310" s="31">
        <f>SUM(M309:M309)</f>
        <v>0</v>
      </c>
      <c r="N310" s="19"/>
      <c r="O310" s="31">
        <f>SUM(O309:O309)</f>
        <v>0</v>
      </c>
      <c r="P310" s="19"/>
      <c r="Q310" s="31">
        <f>SUM(Q309:Q309)</f>
        <v>0</v>
      </c>
      <c r="R310" s="19"/>
      <c r="S310" s="31">
        <f>SUM(S309:S309)</f>
        <v>0</v>
      </c>
      <c r="T310" s="19"/>
      <c r="U310" s="31">
        <f>SUM(U309:U309)</f>
        <v>0</v>
      </c>
      <c r="V310" s="19"/>
      <c r="W310" s="31">
        <f>SUM(W309:W309)</f>
        <v>0</v>
      </c>
      <c r="X310" s="19"/>
      <c r="Y310" s="31">
        <f>SUM(Y309:Y309)</f>
        <v>0</v>
      </c>
      <c r="Z310" s="19"/>
      <c r="AA310" s="31">
        <f>SUM(AA309:AA309)</f>
        <v>0</v>
      </c>
      <c r="AB310" s="19"/>
      <c r="AC310" s="31">
        <f>SUM(AC309:AC309)</f>
        <v>0</v>
      </c>
      <c r="AD310" s="19"/>
      <c r="AE310" s="31">
        <f>SUM(AE309:AE309)</f>
        <v>0</v>
      </c>
      <c r="AF310" s="31">
        <f>SUM(AF309:AF309)</f>
        <v>0</v>
      </c>
      <c r="AG310" s="31">
        <f>SUM(AG309:AG309)</f>
        <v>0</v>
      </c>
      <c r="AH310" s="19"/>
      <c r="AI310" s="31">
        <f>SUM(AI309:AI309)</f>
        <v>16751.28</v>
      </c>
      <c r="AJ310" s="34"/>
      <c r="AK310" s="25"/>
      <c r="AM310" s="25"/>
      <c r="AO310" s="25"/>
      <c r="AQ310" s="25"/>
      <c r="AS310" s="25"/>
      <c r="AT310" s="19"/>
      <c r="AU310" s="25"/>
    </row>
    <row r="311" spans="1:47" x14ac:dyDescent="0.2">
      <c r="C311" s="19"/>
      <c r="D311" s="19"/>
      <c r="E311" s="19"/>
      <c r="F311" s="19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  <c r="AA311" s="19"/>
      <c r="AB311" s="19"/>
      <c r="AC311" s="19"/>
      <c r="AD311" s="19"/>
      <c r="AE311" s="19"/>
      <c r="AF311" s="19"/>
      <c r="AG311" s="19"/>
      <c r="AH311" s="19"/>
      <c r="AI311" s="19"/>
      <c r="AJ311" s="34"/>
      <c r="AK311" s="25"/>
      <c r="AM311" s="25"/>
      <c r="AO311" s="25"/>
      <c r="AQ311" s="25"/>
      <c r="AS311" s="25"/>
      <c r="AT311" s="19"/>
      <c r="AU311" s="25"/>
    </row>
    <row r="312" spans="1:47" x14ac:dyDescent="0.2">
      <c r="B312" s="20" t="s">
        <v>55</v>
      </c>
      <c r="C312" s="27">
        <f>C306+C310</f>
        <v>0</v>
      </c>
      <c r="D312" s="19"/>
      <c r="E312" s="27">
        <f>E306+E310</f>
        <v>0</v>
      </c>
      <c r="F312" s="19"/>
      <c r="G312" s="27">
        <f>G306+G310</f>
        <v>0</v>
      </c>
      <c r="H312" s="19"/>
      <c r="I312" s="27">
        <f>I306+I310</f>
        <v>16751.28</v>
      </c>
      <c r="J312" s="19"/>
      <c r="K312" s="27">
        <f>K306+K310</f>
        <v>0</v>
      </c>
      <c r="L312" s="19"/>
      <c r="M312" s="27">
        <f>M306+M310</f>
        <v>0</v>
      </c>
      <c r="N312" s="19"/>
      <c r="O312" s="27">
        <f>O306+O310</f>
        <v>0</v>
      </c>
      <c r="P312" s="19"/>
      <c r="Q312" s="27">
        <f>Q306+Q310</f>
        <v>0</v>
      </c>
      <c r="R312" s="19"/>
      <c r="S312" s="27">
        <f>S306+S310</f>
        <v>0</v>
      </c>
      <c r="T312" s="19"/>
      <c r="U312" s="27">
        <f>U306+U310</f>
        <v>0</v>
      </c>
      <c r="V312" s="19"/>
      <c r="W312" s="27">
        <f>W306+W310</f>
        <v>0</v>
      </c>
      <c r="X312" s="19"/>
      <c r="Y312" s="27">
        <f>Y306+Y310</f>
        <v>0</v>
      </c>
      <c r="Z312" s="19"/>
      <c r="AA312" s="27">
        <f>AA306+AA310</f>
        <v>0</v>
      </c>
      <c r="AB312" s="19"/>
      <c r="AC312" s="27">
        <f>AC306+AC310</f>
        <v>0</v>
      </c>
      <c r="AD312" s="19"/>
      <c r="AE312" s="27">
        <f>AE306+AE310</f>
        <v>0</v>
      </c>
      <c r="AF312" s="27">
        <f>AF306+AF310</f>
        <v>0</v>
      </c>
      <c r="AG312" s="27">
        <f>AG306+AG310</f>
        <v>-413976.73</v>
      </c>
      <c r="AH312" s="19"/>
      <c r="AI312" s="27">
        <f>AI306+AI310</f>
        <v>-397225.44999999995</v>
      </c>
      <c r="AJ312" s="34"/>
      <c r="AK312" s="25"/>
      <c r="AM312" s="25"/>
      <c r="AO312" s="25"/>
      <c r="AQ312" s="25"/>
      <c r="AS312" s="25"/>
      <c r="AT312" s="19"/>
      <c r="AU312" s="25"/>
    </row>
    <row r="313" spans="1:47" x14ac:dyDescent="0.2">
      <c r="C313" s="19"/>
      <c r="D313" s="19"/>
      <c r="E313" s="19"/>
      <c r="F313" s="19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  <c r="AA313" s="19"/>
      <c r="AB313" s="19"/>
      <c r="AC313" s="19"/>
      <c r="AD313" s="19"/>
      <c r="AE313" s="19"/>
      <c r="AF313" s="19"/>
      <c r="AG313" s="19"/>
      <c r="AH313" s="19"/>
      <c r="AI313" s="19"/>
      <c r="AJ313" s="34"/>
      <c r="AK313" s="25"/>
      <c r="AM313" s="25"/>
      <c r="AO313" s="25"/>
      <c r="AQ313" s="25"/>
      <c r="AS313" s="25"/>
      <c r="AT313" s="19"/>
      <c r="AU313" s="25"/>
    </row>
    <row r="314" spans="1:47" x14ac:dyDescent="0.2">
      <c r="A314" s="12" t="s">
        <v>56</v>
      </c>
      <c r="C314" s="19"/>
      <c r="D314" s="19"/>
      <c r="E314" s="19"/>
      <c r="F314" s="19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  <c r="AA314" s="19"/>
      <c r="AB314" s="19"/>
      <c r="AC314" s="19"/>
      <c r="AD314" s="19"/>
      <c r="AE314" s="19"/>
      <c r="AF314" s="19"/>
      <c r="AG314" s="19"/>
      <c r="AH314" s="19"/>
      <c r="AI314" s="19"/>
      <c r="AJ314" s="34"/>
      <c r="AK314" s="25"/>
      <c r="AM314" s="25"/>
      <c r="AO314" s="25"/>
      <c r="AQ314" s="25"/>
      <c r="AS314" s="25"/>
      <c r="AT314" s="19"/>
      <c r="AU314" s="25"/>
    </row>
    <row r="315" spans="1:47" x14ac:dyDescent="0.2">
      <c r="B315" s="3" t="s">
        <v>11</v>
      </c>
      <c r="C315" s="27">
        <v>0</v>
      </c>
      <c r="D315" s="26"/>
      <c r="E315" s="27">
        <v>0</v>
      </c>
      <c r="F315" s="26"/>
      <c r="G315" s="27">
        <v>0</v>
      </c>
      <c r="H315" s="26"/>
      <c r="I315" s="27">
        <v>0</v>
      </c>
      <c r="J315" s="26"/>
      <c r="K315" s="27">
        <v>0</v>
      </c>
      <c r="L315" s="26"/>
      <c r="M315" s="27">
        <v>0</v>
      </c>
      <c r="N315" s="26"/>
      <c r="O315" s="27">
        <v>0</v>
      </c>
      <c r="P315" s="26"/>
      <c r="Q315" s="27">
        <v>0</v>
      </c>
      <c r="R315" s="26"/>
      <c r="S315" s="27">
        <v>0</v>
      </c>
      <c r="T315" s="26"/>
      <c r="U315" s="27">
        <v>0</v>
      </c>
      <c r="V315" s="26"/>
      <c r="W315" s="27">
        <v>0</v>
      </c>
      <c r="X315" s="26"/>
      <c r="Y315" s="27">
        <v>0</v>
      </c>
      <c r="Z315" s="26"/>
      <c r="AA315" s="27">
        <v>0</v>
      </c>
      <c r="AB315" s="26"/>
      <c r="AC315" s="27">
        <v>0</v>
      </c>
      <c r="AD315" s="26"/>
      <c r="AE315" s="27">
        <v>0</v>
      </c>
      <c r="AF315" s="27">
        <v>0</v>
      </c>
      <c r="AG315" s="27">
        <v>0</v>
      </c>
      <c r="AH315" s="26"/>
      <c r="AI315" s="16">
        <f>SUM(C315:AE315)</f>
        <v>0</v>
      </c>
      <c r="AJ315" s="131"/>
      <c r="AK315" s="25"/>
      <c r="AM315" s="25"/>
      <c r="AO315" s="25"/>
      <c r="AQ315" s="25"/>
      <c r="AS315" s="25"/>
      <c r="AT315" s="26"/>
      <c r="AU315" s="25"/>
    </row>
    <row r="316" spans="1:47" x14ac:dyDescent="0.2">
      <c r="B316" s="20"/>
      <c r="C316" s="26">
        <f>SUM(C315:C315)</f>
        <v>0</v>
      </c>
      <c r="D316" s="26"/>
      <c r="E316" s="26">
        <f>SUM(E315:E315)</f>
        <v>0</v>
      </c>
      <c r="F316" s="26"/>
      <c r="G316" s="26">
        <f>SUM(G315:G315)</f>
        <v>0</v>
      </c>
      <c r="H316" s="26"/>
      <c r="I316" s="26">
        <f>SUM(I315:I315)</f>
        <v>0</v>
      </c>
      <c r="J316" s="26"/>
      <c r="K316" s="26">
        <f>SUM(K315:K315)</f>
        <v>0</v>
      </c>
      <c r="L316" s="26"/>
      <c r="M316" s="26">
        <f>SUM(M315:M315)</f>
        <v>0</v>
      </c>
      <c r="N316" s="26"/>
      <c r="O316" s="26">
        <f>SUM(O315:O315)</f>
        <v>0</v>
      </c>
      <c r="P316" s="26"/>
      <c r="Q316" s="26">
        <f>SUM(Q315:Q315)</f>
        <v>0</v>
      </c>
      <c r="R316" s="26"/>
      <c r="S316" s="26">
        <f>SUM(S315:S315)</f>
        <v>0</v>
      </c>
      <c r="T316" s="26"/>
      <c r="U316" s="26">
        <f>SUM(U315:U315)</f>
        <v>0</v>
      </c>
      <c r="V316" s="26"/>
      <c r="W316" s="26">
        <f>SUM(W315:W315)</f>
        <v>0</v>
      </c>
      <c r="X316" s="26"/>
      <c r="Y316" s="26">
        <f>SUM(Y315:Y315)</f>
        <v>0</v>
      </c>
      <c r="Z316" s="26"/>
      <c r="AA316" s="26">
        <f>SUM(AA315:AA315)</f>
        <v>0</v>
      </c>
      <c r="AB316" s="26"/>
      <c r="AC316" s="26">
        <f>SUM(AC315:AC315)</f>
        <v>0</v>
      </c>
      <c r="AD316" s="26"/>
      <c r="AE316" s="26">
        <f>SUM(AE315:AE315)</f>
        <v>0</v>
      </c>
      <c r="AF316" s="26">
        <f>SUM(AF315:AF315)</f>
        <v>0</v>
      </c>
      <c r="AG316" s="26">
        <f>SUM(AG315:AG315)</f>
        <v>0</v>
      </c>
      <c r="AH316" s="26"/>
      <c r="AI316" s="26">
        <f>SUM(AI315:AI315)</f>
        <v>0</v>
      </c>
      <c r="AJ316" s="131"/>
      <c r="AK316" s="25"/>
      <c r="AM316" s="25"/>
      <c r="AO316" s="25"/>
      <c r="AQ316" s="25"/>
      <c r="AS316" s="25"/>
      <c r="AT316" s="26"/>
      <c r="AU316" s="25"/>
    </row>
    <row r="317" spans="1:47" x14ac:dyDescent="0.2">
      <c r="B317" s="20"/>
      <c r="C317" s="26"/>
      <c r="D317" s="26"/>
      <c r="E317" s="26"/>
      <c r="F317" s="26"/>
      <c r="G317" s="26"/>
      <c r="H317" s="26"/>
      <c r="I317" s="26"/>
      <c r="J317" s="26"/>
      <c r="K317" s="26"/>
      <c r="L317" s="26"/>
      <c r="M317" s="26"/>
      <c r="N317" s="26"/>
      <c r="O317" s="26"/>
      <c r="P317" s="26"/>
      <c r="Q317" s="26"/>
      <c r="R317" s="26"/>
      <c r="S317" s="26"/>
      <c r="T317" s="26"/>
      <c r="U317" s="26"/>
      <c r="V317" s="26"/>
      <c r="W317" s="26"/>
      <c r="X317" s="26"/>
      <c r="Y317" s="26"/>
      <c r="Z317" s="26"/>
      <c r="AA317" s="26"/>
      <c r="AB317" s="26"/>
      <c r="AC317" s="26"/>
      <c r="AD317" s="26"/>
      <c r="AE317" s="26"/>
      <c r="AF317" s="26"/>
      <c r="AG317" s="26"/>
      <c r="AH317" s="26"/>
      <c r="AI317" s="26"/>
      <c r="AJ317" s="131"/>
      <c r="AK317" s="25"/>
      <c r="AM317" s="25"/>
      <c r="AO317" s="25"/>
      <c r="AQ317" s="25"/>
      <c r="AS317" s="25"/>
      <c r="AT317" s="26"/>
      <c r="AU317" s="25"/>
    </row>
    <row r="318" spans="1:47" x14ac:dyDescent="0.2">
      <c r="C318" s="19"/>
      <c r="D318" s="19"/>
      <c r="E318" s="19"/>
      <c r="F318" s="19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  <c r="AA318" s="19"/>
      <c r="AB318" s="19"/>
      <c r="AC318" s="19"/>
      <c r="AD318" s="19"/>
      <c r="AE318" s="19"/>
      <c r="AF318" s="19"/>
      <c r="AG318" s="19"/>
      <c r="AH318" s="19"/>
      <c r="AI318" s="19"/>
      <c r="AJ318" s="34"/>
      <c r="AK318" s="25"/>
      <c r="AM318" s="25"/>
      <c r="AO318" s="25"/>
      <c r="AQ318" s="25"/>
      <c r="AS318" s="25"/>
      <c r="AT318" s="19"/>
      <c r="AU318" s="25"/>
    </row>
    <row r="319" spans="1:47" ht="13.5" thickBot="1" x14ac:dyDescent="0.25">
      <c r="B319" s="20" t="s">
        <v>57</v>
      </c>
      <c r="C319" s="33">
        <f>C312+C316</f>
        <v>0</v>
      </c>
      <c r="D319" s="19"/>
      <c r="E319" s="33">
        <f>E312+E316</f>
        <v>0</v>
      </c>
      <c r="F319" s="19"/>
      <c r="G319" s="33">
        <f>G312+G316</f>
        <v>0</v>
      </c>
      <c r="H319" s="19"/>
      <c r="I319" s="33">
        <f>I312+I316</f>
        <v>16751.28</v>
      </c>
      <c r="J319" s="19"/>
      <c r="K319" s="33">
        <f>K312+K316</f>
        <v>0</v>
      </c>
      <c r="L319" s="19"/>
      <c r="M319" s="33">
        <f>M312+M316</f>
        <v>0</v>
      </c>
      <c r="N319" s="19"/>
      <c r="O319" s="33">
        <f>O312+O316</f>
        <v>0</v>
      </c>
      <c r="P319" s="19"/>
      <c r="Q319" s="33">
        <f>Q312+Q316</f>
        <v>0</v>
      </c>
      <c r="R319" s="19"/>
      <c r="S319" s="33">
        <f>S312+S316</f>
        <v>0</v>
      </c>
      <c r="T319" s="19"/>
      <c r="U319" s="33">
        <f>U312+U316</f>
        <v>0</v>
      </c>
      <c r="V319" s="19"/>
      <c r="W319" s="33">
        <f>W312+W316</f>
        <v>0</v>
      </c>
      <c r="X319" s="19"/>
      <c r="Y319" s="33">
        <f>Y312+Y316</f>
        <v>0</v>
      </c>
      <c r="Z319" s="19"/>
      <c r="AA319" s="33">
        <f>AA312+AA316</f>
        <v>0</v>
      </c>
      <c r="AB319" s="19"/>
      <c r="AC319" s="33">
        <f>AC312+AC316</f>
        <v>0</v>
      </c>
      <c r="AD319" s="19"/>
      <c r="AE319" s="33">
        <f>AE312+AE316</f>
        <v>0</v>
      </c>
      <c r="AF319" s="33">
        <f>AF312+AF316</f>
        <v>0</v>
      </c>
      <c r="AG319" s="33">
        <f>AG312+AG316</f>
        <v>-413976.73</v>
      </c>
      <c r="AH319" s="19"/>
      <c r="AI319" s="33">
        <f>AI312+AI316</f>
        <v>-397225.44999999995</v>
      </c>
      <c r="AJ319" s="34"/>
      <c r="AK319" s="25"/>
      <c r="AM319" s="25"/>
      <c r="AO319" s="25"/>
      <c r="AQ319" s="25"/>
      <c r="AS319" s="25"/>
      <c r="AT319" s="19"/>
      <c r="AU319" s="25"/>
    </row>
    <row r="320" spans="1:47" ht="13.5" thickTop="1" x14ac:dyDescent="0.2">
      <c r="A320" s="12"/>
      <c r="B320" s="134"/>
      <c r="C320" s="26"/>
      <c r="D320" s="19"/>
      <c r="E320" s="26"/>
      <c r="F320" s="19"/>
      <c r="G320" s="26"/>
      <c r="H320" s="19"/>
      <c r="I320" s="26"/>
      <c r="J320" s="19"/>
      <c r="K320" s="26"/>
      <c r="L320" s="19"/>
      <c r="M320" s="26"/>
      <c r="N320" s="19"/>
      <c r="O320" s="26"/>
      <c r="P320" s="19"/>
      <c r="Q320" s="26"/>
      <c r="R320" s="19"/>
      <c r="S320" s="26"/>
      <c r="T320" s="19"/>
      <c r="U320" s="26"/>
      <c r="V320" s="19"/>
      <c r="W320" s="26"/>
      <c r="X320" s="19"/>
      <c r="Y320" s="26"/>
      <c r="Z320" s="19"/>
      <c r="AA320" s="26"/>
      <c r="AB320" s="19"/>
      <c r="AC320" s="26"/>
      <c r="AD320" s="19"/>
      <c r="AE320" s="26"/>
      <c r="AF320" s="26"/>
      <c r="AG320" s="26"/>
      <c r="AH320" s="19"/>
      <c r="AI320" s="26"/>
      <c r="AJ320" s="34"/>
      <c r="AK320" s="25"/>
      <c r="AM320" s="25"/>
      <c r="AO320" s="25"/>
      <c r="AQ320" s="25"/>
      <c r="AS320" s="25"/>
      <c r="AT320" s="19"/>
      <c r="AU320" s="25"/>
    </row>
    <row r="321" spans="1:47" ht="13.5" x14ac:dyDescent="0.25">
      <c r="A321" s="80"/>
      <c r="B321" s="135"/>
      <c r="C321" s="19"/>
      <c r="D321" s="19"/>
      <c r="E321" s="19"/>
      <c r="F321" s="19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  <c r="AA321" s="19"/>
      <c r="AB321" s="19"/>
      <c r="AC321" s="19"/>
      <c r="AD321" s="19"/>
      <c r="AE321" s="19"/>
      <c r="AF321" s="19"/>
      <c r="AG321" s="19"/>
      <c r="AH321" s="19"/>
      <c r="AI321" s="19"/>
      <c r="AJ321" s="34"/>
      <c r="AK321" s="19"/>
      <c r="AL321" s="19"/>
      <c r="AM321" s="19"/>
      <c r="AN321" s="19"/>
      <c r="AO321" s="19"/>
      <c r="AP321" s="19"/>
      <c r="AQ321" s="19"/>
      <c r="AR321" s="19"/>
      <c r="AS321" s="19"/>
      <c r="AT321" s="19"/>
      <c r="AU321" s="19"/>
    </row>
    <row r="322" spans="1:47" x14ac:dyDescent="0.2">
      <c r="A322" s="79" t="s">
        <v>252</v>
      </c>
      <c r="B322" s="43" t="s">
        <v>253</v>
      </c>
      <c r="C322" s="34"/>
      <c r="D322" s="34"/>
      <c r="E322" s="34"/>
      <c r="F322" s="34"/>
      <c r="G322" s="34"/>
      <c r="H322" s="34"/>
      <c r="I322" s="34"/>
      <c r="J322" s="34"/>
      <c r="K322" s="34"/>
    </row>
    <row r="323" spans="1:47" x14ac:dyDescent="0.2">
      <c r="A323" s="80" t="s">
        <v>254</v>
      </c>
      <c r="B323" s="43" t="s">
        <v>255</v>
      </c>
      <c r="C323" s="34"/>
      <c r="D323" s="34"/>
      <c r="E323" s="34"/>
      <c r="F323" s="34"/>
      <c r="G323" s="34"/>
      <c r="H323" s="34"/>
      <c r="I323" s="34"/>
      <c r="J323" s="34"/>
      <c r="K323" s="34"/>
      <c r="L323" s="34"/>
      <c r="M323" s="34"/>
      <c r="N323" s="34"/>
      <c r="O323" s="34"/>
      <c r="P323" s="34"/>
      <c r="Q323" s="34"/>
      <c r="R323" s="34"/>
      <c r="S323" s="34"/>
      <c r="T323" s="34"/>
      <c r="U323" s="34"/>
      <c r="V323" s="34"/>
      <c r="W323" s="34"/>
      <c r="X323" s="34"/>
      <c r="Y323" s="34"/>
      <c r="Z323" s="34"/>
      <c r="AA323" s="34"/>
      <c r="AB323" s="34"/>
      <c r="AC323" s="34"/>
      <c r="AD323" s="34"/>
      <c r="AE323" s="34"/>
      <c r="AF323" s="34"/>
      <c r="AG323" s="34"/>
      <c r="AH323" s="34"/>
      <c r="AI323" s="34"/>
      <c r="AJ323" s="34"/>
    </row>
    <row r="324" spans="1:47" x14ac:dyDescent="0.2">
      <c r="A324" s="80" t="s">
        <v>256</v>
      </c>
      <c r="B324" s="43" t="s">
        <v>255</v>
      </c>
      <c r="C324" s="34"/>
      <c r="D324" s="34"/>
      <c r="E324" s="34"/>
      <c r="F324" s="34"/>
      <c r="G324" s="34"/>
      <c r="H324" s="34"/>
      <c r="I324" s="34"/>
      <c r="J324" s="34"/>
      <c r="K324" s="34"/>
      <c r="L324" s="34"/>
      <c r="M324" s="34"/>
      <c r="N324" s="34"/>
      <c r="O324" s="34"/>
      <c r="P324" s="34"/>
      <c r="Q324" s="34"/>
      <c r="R324" s="34"/>
      <c r="S324" s="34"/>
      <c r="T324" s="34"/>
      <c r="U324" s="34"/>
      <c r="V324" s="34"/>
      <c r="W324" s="34"/>
      <c r="X324" s="34"/>
      <c r="Y324" s="34"/>
      <c r="Z324" s="34"/>
      <c r="AA324" s="34"/>
      <c r="AB324" s="34"/>
      <c r="AC324" s="34"/>
      <c r="AD324" s="34"/>
      <c r="AE324" s="34"/>
      <c r="AF324" s="34"/>
      <c r="AG324" s="34"/>
      <c r="AH324" s="34"/>
      <c r="AI324" s="34"/>
      <c r="AJ324" s="34"/>
    </row>
    <row r="325" spans="1:47" x14ac:dyDescent="0.2">
      <c r="A325" s="80" t="s">
        <v>257</v>
      </c>
      <c r="B325" s="96" t="s">
        <v>258</v>
      </c>
      <c r="C325" s="34"/>
      <c r="D325" s="34"/>
      <c r="E325" s="34"/>
      <c r="F325" s="34"/>
      <c r="G325" s="34"/>
      <c r="H325" s="34"/>
      <c r="I325" s="34"/>
      <c r="J325" s="34"/>
      <c r="K325" s="34"/>
      <c r="L325" s="34"/>
      <c r="M325" s="34"/>
      <c r="N325" s="34"/>
      <c r="O325" s="34"/>
      <c r="P325" s="34"/>
      <c r="Q325" s="34"/>
      <c r="R325" s="34"/>
      <c r="S325" s="34"/>
      <c r="T325" s="34"/>
      <c r="U325" s="34"/>
      <c r="V325" s="34"/>
      <c r="W325" s="34"/>
      <c r="X325" s="34"/>
      <c r="Y325" s="34"/>
      <c r="Z325" s="34"/>
      <c r="AA325" s="34"/>
      <c r="AB325" s="34"/>
      <c r="AC325" s="34"/>
      <c r="AD325" s="34"/>
      <c r="AE325" s="34"/>
      <c r="AF325" s="34"/>
      <c r="AG325" s="34"/>
      <c r="AH325" s="34"/>
      <c r="AI325" s="34"/>
      <c r="AJ325" s="34"/>
      <c r="AK325" s="34"/>
      <c r="AL325" s="34"/>
      <c r="AM325" s="34"/>
      <c r="AN325" s="34"/>
      <c r="AO325" s="34"/>
      <c r="AP325" s="34"/>
      <c r="AQ325" s="34"/>
      <c r="AR325" s="34"/>
      <c r="AS325" s="34"/>
      <c r="AT325" s="34"/>
      <c r="AU325" s="34"/>
    </row>
    <row r="326" spans="1:47" ht="38.25" x14ac:dyDescent="0.2">
      <c r="A326" s="79" t="s">
        <v>136</v>
      </c>
      <c r="B326" s="136" t="s">
        <v>259</v>
      </c>
      <c r="C326" s="34"/>
      <c r="D326" s="34"/>
      <c r="E326" s="34"/>
      <c r="F326" s="34"/>
      <c r="G326" s="34"/>
      <c r="H326" s="34"/>
      <c r="I326" s="34"/>
      <c r="J326" s="34"/>
      <c r="K326" s="34"/>
    </row>
    <row r="327" spans="1:47" x14ac:dyDescent="0.2">
      <c r="A327" s="79" t="s">
        <v>260</v>
      </c>
      <c r="B327" s="43" t="s">
        <v>255</v>
      </c>
      <c r="C327" s="34"/>
      <c r="D327" s="34"/>
      <c r="E327" s="34"/>
      <c r="F327" s="34"/>
      <c r="G327" s="34"/>
      <c r="H327" s="34"/>
      <c r="I327" s="34"/>
      <c r="J327" s="34"/>
      <c r="K327" s="34"/>
      <c r="L327" s="34"/>
      <c r="M327" s="34"/>
      <c r="N327" s="34"/>
      <c r="O327" s="34"/>
      <c r="P327" s="34"/>
      <c r="Q327" s="34"/>
      <c r="R327" s="34"/>
      <c r="S327" s="34"/>
      <c r="T327" s="34"/>
      <c r="U327" s="34"/>
      <c r="V327" s="34"/>
      <c r="W327" s="34"/>
      <c r="X327" s="34"/>
      <c r="Y327" s="34"/>
      <c r="Z327" s="34"/>
      <c r="AA327" s="34"/>
      <c r="AB327" s="34"/>
      <c r="AC327" s="34"/>
      <c r="AD327" s="34"/>
      <c r="AE327" s="34"/>
      <c r="AF327" s="34"/>
      <c r="AG327" s="34"/>
      <c r="AH327" s="34"/>
      <c r="AI327" s="34"/>
      <c r="AJ327" s="34"/>
    </row>
    <row r="328" spans="1:47" x14ac:dyDescent="0.2">
      <c r="A328" s="80" t="s">
        <v>261</v>
      </c>
      <c r="B328" s="43" t="s">
        <v>255</v>
      </c>
      <c r="C328" s="34"/>
      <c r="D328" s="34"/>
      <c r="E328" s="34"/>
      <c r="F328" s="34"/>
      <c r="G328" s="34"/>
      <c r="H328" s="34"/>
      <c r="I328" s="34"/>
      <c r="J328" s="34"/>
      <c r="K328" s="34"/>
      <c r="L328" s="34"/>
      <c r="M328" s="34"/>
      <c r="N328" s="34"/>
      <c r="O328" s="34"/>
      <c r="P328" s="34"/>
      <c r="Q328" s="34"/>
      <c r="R328" s="34"/>
      <c r="S328" s="34"/>
      <c r="T328" s="34"/>
      <c r="U328" s="34"/>
      <c r="V328" s="34"/>
      <c r="W328" s="34"/>
      <c r="X328" s="34"/>
      <c r="Y328" s="34"/>
      <c r="Z328" s="34"/>
      <c r="AA328" s="34"/>
      <c r="AB328" s="34"/>
      <c r="AC328" s="34"/>
      <c r="AD328" s="34"/>
      <c r="AE328" s="34"/>
      <c r="AF328" s="34"/>
      <c r="AG328" s="34"/>
      <c r="AH328" s="34"/>
      <c r="AI328" s="34"/>
      <c r="AJ328" s="34"/>
    </row>
    <row r="329" spans="1:47" x14ac:dyDescent="0.2">
      <c r="A329" s="80" t="s">
        <v>139</v>
      </c>
      <c r="B329" s="43" t="s">
        <v>262</v>
      </c>
      <c r="C329" s="34"/>
      <c r="D329" s="34"/>
      <c r="E329" s="34"/>
      <c r="F329" s="34"/>
      <c r="G329" s="34"/>
      <c r="H329" s="34"/>
      <c r="I329" s="34"/>
      <c r="J329" s="34"/>
      <c r="K329" s="34"/>
      <c r="L329" s="34"/>
      <c r="M329" s="34"/>
      <c r="N329" s="34"/>
      <c r="O329" s="34"/>
      <c r="P329" s="34"/>
      <c r="Q329" s="34"/>
      <c r="R329" s="34"/>
      <c r="S329" s="34"/>
      <c r="T329" s="34"/>
      <c r="U329" s="34"/>
      <c r="V329" s="34"/>
      <c r="W329" s="34"/>
      <c r="X329" s="34"/>
      <c r="Y329" s="34"/>
      <c r="Z329" s="34"/>
      <c r="AA329" s="34"/>
      <c r="AB329" s="34"/>
      <c r="AC329" s="34"/>
      <c r="AD329" s="34"/>
      <c r="AE329" s="34"/>
      <c r="AF329" s="34"/>
      <c r="AG329" s="34"/>
      <c r="AH329" s="34"/>
      <c r="AI329" s="34"/>
      <c r="AJ329" s="34"/>
      <c r="AK329" s="34"/>
      <c r="AL329" s="34"/>
      <c r="AM329" s="34"/>
      <c r="AN329" s="34"/>
      <c r="AO329" s="34"/>
      <c r="AP329" s="34"/>
      <c r="AQ329" s="34"/>
      <c r="AR329" s="34"/>
      <c r="AS329" s="34"/>
      <c r="AT329" s="34"/>
      <c r="AU329" s="34"/>
    </row>
    <row r="330" spans="1:47" x14ac:dyDescent="0.2">
      <c r="A330" s="79" t="s">
        <v>140</v>
      </c>
      <c r="B330" s="43" t="s">
        <v>255</v>
      </c>
      <c r="C330" s="34"/>
      <c r="D330" s="34"/>
      <c r="E330" s="34"/>
      <c r="F330" s="34"/>
      <c r="G330" s="34"/>
      <c r="H330" s="34"/>
      <c r="I330" s="34"/>
      <c r="J330" s="34"/>
      <c r="K330" s="34"/>
      <c r="L330" s="34"/>
      <c r="M330" s="34"/>
      <c r="N330" s="34"/>
      <c r="O330" s="34"/>
      <c r="P330" s="34"/>
      <c r="Q330" s="34"/>
      <c r="R330" s="34"/>
      <c r="S330" s="34"/>
      <c r="T330" s="34"/>
      <c r="U330" s="34"/>
      <c r="V330" s="34"/>
      <c r="W330" s="34"/>
      <c r="X330" s="34"/>
      <c r="Y330" s="34"/>
      <c r="Z330" s="34"/>
      <c r="AA330" s="34"/>
      <c r="AB330" s="34"/>
      <c r="AC330" s="34"/>
      <c r="AD330" s="34"/>
      <c r="AE330" s="34"/>
      <c r="AF330" s="34"/>
      <c r="AG330" s="34"/>
      <c r="AH330" s="34"/>
      <c r="AI330" s="34"/>
      <c r="AJ330" s="34"/>
      <c r="AK330" s="34"/>
      <c r="AL330" s="34"/>
      <c r="AM330" s="34"/>
      <c r="AN330" s="34"/>
      <c r="AO330" s="34"/>
      <c r="AP330" s="34"/>
      <c r="AQ330" s="34"/>
      <c r="AR330" s="34"/>
      <c r="AS330" s="34"/>
      <c r="AT330" s="34"/>
      <c r="AU330" s="34"/>
    </row>
    <row r="331" spans="1:47" x14ac:dyDescent="0.2">
      <c r="A331" s="79" t="s">
        <v>141</v>
      </c>
      <c r="B331" s="43" t="s">
        <v>263</v>
      </c>
      <c r="C331" s="34"/>
      <c r="D331" s="34"/>
      <c r="E331" s="34"/>
      <c r="F331" s="34"/>
      <c r="G331" s="34"/>
      <c r="H331" s="34"/>
      <c r="I331" s="34"/>
      <c r="J331" s="34"/>
      <c r="K331" s="34"/>
      <c r="L331" s="34"/>
      <c r="M331" s="34"/>
      <c r="N331" s="34"/>
      <c r="O331" s="34"/>
      <c r="P331" s="34"/>
      <c r="Q331" s="34"/>
      <c r="R331" s="34"/>
      <c r="S331" s="34"/>
      <c r="T331" s="34"/>
      <c r="U331" s="34"/>
      <c r="V331" s="34"/>
      <c r="W331" s="34"/>
      <c r="X331" s="34"/>
      <c r="Y331" s="34"/>
      <c r="Z331" s="34"/>
      <c r="AA331" s="34"/>
      <c r="AB331" s="34"/>
      <c r="AC331" s="34"/>
      <c r="AD331" s="34"/>
      <c r="AE331" s="34"/>
      <c r="AF331" s="34"/>
      <c r="AG331" s="34"/>
      <c r="AH331" s="34"/>
      <c r="AI331" s="34"/>
      <c r="AJ331" s="34"/>
      <c r="AK331" s="34"/>
      <c r="AL331" s="34"/>
      <c r="AM331" s="34"/>
      <c r="AN331" s="34"/>
      <c r="AO331" s="34"/>
      <c r="AP331" s="34"/>
      <c r="AQ331" s="34"/>
      <c r="AR331" s="34"/>
      <c r="AS331" s="34"/>
      <c r="AT331" s="34"/>
      <c r="AU331" s="34"/>
    </row>
    <row r="332" spans="1:47" x14ac:dyDescent="0.2">
      <c r="A332" s="4" t="s">
        <v>142</v>
      </c>
      <c r="B332" s="43" t="s">
        <v>264</v>
      </c>
      <c r="C332" s="34"/>
      <c r="D332" s="34"/>
      <c r="E332" s="34"/>
      <c r="F332" s="34"/>
      <c r="G332" s="34"/>
      <c r="H332" s="34"/>
      <c r="I332" s="34"/>
      <c r="J332" s="34"/>
      <c r="K332" s="34"/>
      <c r="L332" s="34"/>
      <c r="M332" s="34"/>
      <c r="N332" s="34"/>
      <c r="O332" s="34"/>
      <c r="P332" s="34"/>
      <c r="Q332" s="34"/>
      <c r="R332" s="34"/>
      <c r="S332" s="34"/>
      <c r="T332" s="34"/>
      <c r="U332" s="34"/>
      <c r="V332" s="34"/>
      <c r="W332" s="34"/>
      <c r="X332" s="34"/>
      <c r="Y332" s="34"/>
      <c r="Z332" s="34"/>
      <c r="AA332" s="34"/>
      <c r="AB332" s="34"/>
      <c r="AC332" s="34"/>
      <c r="AD332" s="34"/>
      <c r="AE332" s="34"/>
      <c r="AF332" s="34"/>
      <c r="AG332" s="34"/>
      <c r="AH332" s="34"/>
      <c r="AI332" s="34"/>
      <c r="AJ332" s="34"/>
      <c r="AK332" s="34"/>
      <c r="AL332" s="34"/>
      <c r="AM332" s="34"/>
      <c r="AN332" s="34"/>
      <c r="AO332" s="34"/>
      <c r="AP332" s="34"/>
      <c r="AQ332" s="34"/>
      <c r="AR332" s="34"/>
      <c r="AS332" s="34"/>
      <c r="AT332" s="34"/>
      <c r="AU332" s="34"/>
    </row>
    <row r="333" spans="1:47" x14ac:dyDescent="0.2">
      <c r="A333" s="79" t="s">
        <v>143</v>
      </c>
      <c r="B333" s="43" t="s">
        <v>265</v>
      </c>
      <c r="C333" s="34"/>
      <c r="D333" s="34"/>
      <c r="E333" s="34"/>
      <c r="F333" s="34"/>
      <c r="G333" s="34"/>
      <c r="H333" s="34"/>
      <c r="I333" s="34"/>
      <c r="J333" s="34"/>
      <c r="K333" s="34"/>
      <c r="L333" s="34"/>
      <c r="M333" s="34"/>
      <c r="N333" s="34"/>
      <c r="O333" s="34"/>
      <c r="P333" s="34"/>
      <c r="Q333" s="34"/>
      <c r="R333" s="34"/>
      <c r="S333" s="34"/>
      <c r="T333" s="34"/>
      <c r="U333" s="34"/>
      <c r="V333" s="34"/>
      <c r="W333" s="34"/>
      <c r="X333" s="34"/>
      <c r="Y333" s="34"/>
      <c r="Z333" s="34"/>
      <c r="AA333" s="34"/>
      <c r="AB333" s="34"/>
      <c r="AC333" s="34"/>
      <c r="AD333" s="34"/>
      <c r="AE333" s="34"/>
      <c r="AF333" s="34"/>
      <c r="AG333" s="34"/>
      <c r="AH333" s="34"/>
      <c r="AI333" s="34"/>
      <c r="AJ333" s="34"/>
      <c r="AK333" s="34"/>
      <c r="AL333" s="34"/>
      <c r="AM333" s="34"/>
      <c r="AN333" s="34"/>
      <c r="AO333" s="34"/>
      <c r="AP333" s="34"/>
      <c r="AQ333" s="34"/>
      <c r="AR333" s="34"/>
      <c r="AS333" s="34"/>
      <c r="AT333" s="34"/>
      <c r="AU333" s="34"/>
    </row>
    <row r="334" spans="1:47" x14ac:dyDescent="0.2">
      <c r="A334" s="79" t="s">
        <v>266</v>
      </c>
      <c r="B334" s="43" t="s">
        <v>255</v>
      </c>
      <c r="C334" s="34"/>
      <c r="D334" s="34"/>
      <c r="E334" s="34"/>
      <c r="F334" s="34"/>
      <c r="G334" s="34"/>
      <c r="H334" s="34"/>
      <c r="I334" s="34"/>
      <c r="J334" s="34"/>
      <c r="K334" s="34"/>
      <c r="L334" s="34"/>
      <c r="M334" s="34"/>
      <c r="N334" s="34"/>
      <c r="O334" s="34"/>
      <c r="P334" s="34"/>
      <c r="Q334" s="34"/>
      <c r="R334" s="34"/>
      <c r="S334" s="34"/>
      <c r="T334" s="34"/>
      <c r="U334" s="34"/>
      <c r="V334" s="34"/>
      <c r="W334" s="34"/>
      <c r="X334" s="34"/>
      <c r="Y334" s="34"/>
      <c r="Z334" s="34"/>
      <c r="AA334" s="34"/>
      <c r="AB334" s="34"/>
      <c r="AC334" s="34"/>
      <c r="AD334" s="34"/>
      <c r="AE334" s="34"/>
      <c r="AF334" s="34"/>
      <c r="AG334" s="34"/>
      <c r="AH334" s="34"/>
      <c r="AI334" s="34"/>
      <c r="AJ334" s="34"/>
      <c r="AK334" s="34"/>
      <c r="AL334" s="34"/>
      <c r="AM334" s="34"/>
      <c r="AN334" s="34"/>
      <c r="AO334" s="34"/>
      <c r="AP334" s="34"/>
      <c r="AQ334" s="34"/>
      <c r="AR334" s="34"/>
      <c r="AS334" s="34"/>
      <c r="AT334" s="34"/>
      <c r="AU334" s="34"/>
    </row>
    <row r="335" spans="1:47" x14ac:dyDescent="0.2">
      <c r="A335" s="79" t="s">
        <v>145</v>
      </c>
      <c r="B335" s="43" t="s">
        <v>267</v>
      </c>
      <c r="C335" s="34"/>
      <c r="D335" s="34"/>
      <c r="E335" s="34"/>
      <c r="F335" s="34"/>
      <c r="G335" s="34"/>
      <c r="H335" s="34"/>
      <c r="I335" s="34"/>
      <c r="J335" s="34"/>
      <c r="K335" s="34"/>
      <c r="L335" s="34"/>
      <c r="M335" s="34"/>
      <c r="N335" s="34"/>
      <c r="O335" s="34"/>
      <c r="P335" s="34"/>
      <c r="Q335" s="34"/>
      <c r="R335" s="34"/>
      <c r="S335" s="34"/>
      <c r="T335" s="34"/>
      <c r="U335" s="34"/>
      <c r="V335" s="34"/>
      <c r="W335" s="34"/>
      <c r="X335" s="34"/>
      <c r="Y335" s="34"/>
      <c r="Z335" s="34"/>
      <c r="AA335" s="34"/>
      <c r="AB335" s="34"/>
      <c r="AC335" s="34"/>
      <c r="AD335" s="34"/>
      <c r="AE335" s="34"/>
      <c r="AF335" s="34"/>
      <c r="AG335" s="34"/>
      <c r="AH335" s="34"/>
      <c r="AI335" s="34"/>
      <c r="AJ335" s="34"/>
      <c r="AK335" s="34"/>
      <c r="AL335" s="34"/>
      <c r="AM335" s="34"/>
      <c r="AN335" s="34"/>
      <c r="AO335" s="34"/>
      <c r="AP335" s="34"/>
      <c r="AQ335" s="34"/>
      <c r="AR335" s="34"/>
      <c r="AS335" s="34"/>
      <c r="AT335" s="34"/>
      <c r="AU335" s="34"/>
    </row>
    <row r="336" spans="1:47" x14ac:dyDescent="0.2">
      <c r="A336" s="79" t="s">
        <v>146</v>
      </c>
      <c r="B336" s="43" t="s">
        <v>267</v>
      </c>
      <c r="C336" s="34"/>
      <c r="D336" s="34"/>
      <c r="E336" s="34"/>
      <c r="F336" s="34"/>
      <c r="G336" s="34"/>
      <c r="H336" s="34"/>
      <c r="I336" s="34"/>
      <c r="J336" s="34"/>
      <c r="K336" s="34"/>
      <c r="L336" s="34"/>
      <c r="M336" s="34"/>
      <c r="N336" s="34"/>
      <c r="O336" s="34"/>
      <c r="P336" s="34"/>
      <c r="Q336" s="34"/>
      <c r="R336" s="34"/>
      <c r="S336" s="34"/>
      <c r="T336" s="34"/>
      <c r="U336" s="34"/>
      <c r="V336" s="34"/>
      <c r="W336" s="34"/>
      <c r="X336" s="34"/>
      <c r="Y336" s="34"/>
      <c r="Z336" s="34"/>
      <c r="AA336" s="34"/>
      <c r="AB336" s="34"/>
      <c r="AC336" s="34"/>
      <c r="AD336" s="34"/>
      <c r="AE336" s="34"/>
      <c r="AF336" s="34"/>
      <c r="AG336" s="34"/>
      <c r="AH336" s="34"/>
      <c r="AI336" s="34"/>
      <c r="AJ336" s="34"/>
      <c r="AK336" s="34"/>
      <c r="AL336" s="34"/>
      <c r="AM336" s="34"/>
      <c r="AN336" s="34"/>
      <c r="AO336" s="34"/>
      <c r="AP336" s="34"/>
      <c r="AQ336" s="34"/>
      <c r="AR336" s="34"/>
      <c r="AS336" s="34"/>
      <c r="AT336" s="34"/>
      <c r="AU336" s="34"/>
    </row>
    <row r="337" spans="1:47" x14ac:dyDescent="0.2">
      <c r="A337" s="79" t="s">
        <v>268</v>
      </c>
      <c r="B337" s="43" t="s">
        <v>255</v>
      </c>
      <c r="C337" s="34"/>
      <c r="D337" s="34"/>
      <c r="E337" s="34"/>
      <c r="F337" s="34"/>
      <c r="G337" s="34"/>
      <c r="H337" s="34"/>
      <c r="I337" s="34"/>
      <c r="J337" s="34"/>
      <c r="K337" s="34"/>
      <c r="L337" s="34"/>
      <c r="M337" s="34"/>
      <c r="N337" s="34"/>
      <c r="O337" s="34"/>
      <c r="P337" s="34"/>
      <c r="Q337" s="34"/>
      <c r="R337" s="34"/>
      <c r="S337" s="34"/>
      <c r="T337" s="34"/>
      <c r="U337" s="34"/>
      <c r="V337" s="34"/>
      <c r="W337" s="34"/>
      <c r="X337" s="34"/>
      <c r="Y337" s="34"/>
      <c r="Z337" s="34"/>
      <c r="AA337" s="34"/>
      <c r="AB337" s="34"/>
      <c r="AC337" s="34"/>
      <c r="AD337" s="34"/>
      <c r="AE337" s="34"/>
      <c r="AF337" s="34"/>
      <c r="AG337" s="34"/>
      <c r="AH337" s="34"/>
      <c r="AI337" s="34"/>
      <c r="AJ337" s="34"/>
      <c r="AK337" s="34"/>
      <c r="AL337" s="34"/>
      <c r="AM337" s="34"/>
      <c r="AN337" s="34"/>
      <c r="AO337" s="34"/>
      <c r="AP337" s="34"/>
      <c r="AQ337" s="34"/>
      <c r="AR337" s="34"/>
      <c r="AS337" s="34"/>
      <c r="AT337" s="34"/>
      <c r="AU337" s="34"/>
    </row>
    <row r="338" spans="1:47" x14ac:dyDescent="0.2">
      <c r="A338" s="79" t="s">
        <v>148</v>
      </c>
      <c r="B338" s="12" t="s">
        <v>269</v>
      </c>
      <c r="C338" s="34"/>
      <c r="D338" s="34"/>
      <c r="E338" s="34"/>
      <c r="F338" s="34"/>
      <c r="G338" s="34"/>
      <c r="H338" s="34"/>
      <c r="I338" s="34"/>
      <c r="J338" s="34"/>
      <c r="K338" s="34"/>
      <c r="L338" s="34"/>
      <c r="M338" s="34"/>
      <c r="N338" s="34"/>
      <c r="O338" s="34"/>
      <c r="P338" s="34"/>
      <c r="Q338" s="34"/>
      <c r="R338" s="34"/>
      <c r="S338" s="34"/>
      <c r="T338" s="34"/>
      <c r="U338" s="34"/>
      <c r="V338" s="34"/>
      <c r="W338" s="34"/>
      <c r="X338" s="34"/>
      <c r="Y338" s="34"/>
      <c r="Z338" s="34"/>
      <c r="AA338" s="34"/>
      <c r="AB338" s="34"/>
      <c r="AC338" s="34"/>
      <c r="AD338" s="34"/>
      <c r="AE338" s="34"/>
      <c r="AF338" s="34"/>
      <c r="AG338" s="34"/>
      <c r="AH338" s="34"/>
      <c r="AI338" s="34"/>
      <c r="AJ338" s="34"/>
      <c r="AK338" s="34"/>
      <c r="AL338" s="34"/>
      <c r="AM338" s="34"/>
      <c r="AN338" s="34"/>
      <c r="AO338" s="34"/>
      <c r="AP338" s="34"/>
      <c r="AQ338" s="34"/>
      <c r="AR338" s="34"/>
      <c r="AS338" s="34"/>
      <c r="AT338" s="34"/>
      <c r="AU338" s="34"/>
    </row>
    <row r="339" spans="1:47" x14ac:dyDescent="0.2">
      <c r="C339" s="34"/>
      <c r="D339" s="34"/>
      <c r="E339" s="34"/>
      <c r="F339" s="34"/>
      <c r="G339" s="34"/>
      <c r="H339" s="34"/>
      <c r="I339" s="34"/>
      <c r="J339" s="34"/>
      <c r="K339" s="34"/>
      <c r="L339" s="34"/>
      <c r="M339" s="34"/>
      <c r="N339" s="34"/>
      <c r="O339" s="34"/>
      <c r="P339" s="34"/>
      <c r="Q339" s="34"/>
      <c r="R339" s="34"/>
      <c r="S339" s="34"/>
      <c r="T339" s="34"/>
      <c r="U339" s="34"/>
      <c r="V339" s="34"/>
      <c r="W339" s="34"/>
      <c r="X339" s="34"/>
      <c r="Y339" s="34"/>
      <c r="Z339" s="34"/>
      <c r="AA339" s="34"/>
      <c r="AB339" s="34"/>
      <c r="AC339" s="34"/>
      <c r="AD339" s="34"/>
      <c r="AE339" s="34"/>
      <c r="AF339" s="34"/>
      <c r="AG339" s="34"/>
      <c r="AH339" s="34"/>
      <c r="AI339" s="34"/>
      <c r="AJ339" s="34"/>
      <c r="AK339" s="34"/>
      <c r="AL339" s="34"/>
      <c r="AM339" s="34"/>
      <c r="AN339" s="34"/>
      <c r="AO339" s="34"/>
      <c r="AP339" s="34"/>
      <c r="AQ339" s="34"/>
      <c r="AR339" s="34"/>
      <c r="AS339" s="34"/>
      <c r="AT339" s="34"/>
      <c r="AU339" s="34"/>
    </row>
    <row r="340" spans="1:47" x14ac:dyDescent="0.2">
      <c r="A340" s="79"/>
      <c r="B340" s="12"/>
      <c r="C340" s="34"/>
      <c r="D340" s="34"/>
      <c r="E340" s="34"/>
      <c r="F340" s="34"/>
      <c r="G340" s="34"/>
      <c r="H340" s="34"/>
      <c r="I340" s="34"/>
      <c r="J340" s="34"/>
      <c r="K340" s="34"/>
      <c r="L340" s="34"/>
      <c r="M340" s="34"/>
      <c r="N340" s="34"/>
      <c r="O340" s="34"/>
      <c r="P340" s="34"/>
      <c r="Q340" s="34"/>
      <c r="R340" s="34"/>
      <c r="S340" s="34"/>
      <c r="T340" s="34"/>
      <c r="U340" s="34"/>
      <c r="V340" s="34"/>
      <c r="W340" s="34"/>
      <c r="X340" s="34"/>
      <c r="Y340" s="34"/>
      <c r="Z340" s="34"/>
      <c r="AA340" s="34"/>
      <c r="AB340" s="34"/>
      <c r="AC340" s="34"/>
      <c r="AD340" s="34"/>
      <c r="AE340" s="34"/>
      <c r="AF340" s="34"/>
      <c r="AG340" s="34"/>
      <c r="AH340" s="34"/>
      <c r="AI340" s="34"/>
      <c r="AJ340" s="34"/>
      <c r="AK340" s="34"/>
      <c r="AL340" s="34"/>
      <c r="AM340" s="34"/>
      <c r="AN340" s="34"/>
      <c r="AO340" s="34"/>
      <c r="AP340" s="34"/>
      <c r="AQ340" s="34"/>
      <c r="AR340" s="34"/>
      <c r="AS340" s="34"/>
      <c r="AT340" s="34"/>
      <c r="AU340" s="34"/>
    </row>
    <row r="341" spans="1:47" x14ac:dyDescent="0.2">
      <c r="A341" s="79"/>
      <c r="C341" s="34"/>
      <c r="D341" s="34"/>
      <c r="E341" s="34"/>
      <c r="F341" s="34"/>
      <c r="G341" s="34"/>
      <c r="H341" s="34"/>
      <c r="I341" s="34"/>
      <c r="J341" s="34"/>
      <c r="K341" s="34"/>
      <c r="L341" s="34"/>
      <c r="M341" s="34"/>
      <c r="N341" s="34"/>
      <c r="O341" s="34"/>
      <c r="P341" s="34"/>
      <c r="Q341" s="34"/>
      <c r="R341" s="34"/>
      <c r="S341" s="34"/>
      <c r="T341" s="34"/>
      <c r="U341" s="34"/>
      <c r="V341" s="34"/>
      <c r="W341" s="34"/>
      <c r="X341" s="34"/>
      <c r="Y341" s="34"/>
      <c r="Z341" s="34"/>
      <c r="AA341" s="34"/>
      <c r="AB341" s="34"/>
      <c r="AC341" s="34"/>
      <c r="AD341" s="34"/>
      <c r="AE341" s="34"/>
      <c r="AF341" s="34"/>
      <c r="AG341" s="34"/>
      <c r="AH341" s="34"/>
      <c r="AI341" s="34"/>
      <c r="AJ341" s="34"/>
      <c r="AK341" s="34"/>
      <c r="AL341" s="34"/>
      <c r="AM341" s="34"/>
      <c r="AN341" s="34"/>
      <c r="AO341" s="34"/>
      <c r="AP341" s="34"/>
      <c r="AQ341" s="34"/>
      <c r="AR341" s="34"/>
      <c r="AS341" s="34"/>
      <c r="AT341" s="34"/>
      <c r="AU341" s="34"/>
    </row>
    <row r="342" spans="1:47" x14ac:dyDescent="0.2">
      <c r="A342" s="79"/>
      <c r="B342" s="81"/>
      <c r="C342" s="34"/>
      <c r="D342" s="34"/>
      <c r="E342" s="34"/>
      <c r="F342" s="34"/>
      <c r="G342" s="34"/>
      <c r="H342" s="34"/>
      <c r="I342" s="34"/>
      <c r="J342" s="34"/>
      <c r="K342" s="34"/>
      <c r="L342" s="34"/>
      <c r="M342" s="34"/>
      <c r="N342" s="34"/>
      <c r="O342" s="34"/>
      <c r="P342" s="34"/>
      <c r="Q342" s="34"/>
      <c r="R342" s="34"/>
      <c r="S342" s="34"/>
      <c r="T342" s="34"/>
      <c r="U342" s="34"/>
      <c r="V342" s="34"/>
      <c r="W342" s="34"/>
      <c r="X342" s="34"/>
      <c r="Y342" s="34"/>
      <c r="Z342" s="34"/>
      <c r="AA342" s="34"/>
      <c r="AB342" s="34"/>
      <c r="AC342" s="34"/>
      <c r="AD342" s="34"/>
      <c r="AE342" s="34"/>
      <c r="AF342" s="34"/>
      <c r="AG342" s="34"/>
      <c r="AH342" s="34"/>
      <c r="AI342" s="34"/>
      <c r="AJ342" s="34"/>
      <c r="AK342" s="34"/>
      <c r="AL342" s="34"/>
      <c r="AM342" s="34"/>
      <c r="AN342" s="34"/>
      <c r="AO342" s="34"/>
      <c r="AP342" s="34"/>
      <c r="AQ342" s="34"/>
      <c r="AR342" s="34"/>
      <c r="AS342" s="34"/>
      <c r="AT342" s="34"/>
      <c r="AU342" s="34"/>
    </row>
    <row r="343" spans="1:47" x14ac:dyDescent="0.2">
      <c r="C343" s="34"/>
      <c r="D343" s="34"/>
      <c r="E343" s="34"/>
      <c r="F343" s="34"/>
      <c r="G343" s="34"/>
      <c r="H343" s="34"/>
      <c r="I343" s="34"/>
      <c r="J343" s="34"/>
      <c r="K343" s="34"/>
      <c r="L343" s="34"/>
      <c r="M343" s="34"/>
      <c r="N343" s="34"/>
      <c r="O343" s="34"/>
      <c r="P343" s="34"/>
      <c r="Q343" s="34"/>
      <c r="R343" s="34"/>
      <c r="S343" s="34"/>
      <c r="T343" s="34"/>
      <c r="U343" s="34"/>
      <c r="V343" s="34"/>
      <c r="W343" s="34"/>
      <c r="X343" s="34"/>
      <c r="Y343" s="34"/>
      <c r="Z343" s="34"/>
      <c r="AA343" s="34"/>
      <c r="AB343" s="34"/>
      <c r="AC343" s="34"/>
      <c r="AD343" s="34"/>
      <c r="AE343" s="34"/>
      <c r="AF343" s="34"/>
      <c r="AG343" s="34"/>
      <c r="AH343" s="34"/>
      <c r="AI343" s="34"/>
      <c r="AJ343" s="34"/>
      <c r="AK343" s="34"/>
      <c r="AL343" s="34"/>
      <c r="AM343" s="34"/>
      <c r="AN343" s="34"/>
      <c r="AO343" s="34"/>
      <c r="AP343" s="34"/>
      <c r="AQ343" s="34"/>
      <c r="AR343" s="34"/>
      <c r="AS343" s="34"/>
      <c r="AT343" s="34"/>
      <c r="AU343" s="34"/>
    </row>
    <row r="344" spans="1:47" x14ac:dyDescent="0.2">
      <c r="A344" s="137"/>
      <c r="B344" s="75"/>
      <c r="C344" s="34"/>
      <c r="D344" s="34"/>
      <c r="E344" s="34"/>
      <c r="F344" s="34"/>
      <c r="G344" s="34"/>
      <c r="H344" s="34"/>
      <c r="I344" s="34"/>
      <c r="J344" s="34"/>
      <c r="K344" s="34"/>
      <c r="L344" s="34"/>
      <c r="M344" s="34"/>
      <c r="N344" s="34"/>
      <c r="O344" s="34"/>
      <c r="P344" s="34"/>
      <c r="Q344" s="34"/>
      <c r="R344" s="34"/>
      <c r="S344" s="34"/>
      <c r="T344" s="34"/>
      <c r="U344" s="34"/>
      <c r="V344" s="34"/>
      <c r="W344" s="34"/>
      <c r="X344" s="34"/>
      <c r="Y344" s="34"/>
      <c r="Z344" s="34"/>
      <c r="AA344" s="34"/>
      <c r="AB344" s="34"/>
      <c r="AC344" s="34"/>
      <c r="AD344" s="34"/>
      <c r="AE344" s="34"/>
      <c r="AF344" s="34"/>
      <c r="AG344" s="34"/>
      <c r="AH344" s="34"/>
      <c r="AI344" s="34"/>
      <c r="AJ344" s="34"/>
      <c r="AK344" s="34"/>
      <c r="AL344" s="34"/>
      <c r="AM344" s="34"/>
      <c r="AN344" s="34"/>
      <c r="AO344" s="34"/>
      <c r="AP344" s="34"/>
      <c r="AQ344" s="34"/>
      <c r="AR344" s="34"/>
      <c r="AS344" s="34"/>
      <c r="AT344" s="34"/>
      <c r="AU344" s="34"/>
    </row>
    <row r="345" spans="1:47" x14ac:dyDescent="0.2">
      <c r="B345" s="12"/>
      <c r="C345" s="34"/>
      <c r="D345" s="34"/>
      <c r="E345" s="34"/>
      <c r="F345" s="34"/>
      <c r="G345" s="34"/>
      <c r="H345" s="34"/>
      <c r="I345" s="34"/>
      <c r="J345" s="34"/>
      <c r="K345" s="34"/>
      <c r="L345" s="34"/>
      <c r="M345" s="34"/>
      <c r="N345" s="34"/>
      <c r="O345" s="34"/>
      <c r="P345" s="34"/>
      <c r="Q345" s="34"/>
      <c r="R345" s="34"/>
      <c r="S345" s="34"/>
      <c r="T345" s="34"/>
      <c r="U345" s="34"/>
      <c r="V345" s="34"/>
      <c r="W345" s="34"/>
      <c r="X345" s="34"/>
      <c r="Y345" s="34"/>
      <c r="Z345" s="34"/>
      <c r="AA345" s="34"/>
      <c r="AB345" s="34"/>
      <c r="AC345" s="34"/>
      <c r="AD345" s="34"/>
      <c r="AE345" s="34"/>
      <c r="AF345" s="34"/>
      <c r="AG345" s="34"/>
      <c r="AH345" s="34"/>
      <c r="AI345" s="34"/>
      <c r="AJ345" s="34"/>
      <c r="AK345" s="34"/>
      <c r="AL345" s="34"/>
      <c r="AM345" s="34"/>
      <c r="AN345" s="34"/>
      <c r="AO345" s="34"/>
      <c r="AP345" s="34"/>
      <c r="AQ345" s="34"/>
      <c r="AR345" s="34"/>
      <c r="AS345" s="34"/>
      <c r="AT345" s="34"/>
      <c r="AU345" s="34"/>
    </row>
    <row r="346" spans="1:47" x14ac:dyDescent="0.2">
      <c r="A346" s="137"/>
      <c r="B346" s="82"/>
      <c r="C346" s="34"/>
      <c r="D346" s="34"/>
      <c r="E346" s="34"/>
      <c r="F346" s="34"/>
      <c r="G346" s="34"/>
      <c r="H346" s="34"/>
      <c r="I346" s="34"/>
      <c r="J346" s="34"/>
      <c r="K346" s="34"/>
      <c r="L346" s="34"/>
      <c r="M346" s="34"/>
      <c r="N346" s="34"/>
      <c r="O346" s="34"/>
      <c r="P346" s="34"/>
      <c r="Q346" s="34"/>
      <c r="R346" s="34"/>
      <c r="S346" s="34"/>
      <c r="T346" s="34"/>
      <c r="U346" s="34"/>
      <c r="V346" s="34"/>
      <c r="W346" s="34"/>
      <c r="X346" s="34"/>
      <c r="Y346" s="34"/>
      <c r="Z346" s="34"/>
      <c r="AA346" s="34"/>
      <c r="AB346" s="34"/>
      <c r="AC346" s="34"/>
      <c r="AD346" s="34"/>
      <c r="AE346" s="34"/>
      <c r="AF346" s="34"/>
      <c r="AG346" s="34"/>
      <c r="AH346" s="34"/>
      <c r="AI346" s="34"/>
      <c r="AJ346" s="34"/>
      <c r="AK346" s="34"/>
      <c r="AL346" s="34"/>
      <c r="AM346" s="34"/>
      <c r="AN346" s="34"/>
      <c r="AO346" s="34"/>
      <c r="AP346" s="34"/>
      <c r="AQ346" s="34"/>
      <c r="AR346" s="34"/>
      <c r="AS346" s="34"/>
      <c r="AT346" s="34"/>
      <c r="AU346" s="34"/>
    </row>
    <row r="347" spans="1:47" x14ac:dyDescent="0.2">
      <c r="C347" s="34"/>
      <c r="D347" s="34"/>
      <c r="E347" s="34"/>
      <c r="F347" s="34"/>
      <c r="G347" s="34"/>
      <c r="H347" s="34"/>
      <c r="I347" s="34"/>
      <c r="J347" s="34"/>
      <c r="K347" s="34"/>
      <c r="L347" s="34"/>
      <c r="M347" s="34"/>
      <c r="N347" s="34"/>
      <c r="O347" s="34"/>
      <c r="P347" s="34"/>
      <c r="Q347" s="34"/>
      <c r="R347" s="34"/>
      <c r="S347" s="34"/>
      <c r="T347" s="34"/>
      <c r="U347" s="34"/>
      <c r="V347" s="34"/>
      <c r="W347" s="34"/>
      <c r="X347" s="34"/>
      <c r="Y347" s="34"/>
      <c r="Z347" s="34"/>
      <c r="AA347" s="34"/>
      <c r="AB347" s="34"/>
      <c r="AC347" s="34"/>
      <c r="AD347" s="34"/>
      <c r="AE347" s="34"/>
      <c r="AF347" s="34"/>
      <c r="AG347" s="34"/>
      <c r="AH347" s="34"/>
      <c r="AI347" s="34"/>
      <c r="AJ347" s="34"/>
      <c r="AK347" s="34"/>
      <c r="AL347" s="34"/>
      <c r="AM347" s="34"/>
      <c r="AN347" s="34"/>
      <c r="AO347" s="34"/>
      <c r="AP347" s="34"/>
      <c r="AQ347" s="34"/>
      <c r="AR347" s="34"/>
      <c r="AS347" s="34"/>
      <c r="AT347" s="34"/>
      <c r="AU347" s="34"/>
    </row>
    <row r="348" spans="1:47" x14ac:dyDescent="0.2">
      <c r="A348" s="79"/>
      <c r="B348" s="12"/>
      <c r="C348" s="34"/>
      <c r="D348" s="34"/>
      <c r="E348" s="34"/>
      <c r="F348" s="34"/>
      <c r="G348" s="34"/>
      <c r="H348" s="34"/>
      <c r="I348" s="34"/>
      <c r="J348" s="34"/>
      <c r="K348" s="34"/>
      <c r="L348" s="34"/>
      <c r="M348" s="34"/>
      <c r="N348" s="34"/>
      <c r="O348" s="34"/>
      <c r="P348" s="34"/>
      <c r="Q348" s="34"/>
      <c r="R348" s="34"/>
      <c r="S348" s="34"/>
      <c r="T348" s="34"/>
      <c r="U348" s="34"/>
      <c r="V348" s="34"/>
      <c r="W348" s="34"/>
      <c r="X348" s="34"/>
      <c r="Y348" s="34"/>
      <c r="Z348" s="34"/>
      <c r="AA348" s="34"/>
      <c r="AB348" s="34"/>
      <c r="AC348" s="34"/>
      <c r="AD348" s="34"/>
      <c r="AE348" s="34"/>
      <c r="AF348" s="34"/>
      <c r="AG348" s="34"/>
      <c r="AH348" s="34"/>
      <c r="AI348" s="34"/>
      <c r="AJ348" s="34"/>
      <c r="AK348" s="34"/>
      <c r="AL348" s="34"/>
      <c r="AM348" s="34"/>
      <c r="AN348" s="34"/>
      <c r="AO348" s="34"/>
      <c r="AP348" s="34"/>
      <c r="AQ348" s="34"/>
      <c r="AR348" s="34"/>
      <c r="AS348" s="34"/>
      <c r="AT348" s="34"/>
      <c r="AU348" s="34"/>
    </row>
    <row r="349" spans="1:47" x14ac:dyDescent="0.2">
      <c r="C349" s="34"/>
      <c r="D349" s="34"/>
      <c r="E349" s="34"/>
      <c r="F349" s="34"/>
      <c r="G349" s="34"/>
      <c r="H349" s="34"/>
      <c r="I349" s="34"/>
      <c r="J349" s="34"/>
      <c r="K349" s="34"/>
      <c r="L349" s="34"/>
      <c r="M349" s="34"/>
      <c r="N349" s="34"/>
      <c r="O349" s="34"/>
      <c r="P349" s="34"/>
      <c r="Q349" s="34"/>
      <c r="R349" s="34"/>
      <c r="S349" s="34"/>
      <c r="T349" s="34"/>
      <c r="U349" s="34"/>
      <c r="V349" s="34"/>
      <c r="W349" s="34"/>
      <c r="X349" s="34"/>
      <c r="Y349" s="34"/>
      <c r="Z349" s="34"/>
      <c r="AA349" s="34"/>
      <c r="AB349" s="34"/>
      <c r="AC349" s="34"/>
      <c r="AD349" s="34"/>
      <c r="AE349" s="34"/>
      <c r="AF349" s="34"/>
      <c r="AG349" s="34"/>
      <c r="AH349" s="34"/>
      <c r="AI349" s="34"/>
      <c r="AJ349" s="34"/>
      <c r="AK349" s="34"/>
      <c r="AL349" s="34"/>
      <c r="AM349" s="34"/>
      <c r="AN349" s="34"/>
      <c r="AO349" s="34"/>
      <c r="AP349" s="34"/>
      <c r="AQ349" s="34"/>
      <c r="AR349" s="34"/>
      <c r="AS349" s="34"/>
      <c r="AT349" s="34"/>
      <c r="AU349" s="34"/>
    </row>
    <row r="350" spans="1:47" x14ac:dyDescent="0.2">
      <c r="A350" s="75"/>
      <c r="B350" s="138"/>
      <c r="C350" s="34"/>
      <c r="D350" s="34"/>
      <c r="E350" s="34"/>
      <c r="F350" s="34"/>
      <c r="G350" s="34"/>
      <c r="H350" s="34"/>
      <c r="I350" s="34"/>
      <c r="J350" s="34"/>
      <c r="K350" s="34"/>
      <c r="L350" s="34"/>
      <c r="M350" s="34"/>
      <c r="N350" s="34"/>
      <c r="O350" s="34"/>
      <c r="P350" s="34"/>
      <c r="Q350" s="34"/>
      <c r="R350" s="34"/>
      <c r="S350" s="34"/>
      <c r="T350" s="34"/>
      <c r="U350" s="34"/>
      <c r="V350" s="34"/>
      <c r="W350" s="34"/>
      <c r="X350" s="34"/>
      <c r="Y350" s="34"/>
      <c r="Z350" s="34"/>
      <c r="AA350" s="34"/>
      <c r="AB350" s="34"/>
      <c r="AC350" s="34"/>
      <c r="AD350" s="34"/>
      <c r="AE350" s="34"/>
      <c r="AF350" s="34"/>
      <c r="AG350" s="34"/>
      <c r="AH350" s="34"/>
      <c r="AI350" s="34"/>
      <c r="AJ350" s="34"/>
      <c r="AK350" s="34"/>
      <c r="AL350" s="34"/>
      <c r="AM350" s="34"/>
      <c r="AN350" s="34"/>
      <c r="AO350" s="34"/>
      <c r="AP350" s="34"/>
      <c r="AQ350" s="34"/>
      <c r="AR350" s="34"/>
      <c r="AS350" s="34"/>
      <c r="AT350" s="34"/>
      <c r="AU350" s="34"/>
    </row>
    <row r="351" spans="1:47" x14ac:dyDescent="0.2">
      <c r="C351" s="34"/>
      <c r="D351" s="34"/>
      <c r="E351" s="34"/>
      <c r="F351" s="34"/>
      <c r="G351" s="34"/>
      <c r="H351" s="34"/>
      <c r="I351" s="34"/>
      <c r="J351" s="34"/>
      <c r="K351" s="34"/>
      <c r="L351" s="34"/>
      <c r="M351" s="34"/>
      <c r="N351" s="34"/>
      <c r="O351" s="34"/>
      <c r="P351" s="34"/>
      <c r="Q351" s="34"/>
      <c r="R351" s="34"/>
      <c r="S351" s="34"/>
      <c r="T351" s="34"/>
      <c r="U351" s="34"/>
      <c r="V351" s="34"/>
      <c r="W351" s="34"/>
      <c r="X351" s="34"/>
      <c r="Y351" s="34"/>
      <c r="Z351" s="34"/>
      <c r="AA351" s="34"/>
      <c r="AB351" s="34"/>
      <c r="AC351" s="34"/>
      <c r="AD351" s="34"/>
      <c r="AE351" s="34"/>
      <c r="AF351" s="34"/>
      <c r="AG351" s="34"/>
      <c r="AH351" s="34"/>
      <c r="AI351" s="34"/>
      <c r="AJ351" s="34"/>
      <c r="AK351" s="34"/>
      <c r="AL351" s="34"/>
      <c r="AM351" s="34"/>
      <c r="AN351" s="34"/>
      <c r="AO351" s="34"/>
      <c r="AP351" s="34"/>
      <c r="AQ351" s="34"/>
      <c r="AR351" s="34"/>
      <c r="AS351" s="34"/>
      <c r="AT351" s="34"/>
      <c r="AU351" s="34"/>
    </row>
    <row r="352" spans="1:47" x14ac:dyDescent="0.2">
      <c r="C352" s="34"/>
      <c r="D352" s="34"/>
      <c r="E352" s="34"/>
      <c r="F352" s="34"/>
      <c r="G352" s="34"/>
      <c r="H352" s="34"/>
      <c r="I352" s="34"/>
      <c r="J352" s="34"/>
      <c r="K352" s="34"/>
      <c r="L352" s="34"/>
      <c r="M352" s="34"/>
      <c r="N352" s="34"/>
      <c r="O352" s="34"/>
      <c r="P352" s="34"/>
      <c r="Q352" s="34"/>
      <c r="R352" s="34"/>
      <c r="S352" s="34"/>
      <c r="T352" s="34"/>
      <c r="U352" s="34"/>
      <c r="V352" s="34"/>
      <c r="W352" s="34"/>
      <c r="X352" s="34"/>
      <c r="Y352" s="34"/>
      <c r="Z352" s="34"/>
      <c r="AA352" s="34"/>
      <c r="AB352" s="34"/>
      <c r="AC352" s="34"/>
      <c r="AD352" s="34"/>
      <c r="AE352" s="34"/>
      <c r="AF352" s="34"/>
      <c r="AG352" s="34"/>
      <c r="AH352" s="34"/>
      <c r="AI352" s="34"/>
      <c r="AJ352" s="34"/>
      <c r="AK352" s="34"/>
      <c r="AL352" s="34"/>
      <c r="AM352" s="34"/>
      <c r="AN352" s="34"/>
      <c r="AO352" s="34"/>
      <c r="AP352" s="34"/>
      <c r="AQ352" s="34"/>
      <c r="AR352" s="34"/>
      <c r="AS352" s="34"/>
      <c r="AT352" s="34"/>
      <c r="AU352" s="34"/>
    </row>
    <row r="353" spans="3:47" x14ac:dyDescent="0.2">
      <c r="C353" s="34"/>
      <c r="D353" s="34"/>
      <c r="E353" s="34"/>
      <c r="F353" s="34"/>
      <c r="G353" s="34"/>
      <c r="H353" s="34"/>
      <c r="I353" s="34"/>
      <c r="J353" s="34"/>
      <c r="K353" s="34"/>
      <c r="L353" s="34"/>
      <c r="M353" s="34"/>
      <c r="N353" s="34"/>
      <c r="O353" s="34"/>
      <c r="P353" s="34"/>
      <c r="Q353" s="34"/>
      <c r="R353" s="34"/>
      <c r="S353" s="34"/>
      <c r="T353" s="34"/>
      <c r="U353" s="34"/>
      <c r="V353" s="34"/>
      <c r="W353" s="34"/>
      <c r="X353" s="34"/>
      <c r="Y353" s="34"/>
      <c r="Z353" s="34"/>
      <c r="AA353" s="34"/>
      <c r="AB353" s="34"/>
      <c r="AC353" s="34"/>
      <c r="AD353" s="34"/>
      <c r="AE353" s="34"/>
      <c r="AF353" s="34"/>
      <c r="AG353" s="34"/>
      <c r="AH353" s="34"/>
      <c r="AI353" s="34"/>
      <c r="AJ353" s="34"/>
      <c r="AK353" s="34"/>
      <c r="AL353" s="34"/>
      <c r="AM353" s="34"/>
      <c r="AN353" s="34"/>
      <c r="AO353" s="34"/>
      <c r="AP353" s="34"/>
      <c r="AQ353" s="34"/>
      <c r="AR353" s="34"/>
      <c r="AS353" s="34"/>
      <c r="AT353" s="34"/>
      <c r="AU353" s="34"/>
    </row>
    <row r="354" spans="3:47" x14ac:dyDescent="0.2">
      <c r="C354" s="34"/>
      <c r="D354" s="34"/>
      <c r="E354" s="34"/>
      <c r="F354" s="34"/>
      <c r="G354" s="34"/>
      <c r="H354" s="34"/>
      <c r="I354" s="34"/>
      <c r="J354" s="34"/>
      <c r="K354" s="34"/>
      <c r="L354" s="34"/>
      <c r="M354" s="34"/>
      <c r="N354" s="34"/>
      <c r="O354" s="34"/>
      <c r="P354" s="34"/>
      <c r="Q354" s="34"/>
      <c r="R354" s="34"/>
      <c r="S354" s="34"/>
      <c r="T354" s="34"/>
      <c r="U354" s="34"/>
      <c r="V354" s="34"/>
      <c r="W354" s="34"/>
      <c r="X354" s="34"/>
      <c r="Y354" s="34"/>
      <c r="Z354" s="34"/>
      <c r="AA354" s="34"/>
      <c r="AB354" s="34"/>
      <c r="AC354" s="34"/>
      <c r="AD354" s="34"/>
      <c r="AE354" s="34"/>
      <c r="AF354" s="34"/>
      <c r="AG354" s="34"/>
      <c r="AH354" s="34"/>
      <c r="AI354" s="34"/>
      <c r="AJ354" s="34"/>
      <c r="AK354" s="34"/>
      <c r="AL354" s="34"/>
      <c r="AM354" s="34"/>
      <c r="AN354" s="34"/>
      <c r="AO354" s="34"/>
      <c r="AP354" s="34"/>
      <c r="AQ354" s="34"/>
      <c r="AR354" s="34"/>
      <c r="AS354" s="34"/>
      <c r="AT354" s="34"/>
      <c r="AU354" s="34"/>
    </row>
    <row r="355" spans="3:47" x14ac:dyDescent="0.2">
      <c r="C355" s="34"/>
      <c r="D355" s="34"/>
      <c r="E355" s="34"/>
      <c r="F355" s="34"/>
      <c r="G355" s="34"/>
      <c r="H355" s="34"/>
      <c r="I355" s="34"/>
      <c r="J355" s="34"/>
      <c r="K355" s="34"/>
      <c r="L355" s="34"/>
      <c r="M355" s="34"/>
      <c r="N355" s="34"/>
      <c r="O355" s="34"/>
      <c r="P355" s="34"/>
      <c r="Q355" s="34"/>
      <c r="R355" s="34"/>
      <c r="S355" s="34"/>
      <c r="T355" s="34"/>
      <c r="U355" s="34"/>
      <c r="V355" s="34"/>
      <c r="W355" s="34"/>
      <c r="X355" s="34"/>
      <c r="Y355" s="34"/>
      <c r="Z355" s="34"/>
      <c r="AA355" s="34"/>
      <c r="AB355" s="34"/>
      <c r="AC355" s="34"/>
      <c r="AD355" s="34"/>
      <c r="AE355" s="34"/>
      <c r="AF355" s="34"/>
      <c r="AG355" s="34"/>
      <c r="AH355" s="34"/>
      <c r="AI355" s="34"/>
      <c r="AJ355" s="34"/>
      <c r="AK355" s="34"/>
      <c r="AL355" s="34"/>
      <c r="AM355" s="34"/>
      <c r="AN355" s="34"/>
      <c r="AO355" s="34"/>
      <c r="AP355" s="34"/>
      <c r="AQ355" s="34"/>
      <c r="AR355" s="34"/>
      <c r="AS355" s="34"/>
      <c r="AT355" s="34"/>
      <c r="AU355" s="34"/>
    </row>
    <row r="356" spans="3:47" x14ac:dyDescent="0.2">
      <c r="C356" s="34"/>
      <c r="D356" s="34"/>
      <c r="E356" s="34"/>
      <c r="F356" s="34"/>
      <c r="G356" s="34"/>
      <c r="H356" s="34"/>
      <c r="I356" s="34"/>
      <c r="J356" s="34"/>
      <c r="K356" s="34"/>
      <c r="L356" s="34"/>
      <c r="M356" s="34"/>
      <c r="N356" s="34"/>
      <c r="O356" s="34"/>
      <c r="P356" s="34"/>
      <c r="Q356" s="34"/>
      <c r="R356" s="34"/>
      <c r="S356" s="34"/>
      <c r="T356" s="34"/>
      <c r="U356" s="34"/>
      <c r="V356" s="34"/>
      <c r="W356" s="34"/>
      <c r="X356" s="34"/>
      <c r="Y356" s="34"/>
      <c r="Z356" s="34"/>
      <c r="AA356" s="34"/>
      <c r="AB356" s="34"/>
      <c r="AC356" s="34"/>
      <c r="AD356" s="34"/>
      <c r="AE356" s="34"/>
      <c r="AF356" s="34"/>
      <c r="AG356" s="34"/>
      <c r="AH356" s="34"/>
      <c r="AI356" s="34"/>
      <c r="AJ356" s="34"/>
      <c r="AK356" s="34"/>
      <c r="AL356" s="34"/>
      <c r="AM356" s="34"/>
      <c r="AN356" s="34"/>
      <c r="AO356" s="34"/>
      <c r="AP356" s="34"/>
      <c r="AQ356" s="34"/>
      <c r="AR356" s="34"/>
      <c r="AS356" s="34"/>
      <c r="AT356" s="34"/>
      <c r="AU356" s="34"/>
    </row>
    <row r="357" spans="3:47" x14ac:dyDescent="0.2">
      <c r="C357" s="34"/>
      <c r="D357" s="34"/>
      <c r="E357" s="34"/>
      <c r="F357" s="34"/>
      <c r="G357" s="34"/>
      <c r="H357" s="34"/>
      <c r="I357" s="34"/>
      <c r="J357" s="34"/>
      <c r="K357" s="34"/>
      <c r="L357" s="34"/>
      <c r="M357" s="34"/>
      <c r="N357" s="34"/>
      <c r="O357" s="34"/>
      <c r="P357" s="34"/>
      <c r="Q357" s="34"/>
      <c r="R357" s="34"/>
      <c r="S357" s="34"/>
      <c r="T357" s="34"/>
      <c r="U357" s="34"/>
      <c r="V357" s="34"/>
      <c r="W357" s="34"/>
      <c r="X357" s="34"/>
      <c r="Y357" s="34"/>
      <c r="Z357" s="34"/>
      <c r="AA357" s="34"/>
      <c r="AB357" s="34"/>
      <c r="AC357" s="34"/>
      <c r="AD357" s="34"/>
      <c r="AE357" s="34"/>
      <c r="AF357" s="34"/>
      <c r="AG357" s="34"/>
      <c r="AH357" s="34"/>
      <c r="AI357" s="34"/>
      <c r="AJ357" s="34"/>
      <c r="AK357" s="34"/>
      <c r="AL357" s="34"/>
      <c r="AM357" s="34"/>
      <c r="AN357" s="34"/>
      <c r="AO357" s="34"/>
      <c r="AP357" s="34"/>
      <c r="AQ357" s="34"/>
      <c r="AR357" s="34"/>
      <c r="AS357" s="34"/>
      <c r="AT357" s="34"/>
      <c r="AU357" s="34"/>
    </row>
    <row r="358" spans="3:47" x14ac:dyDescent="0.2">
      <c r="C358" s="34"/>
      <c r="D358" s="34"/>
      <c r="E358" s="34"/>
      <c r="F358" s="34"/>
      <c r="G358" s="34"/>
      <c r="H358" s="34"/>
      <c r="I358" s="34"/>
      <c r="J358" s="34"/>
      <c r="K358" s="34"/>
      <c r="L358" s="34"/>
      <c r="M358" s="34"/>
      <c r="N358" s="34"/>
      <c r="O358" s="34"/>
      <c r="P358" s="34"/>
      <c r="Q358" s="34"/>
      <c r="R358" s="34"/>
      <c r="S358" s="34"/>
      <c r="T358" s="34"/>
      <c r="U358" s="34"/>
      <c r="V358" s="34"/>
      <c r="W358" s="34"/>
      <c r="X358" s="34"/>
      <c r="Y358" s="34"/>
      <c r="Z358" s="34"/>
      <c r="AA358" s="34"/>
      <c r="AB358" s="34"/>
      <c r="AC358" s="34"/>
      <c r="AD358" s="34"/>
      <c r="AE358" s="34"/>
      <c r="AF358" s="34"/>
      <c r="AG358" s="34"/>
      <c r="AH358" s="34"/>
      <c r="AI358" s="34"/>
      <c r="AJ358" s="34"/>
      <c r="AK358" s="34"/>
      <c r="AL358" s="34"/>
      <c r="AM358" s="34"/>
      <c r="AN358" s="34"/>
      <c r="AO358" s="34"/>
      <c r="AP358" s="34"/>
      <c r="AQ358" s="34"/>
      <c r="AR358" s="34"/>
      <c r="AS358" s="34"/>
      <c r="AT358" s="34"/>
      <c r="AU358" s="34"/>
    </row>
    <row r="359" spans="3:47" x14ac:dyDescent="0.2">
      <c r="C359" s="34"/>
      <c r="D359" s="34"/>
      <c r="E359" s="34"/>
      <c r="F359" s="34"/>
      <c r="G359" s="34"/>
      <c r="H359" s="34"/>
      <c r="I359" s="34"/>
      <c r="J359" s="34"/>
      <c r="K359" s="34"/>
      <c r="L359" s="34"/>
      <c r="M359" s="34"/>
      <c r="N359" s="34"/>
      <c r="O359" s="34"/>
      <c r="P359" s="34"/>
      <c r="Q359" s="34"/>
      <c r="R359" s="34"/>
      <c r="S359" s="34"/>
      <c r="T359" s="34"/>
      <c r="U359" s="34"/>
      <c r="V359" s="34"/>
      <c r="W359" s="34"/>
      <c r="X359" s="34"/>
      <c r="Y359" s="34"/>
      <c r="Z359" s="34"/>
      <c r="AA359" s="34"/>
      <c r="AB359" s="34"/>
      <c r="AC359" s="34"/>
      <c r="AD359" s="34"/>
      <c r="AE359" s="34"/>
      <c r="AF359" s="34"/>
      <c r="AG359" s="34"/>
      <c r="AH359" s="34"/>
      <c r="AI359" s="34"/>
      <c r="AJ359" s="34"/>
      <c r="AK359" s="34"/>
      <c r="AL359" s="34"/>
      <c r="AM359" s="34"/>
      <c r="AN359" s="34"/>
      <c r="AO359" s="34"/>
      <c r="AP359" s="34"/>
      <c r="AQ359" s="34"/>
      <c r="AR359" s="34"/>
      <c r="AS359" s="34"/>
      <c r="AT359" s="34"/>
      <c r="AU359" s="34"/>
    </row>
    <row r="360" spans="3:47" x14ac:dyDescent="0.2">
      <c r="C360" s="34"/>
      <c r="D360" s="34"/>
      <c r="E360" s="34"/>
      <c r="F360" s="34"/>
      <c r="G360" s="34"/>
      <c r="H360" s="34"/>
      <c r="I360" s="34"/>
      <c r="J360" s="34"/>
      <c r="K360" s="34"/>
      <c r="L360" s="34"/>
      <c r="M360" s="34"/>
      <c r="N360" s="34"/>
      <c r="O360" s="34"/>
      <c r="P360" s="34"/>
      <c r="Q360" s="34"/>
      <c r="R360" s="34"/>
      <c r="S360" s="34"/>
      <c r="T360" s="34"/>
      <c r="U360" s="34"/>
      <c r="V360" s="34"/>
      <c r="W360" s="34"/>
      <c r="X360" s="34"/>
      <c r="Y360" s="34"/>
      <c r="Z360" s="34"/>
      <c r="AA360" s="34"/>
      <c r="AB360" s="34"/>
      <c r="AC360" s="34"/>
      <c r="AD360" s="34"/>
      <c r="AE360" s="34"/>
      <c r="AF360" s="34"/>
      <c r="AG360" s="34"/>
      <c r="AH360" s="34"/>
      <c r="AI360" s="34"/>
      <c r="AJ360" s="34"/>
      <c r="AK360" s="34"/>
      <c r="AL360" s="34"/>
      <c r="AM360" s="34"/>
      <c r="AN360" s="34"/>
      <c r="AO360" s="34"/>
      <c r="AP360" s="34"/>
      <c r="AQ360" s="34"/>
      <c r="AR360" s="34"/>
      <c r="AS360" s="34"/>
      <c r="AT360" s="34"/>
      <c r="AU360" s="34"/>
    </row>
    <row r="361" spans="3:47" x14ac:dyDescent="0.2">
      <c r="C361" s="34"/>
      <c r="D361" s="34"/>
      <c r="E361" s="34"/>
      <c r="F361" s="34"/>
      <c r="G361" s="34"/>
      <c r="H361" s="34"/>
      <c r="I361" s="34"/>
      <c r="J361" s="34"/>
      <c r="K361" s="34"/>
      <c r="L361" s="34"/>
      <c r="M361" s="34"/>
      <c r="N361" s="34"/>
      <c r="O361" s="34"/>
      <c r="P361" s="34"/>
      <c r="Q361" s="34"/>
      <c r="R361" s="34"/>
      <c r="S361" s="34"/>
      <c r="T361" s="34"/>
      <c r="U361" s="34"/>
      <c r="V361" s="34"/>
      <c r="W361" s="34"/>
      <c r="X361" s="34"/>
      <c r="Y361" s="34"/>
      <c r="Z361" s="34"/>
      <c r="AA361" s="34"/>
      <c r="AB361" s="34"/>
      <c r="AC361" s="34"/>
      <c r="AD361" s="34"/>
      <c r="AE361" s="34"/>
      <c r="AF361" s="34"/>
      <c r="AG361" s="34"/>
      <c r="AH361" s="34"/>
      <c r="AI361" s="34"/>
      <c r="AJ361" s="34"/>
      <c r="AK361" s="34"/>
      <c r="AL361" s="34"/>
      <c r="AM361" s="34"/>
      <c r="AN361" s="34"/>
      <c r="AO361" s="34"/>
      <c r="AP361" s="34"/>
      <c r="AQ361" s="34"/>
      <c r="AR361" s="34"/>
      <c r="AS361" s="34"/>
      <c r="AT361" s="34"/>
      <c r="AU361" s="34"/>
    </row>
    <row r="362" spans="3:47" x14ac:dyDescent="0.2">
      <c r="C362" s="34"/>
      <c r="D362" s="34"/>
      <c r="E362" s="34"/>
      <c r="F362" s="34"/>
      <c r="G362" s="34"/>
      <c r="H362" s="34"/>
      <c r="I362" s="34"/>
      <c r="J362" s="34"/>
      <c r="K362" s="34"/>
      <c r="L362" s="34"/>
      <c r="M362" s="34"/>
      <c r="N362" s="34"/>
      <c r="O362" s="34"/>
      <c r="P362" s="34"/>
      <c r="Q362" s="34"/>
      <c r="R362" s="34"/>
      <c r="S362" s="34"/>
      <c r="T362" s="34"/>
      <c r="U362" s="34"/>
      <c r="V362" s="34"/>
      <c r="W362" s="34"/>
      <c r="X362" s="34"/>
      <c r="Y362" s="34"/>
      <c r="Z362" s="34"/>
      <c r="AA362" s="34"/>
      <c r="AB362" s="34"/>
      <c r="AC362" s="34"/>
      <c r="AD362" s="34"/>
      <c r="AE362" s="34"/>
      <c r="AF362" s="34"/>
      <c r="AG362" s="34"/>
      <c r="AH362" s="34"/>
      <c r="AI362" s="34"/>
      <c r="AJ362" s="34"/>
      <c r="AK362" s="34"/>
      <c r="AL362" s="34"/>
      <c r="AM362" s="34"/>
      <c r="AN362" s="34"/>
      <c r="AO362" s="34"/>
      <c r="AP362" s="34"/>
      <c r="AQ362" s="34"/>
      <c r="AR362" s="34"/>
      <c r="AS362" s="34"/>
      <c r="AT362" s="34"/>
      <c r="AU362" s="34"/>
    </row>
    <row r="363" spans="3:47" x14ac:dyDescent="0.2">
      <c r="C363" s="34"/>
      <c r="D363" s="34"/>
      <c r="E363" s="34"/>
      <c r="F363" s="34"/>
      <c r="G363" s="34"/>
      <c r="H363" s="34"/>
      <c r="I363" s="34"/>
      <c r="J363" s="34"/>
      <c r="K363" s="34"/>
      <c r="L363" s="34"/>
      <c r="M363" s="34"/>
      <c r="N363" s="34"/>
      <c r="O363" s="34"/>
      <c r="P363" s="34"/>
      <c r="Q363" s="34"/>
      <c r="R363" s="34"/>
      <c r="S363" s="34"/>
      <c r="T363" s="34"/>
      <c r="U363" s="34"/>
      <c r="V363" s="34"/>
      <c r="W363" s="34"/>
      <c r="X363" s="34"/>
      <c r="Y363" s="34"/>
      <c r="Z363" s="34"/>
      <c r="AA363" s="34"/>
      <c r="AB363" s="34"/>
      <c r="AC363" s="34"/>
      <c r="AD363" s="34"/>
      <c r="AE363" s="34"/>
      <c r="AF363" s="34"/>
      <c r="AG363" s="34"/>
      <c r="AH363" s="34"/>
      <c r="AI363" s="34"/>
      <c r="AJ363" s="34"/>
      <c r="AK363" s="34"/>
      <c r="AL363" s="34"/>
      <c r="AM363" s="34"/>
      <c r="AN363" s="34"/>
      <c r="AO363" s="34"/>
      <c r="AP363" s="34"/>
      <c r="AQ363" s="34"/>
      <c r="AR363" s="34"/>
      <c r="AS363" s="34"/>
      <c r="AT363" s="34"/>
      <c r="AU363" s="34"/>
    </row>
    <row r="364" spans="3:47" x14ac:dyDescent="0.2">
      <c r="C364" s="34"/>
      <c r="D364" s="34"/>
      <c r="E364" s="34"/>
      <c r="F364" s="34"/>
      <c r="G364" s="34"/>
      <c r="H364" s="34"/>
      <c r="I364" s="34"/>
      <c r="J364" s="34"/>
      <c r="K364" s="34"/>
      <c r="L364" s="34"/>
      <c r="M364" s="34"/>
      <c r="N364" s="34"/>
      <c r="O364" s="34"/>
      <c r="P364" s="34"/>
      <c r="Q364" s="34"/>
      <c r="R364" s="34"/>
      <c r="S364" s="34"/>
      <c r="T364" s="34"/>
      <c r="U364" s="34"/>
      <c r="V364" s="34"/>
      <c r="W364" s="34"/>
      <c r="X364" s="34"/>
      <c r="Y364" s="34"/>
      <c r="Z364" s="34"/>
      <c r="AA364" s="34"/>
      <c r="AB364" s="34"/>
      <c r="AC364" s="34"/>
      <c r="AD364" s="34"/>
      <c r="AE364" s="34"/>
      <c r="AF364" s="34"/>
      <c r="AG364" s="34"/>
      <c r="AH364" s="34"/>
      <c r="AI364" s="34"/>
      <c r="AJ364" s="34"/>
      <c r="AK364" s="34"/>
      <c r="AL364" s="34"/>
      <c r="AM364" s="34"/>
      <c r="AN364" s="34"/>
      <c r="AO364" s="34"/>
      <c r="AP364" s="34"/>
      <c r="AQ364" s="34"/>
      <c r="AR364" s="34"/>
      <c r="AS364" s="34"/>
      <c r="AT364" s="34"/>
      <c r="AU364" s="34"/>
    </row>
    <row r="365" spans="3:47" x14ac:dyDescent="0.2">
      <c r="C365" s="34"/>
      <c r="D365" s="34"/>
      <c r="E365" s="34"/>
      <c r="F365" s="34"/>
      <c r="G365" s="34"/>
      <c r="H365" s="34"/>
      <c r="I365" s="34"/>
      <c r="J365" s="34"/>
      <c r="K365" s="34"/>
      <c r="L365" s="34"/>
      <c r="M365" s="34"/>
      <c r="N365" s="34"/>
      <c r="O365" s="34"/>
      <c r="P365" s="34"/>
      <c r="Q365" s="34"/>
      <c r="R365" s="34"/>
      <c r="S365" s="34"/>
      <c r="T365" s="34"/>
      <c r="U365" s="34"/>
      <c r="V365" s="34"/>
      <c r="W365" s="34"/>
      <c r="X365" s="34"/>
      <c r="Y365" s="34"/>
      <c r="Z365" s="34"/>
      <c r="AA365" s="34"/>
      <c r="AB365" s="34"/>
      <c r="AC365" s="34"/>
      <c r="AD365" s="34"/>
      <c r="AE365" s="34"/>
      <c r="AF365" s="34"/>
      <c r="AG365" s="34"/>
      <c r="AH365" s="34"/>
      <c r="AI365" s="34"/>
      <c r="AJ365" s="34"/>
      <c r="AK365" s="34"/>
      <c r="AL365" s="34"/>
      <c r="AM365" s="34"/>
      <c r="AN365" s="34"/>
      <c r="AO365" s="34"/>
      <c r="AP365" s="34"/>
      <c r="AQ365" s="34"/>
      <c r="AR365" s="34"/>
      <c r="AS365" s="34"/>
      <c r="AT365" s="34"/>
      <c r="AU365" s="34"/>
    </row>
    <row r="366" spans="3:47" x14ac:dyDescent="0.2">
      <c r="C366" s="34"/>
      <c r="D366" s="34"/>
      <c r="E366" s="34"/>
      <c r="F366" s="34"/>
      <c r="G366" s="34"/>
      <c r="H366" s="34"/>
      <c r="I366" s="34"/>
      <c r="J366" s="34"/>
      <c r="K366" s="34"/>
      <c r="L366" s="34"/>
      <c r="M366" s="34"/>
      <c r="N366" s="34"/>
      <c r="O366" s="34"/>
      <c r="P366" s="34"/>
      <c r="Q366" s="34"/>
      <c r="R366" s="34"/>
      <c r="S366" s="34"/>
      <c r="T366" s="34"/>
      <c r="U366" s="34"/>
      <c r="V366" s="34"/>
      <c r="W366" s="34"/>
      <c r="X366" s="34"/>
      <c r="Y366" s="34"/>
      <c r="Z366" s="34"/>
      <c r="AA366" s="34"/>
      <c r="AB366" s="34"/>
      <c r="AC366" s="34"/>
      <c r="AD366" s="34"/>
      <c r="AE366" s="34"/>
      <c r="AF366" s="34"/>
      <c r="AG366" s="34"/>
      <c r="AH366" s="34"/>
      <c r="AI366" s="34"/>
      <c r="AJ366" s="34"/>
      <c r="AK366" s="34"/>
      <c r="AL366" s="34"/>
      <c r="AM366" s="34"/>
      <c r="AN366" s="34"/>
      <c r="AO366" s="34"/>
      <c r="AP366" s="34"/>
      <c r="AQ366" s="34"/>
      <c r="AR366" s="34"/>
      <c r="AS366" s="34"/>
      <c r="AT366" s="34"/>
      <c r="AU366" s="34"/>
    </row>
    <row r="367" spans="3:47" x14ac:dyDescent="0.2">
      <c r="C367" s="34"/>
      <c r="D367" s="34"/>
      <c r="E367" s="34"/>
      <c r="F367" s="34"/>
      <c r="G367" s="34"/>
      <c r="H367" s="34"/>
      <c r="I367" s="34"/>
      <c r="J367" s="34"/>
      <c r="K367" s="34"/>
      <c r="L367" s="34"/>
      <c r="M367" s="34"/>
      <c r="N367" s="34"/>
      <c r="O367" s="34"/>
      <c r="P367" s="34"/>
      <c r="Q367" s="34"/>
      <c r="R367" s="34"/>
      <c r="S367" s="34"/>
      <c r="T367" s="34"/>
      <c r="U367" s="34"/>
      <c r="V367" s="34"/>
      <c r="W367" s="34"/>
      <c r="X367" s="34"/>
      <c r="Y367" s="34"/>
      <c r="Z367" s="34"/>
      <c r="AA367" s="34"/>
      <c r="AB367" s="34"/>
      <c r="AC367" s="34"/>
      <c r="AD367" s="34"/>
      <c r="AE367" s="34"/>
      <c r="AF367" s="34"/>
      <c r="AG367" s="34"/>
      <c r="AH367" s="34"/>
      <c r="AI367" s="34"/>
      <c r="AJ367" s="34"/>
      <c r="AK367" s="34"/>
      <c r="AL367" s="34"/>
      <c r="AM367" s="34"/>
      <c r="AN367" s="34"/>
      <c r="AO367" s="34"/>
      <c r="AP367" s="34"/>
      <c r="AQ367" s="34"/>
      <c r="AR367" s="34"/>
      <c r="AS367" s="34"/>
      <c r="AT367" s="34"/>
      <c r="AU367" s="34"/>
    </row>
    <row r="368" spans="3:47" x14ac:dyDescent="0.2">
      <c r="C368" s="34"/>
      <c r="D368" s="34"/>
      <c r="E368" s="34"/>
      <c r="F368" s="34"/>
      <c r="G368" s="34"/>
      <c r="H368" s="34"/>
      <c r="I368" s="34"/>
      <c r="J368" s="34"/>
      <c r="K368" s="34"/>
      <c r="L368" s="34"/>
      <c r="M368" s="34"/>
      <c r="N368" s="34"/>
      <c r="O368" s="34"/>
      <c r="P368" s="34"/>
      <c r="Q368" s="34"/>
      <c r="R368" s="34"/>
      <c r="S368" s="34"/>
      <c r="T368" s="34"/>
      <c r="U368" s="34"/>
      <c r="V368" s="34"/>
      <c r="W368" s="34"/>
      <c r="X368" s="34"/>
      <c r="Y368" s="34"/>
      <c r="Z368" s="34"/>
      <c r="AA368" s="34"/>
      <c r="AB368" s="34"/>
      <c r="AC368" s="34"/>
      <c r="AD368" s="34"/>
      <c r="AE368" s="34"/>
      <c r="AF368" s="34"/>
      <c r="AG368" s="34"/>
      <c r="AH368" s="34"/>
      <c r="AI368" s="34"/>
      <c r="AJ368" s="34"/>
      <c r="AK368" s="34"/>
      <c r="AL368" s="34"/>
      <c r="AM368" s="34"/>
      <c r="AN368" s="34"/>
      <c r="AO368" s="34"/>
      <c r="AP368" s="34"/>
      <c r="AQ368" s="34"/>
      <c r="AR368" s="34"/>
      <c r="AS368" s="34"/>
      <c r="AT368" s="34"/>
      <c r="AU368" s="34"/>
    </row>
    <row r="369" spans="3:47" x14ac:dyDescent="0.2">
      <c r="C369" s="34"/>
      <c r="D369" s="34"/>
      <c r="E369" s="34"/>
      <c r="F369" s="34"/>
      <c r="G369" s="34"/>
      <c r="H369" s="34"/>
      <c r="I369" s="34"/>
      <c r="J369" s="34"/>
      <c r="K369" s="34"/>
      <c r="L369" s="34"/>
      <c r="M369" s="34"/>
      <c r="N369" s="34"/>
      <c r="O369" s="34"/>
      <c r="P369" s="34"/>
      <c r="Q369" s="34"/>
      <c r="R369" s="34"/>
      <c r="S369" s="34"/>
      <c r="T369" s="34"/>
      <c r="U369" s="34"/>
      <c r="V369" s="34"/>
      <c r="W369" s="34"/>
      <c r="X369" s="34"/>
      <c r="Y369" s="34"/>
      <c r="Z369" s="34"/>
      <c r="AA369" s="34"/>
      <c r="AB369" s="34"/>
      <c r="AC369" s="34"/>
      <c r="AD369" s="34"/>
      <c r="AE369" s="34"/>
      <c r="AF369" s="34"/>
      <c r="AG369" s="34"/>
      <c r="AH369" s="34"/>
      <c r="AI369" s="34"/>
      <c r="AJ369" s="34"/>
      <c r="AK369" s="34"/>
      <c r="AL369" s="34"/>
      <c r="AM369" s="34"/>
      <c r="AN369" s="34"/>
      <c r="AO369" s="34"/>
      <c r="AP369" s="34"/>
      <c r="AQ369" s="34"/>
      <c r="AR369" s="34"/>
      <c r="AS369" s="34"/>
      <c r="AT369" s="34"/>
      <c r="AU369" s="34"/>
    </row>
    <row r="370" spans="3:47" x14ac:dyDescent="0.2">
      <c r="C370" s="34"/>
      <c r="D370" s="34"/>
      <c r="E370" s="34"/>
      <c r="F370" s="34"/>
      <c r="G370" s="34"/>
      <c r="H370" s="34"/>
      <c r="I370" s="34"/>
      <c r="J370" s="34"/>
      <c r="K370" s="34"/>
      <c r="L370" s="34"/>
      <c r="M370" s="34"/>
      <c r="N370" s="34"/>
      <c r="O370" s="34"/>
      <c r="P370" s="34"/>
      <c r="Q370" s="34"/>
      <c r="R370" s="34"/>
      <c r="S370" s="34"/>
      <c r="T370" s="34"/>
      <c r="U370" s="34"/>
      <c r="V370" s="34"/>
      <c r="W370" s="34"/>
      <c r="X370" s="34"/>
      <c r="Y370" s="34"/>
      <c r="Z370" s="34"/>
      <c r="AA370" s="34"/>
      <c r="AB370" s="34"/>
      <c r="AC370" s="34"/>
      <c r="AD370" s="34"/>
      <c r="AE370" s="34"/>
      <c r="AF370" s="34"/>
      <c r="AG370" s="34"/>
      <c r="AH370" s="34"/>
      <c r="AI370" s="34"/>
      <c r="AJ370" s="34"/>
      <c r="AK370" s="34"/>
      <c r="AL370" s="34"/>
      <c r="AM370" s="34"/>
      <c r="AN370" s="34"/>
      <c r="AO370" s="34"/>
      <c r="AP370" s="34"/>
      <c r="AQ370" s="34"/>
      <c r="AR370" s="34"/>
      <c r="AS370" s="34"/>
      <c r="AT370" s="34"/>
      <c r="AU370" s="34"/>
    </row>
    <row r="371" spans="3:47" x14ac:dyDescent="0.2">
      <c r="C371" s="34"/>
      <c r="D371" s="34"/>
      <c r="E371" s="34"/>
      <c r="F371" s="34"/>
      <c r="G371" s="34"/>
      <c r="H371" s="34"/>
      <c r="I371" s="34"/>
      <c r="J371" s="34"/>
      <c r="K371" s="34"/>
      <c r="L371" s="34"/>
      <c r="M371" s="34"/>
      <c r="N371" s="34"/>
      <c r="O371" s="34"/>
      <c r="P371" s="34"/>
      <c r="Q371" s="34"/>
      <c r="R371" s="34"/>
      <c r="S371" s="34"/>
      <c r="T371" s="34"/>
      <c r="U371" s="34"/>
      <c r="V371" s="34"/>
      <c r="W371" s="34"/>
      <c r="X371" s="34"/>
      <c r="Y371" s="34"/>
      <c r="Z371" s="34"/>
      <c r="AA371" s="34"/>
      <c r="AB371" s="34"/>
      <c r="AC371" s="34"/>
      <c r="AD371" s="34"/>
      <c r="AE371" s="34"/>
      <c r="AF371" s="34"/>
      <c r="AG371" s="34"/>
      <c r="AH371" s="34"/>
      <c r="AI371" s="34"/>
      <c r="AJ371" s="34"/>
      <c r="AK371" s="34"/>
      <c r="AL371" s="34"/>
      <c r="AM371" s="34"/>
      <c r="AN371" s="34"/>
      <c r="AO371" s="34"/>
      <c r="AP371" s="34"/>
      <c r="AQ371" s="34"/>
      <c r="AR371" s="34"/>
      <c r="AS371" s="34"/>
      <c r="AT371" s="34"/>
      <c r="AU371" s="34"/>
    </row>
    <row r="372" spans="3:47" x14ac:dyDescent="0.2">
      <c r="C372" s="34"/>
      <c r="D372" s="34"/>
      <c r="E372" s="34"/>
      <c r="F372" s="34"/>
      <c r="G372" s="34"/>
      <c r="H372" s="34"/>
      <c r="I372" s="34"/>
      <c r="J372" s="34"/>
      <c r="K372" s="34"/>
      <c r="L372" s="34"/>
      <c r="M372" s="34"/>
      <c r="N372" s="34"/>
      <c r="O372" s="34"/>
      <c r="P372" s="34"/>
      <c r="Q372" s="34"/>
      <c r="R372" s="34"/>
      <c r="S372" s="34"/>
      <c r="T372" s="34"/>
      <c r="U372" s="34"/>
      <c r="V372" s="34"/>
      <c r="W372" s="34"/>
      <c r="X372" s="34"/>
      <c r="Y372" s="34"/>
      <c r="Z372" s="34"/>
      <c r="AA372" s="34"/>
      <c r="AB372" s="34"/>
      <c r="AC372" s="34"/>
      <c r="AD372" s="34"/>
      <c r="AE372" s="34"/>
      <c r="AF372" s="34"/>
      <c r="AG372" s="34"/>
      <c r="AH372" s="34"/>
      <c r="AI372" s="34"/>
      <c r="AJ372" s="34"/>
      <c r="AK372" s="34"/>
      <c r="AL372" s="34"/>
      <c r="AM372" s="34"/>
      <c r="AN372" s="34"/>
      <c r="AO372" s="34"/>
      <c r="AP372" s="34"/>
      <c r="AQ372" s="34"/>
      <c r="AR372" s="34"/>
      <c r="AS372" s="34"/>
      <c r="AT372" s="34"/>
      <c r="AU372" s="34"/>
    </row>
    <row r="373" spans="3:47" x14ac:dyDescent="0.2">
      <c r="C373" s="34"/>
      <c r="D373" s="34"/>
      <c r="E373" s="34"/>
      <c r="F373" s="34"/>
      <c r="G373" s="34"/>
      <c r="H373" s="34"/>
      <c r="I373" s="34"/>
      <c r="J373" s="34"/>
      <c r="K373" s="34"/>
      <c r="L373" s="34"/>
      <c r="M373" s="34"/>
      <c r="N373" s="34"/>
      <c r="O373" s="34"/>
      <c r="P373" s="34"/>
      <c r="Q373" s="34"/>
      <c r="R373" s="34"/>
      <c r="S373" s="34"/>
      <c r="T373" s="34"/>
      <c r="U373" s="34"/>
      <c r="V373" s="34"/>
      <c r="W373" s="34"/>
      <c r="X373" s="34"/>
      <c r="Y373" s="34"/>
      <c r="Z373" s="34"/>
      <c r="AA373" s="34"/>
      <c r="AB373" s="34"/>
      <c r="AC373" s="34"/>
      <c r="AD373" s="34"/>
      <c r="AE373" s="34"/>
      <c r="AF373" s="34"/>
      <c r="AG373" s="34"/>
      <c r="AH373" s="34"/>
      <c r="AI373" s="34"/>
      <c r="AJ373" s="34"/>
      <c r="AK373" s="34"/>
      <c r="AL373" s="34"/>
      <c r="AM373" s="34"/>
      <c r="AN373" s="34"/>
      <c r="AO373" s="34"/>
      <c r="AP373" s="34"/>
      <c r="AQ373" s="34"/>
      <c r="AR373" s="34"/>
      <c r="AS373" s="34"/>
      <c r="AT373" s="34"/>
      <c r="AU373" s="34"/>
    </row>
    <row r="374" spans="3:47" x14ac:dyDescent="0.2">
      <c r="C374" s="34"/>
      <c r="D374" s="34"/>
      <c r="E374" s="34"/>
      <c r="F374" s="34"/>
      <c r="G374" s="34"/>
      <c r="H374" s="34"/>
      <c r="I374" s="34"/>
      <c r="J374" s="34"/>
      <c r="K374" s="34"/>
      <c r="L374" s="34"/>
      <c r="M374" s="34"/>
      <c r="N374" s="34"/>
      <c r="O374" s="34"/>
      <c r="P374" s="34"/>
      <c r="Q374" s="34"/>
      <c r="R374" s="34"/>
      <c r="S374" s="34"/>
      <c r="T374" s="34"/>
      <c r="U374" s="34"/>
      <c r="V374" s="34"/>
      <c r="W374" s="34"/>
      <c r="X374" s="34"/>
      <c r="Y374" s="34"/>
      <c r="Z374" s="34"/>
      <c r="AA374" s="34"/>
      <c r="AB374" s="34"/>
      <c r="AC374" s="34"/>
      <c r="AD374" s="34"/>
      <c r="AE374" s="34"/>
      <c r="AF374" s="34"/>
      <c r="AG374" s="34"/>
      <c r="AH374" s="34"/>
      <c r="AI374" s="34"/>
      <c r="AJ374" s="34"/>
      <c r="AK374" s="34"/>
      <c r="AL374" s="34"/>
      <c r="AM374" s="34"/>
      <c r="AN374" s="34"/>
      <c r="AO374" s="34"/>
      <c r="AP374" s="34"/>
      <c r="AQ374" s="34"/>
      <c r="AR374" s="34"/>
      <c r="AS374" s="34"/>
      <c r="AT374" s="34"/>
      <c r="AU374" s="34"/>
    </row>
    <row r="375" spans="3:47" x14ac:dyDescent="0.2">
      <c r="C375" s="34"/>
      <c r="D375" s="34"/>
      <c r="E375" s="34"/>
      <c r="F375" s="34"/>
      <c r="G375" s="34"/>
      <c r="H375" s="34"/>
      <c r="I375" s="34"/>
      <c r="J375" s="34"/>
      <c r="K375" s="34"/>
      <c r="L375" s="34"/>
      <c r="M375" s="34"/>
      <c r="N375" s="34"/>
      <c r="O375" s="34"/>
      <c r="P375" s="34"/>
      <c r="Q375" s="34"/>
      <c r="R375" s="34"/>
      <c r="S375" s="34"/>
      <c r="T375" s="34"/>
      <c r="U375" s="34"/>
      <c r="V375" s="34"/>
      <c r="W375" s="34"/>
      <c r="X375" s="34"/>
      <c r="Y375" s="34"/>
      <c r="Z375" s="34"/>
      <c r="AA375" s="34"/>
      <c r="AB375" s="34"/>
      <c r="AC375" s="34"/>
      <c r="AD375" s="34"/>
      <c r="AE375" s="34"/>
      <c r="AF375" s="34"/>
      <c r="AG375" s="34"/>
      <c r="AH375" s="34"/>
      <c r="AI375" s="34"/>
      <c r="AJ375" s="34"/>
      <c r="AK375" s="34"/>
      <c r="AL375" s="34"/>
      <c r="AM375" s="34"/>
      <c r="AN375" s="34"/>
      <c r="AO375" s="34"/>
      <c r="AP375" s="34"/>
      <c r="AQ375" s="34"/>
      <c r="AR375" s="34"/>
      <c r="AS375" s="34"/>
      <c r="AT375" s="34"/>
      <c r="AU375" s="34"/>
    </row>
    <row r="376" spans="3:47" x14ac:dyDescent="0.2">
      <c r="C376" s="34"/>
      <c r="D376" s="34"/>
      <c r="E376" s="34"/>
      <c r="F376" s="34"/>
      <c r="G376" s="34"/>
      <c r="H376" s="34"/>
      <c r="I376" s="34"/>
      <c r="J376" s="34"/>
      <c r="K376" s="34"/>
      <c r="L376" s="34"/>
      <c r="M376" s="34"/>
      <c r="N376" s="34"/>
      <c r="O376" s="34"/>
      <c r="P376" s="34"/>
      <c r="Q376" s="34"/>
      <c r="R376" s="34"/>
      <c r="S376" s="34"/>
      <c r="T376" s="34"/>
      <c r="U376" s="34"/>
      <c r="V376" s="34"/>
      <c r="W376" s="34"/>
      <c r="X376" s="34"/>
      <c r="Y376" s="34"/>
      <c r="Z376" s="34"/>
      <c r="AA376" s="34"/>
      <c r="AB376" s="34"/>
      <c r="AC376" s="34"/>
      <c r="AD376" s="34"/>
      <c r="AE376" s="34"/>
      <c r="AF376" s="34"/>
      <c r="AG376" s="34"/>
      <c r="AH376" s="34"/>
      <c r="AI376" s="34"/>
      <c r="AJ376" s="34"/>
      <c r="AK376" s="34"/>
      <c r="AL376" s="34"/>
      <c r="AM376" s="34"/>
      <c r="AN376" s="34"/>
      <c r="AO376" s="34"/>
      <c r="AP376" s="34"/>
      <c r="AQ376" s="34"/>
      <c r="AR376" s="34"/>
      <c r="AS376" s="34"/>
      <c r="AT376" s="34"/>
      <c r="AU376" s="34"/>
    </row>
    <row r="377" spans="3:47" x14ac:dyDescent="0.2">
      <c r="C377" s="34"/>
      <c r="D377" s="34"/>
      <c r="E377" s="34"/>
      <c r="F377" s="34"/>
      <c r="G377" s="34"/>
      <c r="H377" s="34"/>
      <c r="I377" s="34"/>
      <c r="J377" s="34"/>
      <c r="K377" s="34"/>
      <c r="L377" s="34"/>
      <c r="M377" s="34"/>
      <c r="N377" s="34"/>
      <c r="O377" s="34"/>
      <c r="P377" s="34"/>
      <c r="Q377" s="34"/>
      <c r="R377" s="34"/>
      <c r="S377" s="34"/>
      <c r="T377" s="34"/>
      <c r="U377" s="34"/>
      <c r="V377" s="34"/>
      <c r="W377" s="34"/>
      <c r="X377" s="34"/>
      <c r="Y377" s="34"/>
      <c r="Z377" s="34"/>
      <c r="AA377" s="34"/>
      <c r="AB377" s="34"/>
      <c r="AC377" s="34"/>
      <c r="AD377" s="34"/>
      <c r="AE377" s="34"/>
      <c r="AF377" s="34"/>
      <c r="AG377" s="34"/>
      <c r="AH377" s="34"/>
      <c r="AI377" s="34"/>
      <c r="AJ377" s="34"/>
      <c r="AK377" s="34"/>
      <c r="AL377" s="34"/>
      <c r="AM377" s="34"/>
      <c r="AN377" s="34"/>
      <c r="AO377" s="34"/>
      <c r="AP377" s="34"/>
      <c r="AQ377" s="34"/>
      <c r="AR377" s="34"/>
      <c r="AS377" s="34"/>
      <c r="AT377" s="34"/>
      <c r="AU377" s="34"/>
    </row>
    <row r="378" spans="3:47" x14ac:dyDescent="0.2">
      <c r="C378" s="34"/>
      <c r="D378" s="34"/>
      <c r="E378" s="34"/>
      <c r="F378" s="34"/>
      <c r="G378" s="34"/>
      <c r="H378" s="34"/>
      <c r="I378" s="34"/>
      <c r="J378" s="34"/>
      <c r="K378" s="34"/>
      <c r="L378" s="34"/>
      <c r="M378" s="34"/>
      <c r="N378" s="34"/>
      <c r="O378" s="34"/>
      <c r="P378" s="34"/>
      <c r="Q378" s="34"/>
      <c r="R378" s="34"/>
      <c r="S378" s="34"/>
      <c r="T378" s="34"/>
      <c r="U378" s="34"/>
      <c r="V378" s="34"/>
      <c r="W378" s="34"/>
      <c r="X378" s="34"/>
      <c r="Y378" s="34"/>
      <c r="Z378" s="34"/>
      <c r="AA378" s="34"/>
      <c r="AB378" s="34"/>
      <c r="AC378" s="34"/>
      <c r="AD378" s="34"/>
      <c r="AE378" s="34"/>
      <c r="AF378" s="34"/>
      <c r="AG378" s="34"/>
      <c r="AH378" s="34"/>
      <c r="AI378" s="34"/>
      <c r="AJ378" s="34"/>
      <c r="AK378" s="34"/>
      <c r="AL378" s="34"/>
      <c r="AM378" s="34"/>
      <c r="AN378" s="34"/>
      <c r="AO378" s="34"/>
      <c r="AP378" s="34"/>
      <c r="AQ378" s="34"/>
      <c r="AR378" s="34"/>
      <c r="AS378" s="34"/>
      <c r="AT378" s="34"/>
      <c r="AU378" s="34"/>
    </row>
    <row r="379" spans="3:47" x14ac:dyDescent="0.2">
      <c r="C379" s="34"/>
      <c r="D379" s="34"/>
      <c r="E379" s="34"/>
      <c r="F379" s="34"/>
      <c r="G379" s="34"/>
      <c r="H379" s="34"/>
      <c r="I379" s="34"/>
      <c r="J379" s="34"/>
      <c r="K379" s="34"/>
      <c r="L379" s="34"/>
      <c r="M379" s="34"/>
      <c r="N379" s="34"/>
      <c r="O379" s="34"/>
      <c r="P379" s="34"/>
      <c r="Q379" s="34"/>
      <c r="R379" s="34"/>
      <c r="S379" s="34"/>
      <c r="T379" s="34"/>
      <c r="U379" s="34"/>
      <c r="V379" s="34"/>
      <c r="W379" s="34"/>
      <c r="X379" s="34"/>
      <c r="Y379" s="34"/>
      <c r="Z379" s="34"/>
      <c r="AA379" s="34"/>
      <c r="AB379" s="34"/>
      <c r="AC379" s="34"/>
      <c r="AD379" s="34"/>
      <c r="AE379" s="34"/>
      <c r="AF379" s="34"/>
      <c r="AG379" s="34"/>
      <c r="AH379" s="34"/>
      <c r="AI379" s="34"/>
      <c r="AJ379" s="34"/>
      <c r="AK379" s="34"/>
      <c r="AL379" s="34"/>
      <c r="AM379" s="34"/>
      <c r="AN379" s="34"/>
      <c r="AO379" s="34"/>
      <c r="AP379" s="34"/>
      <c r="AQ379" s="34"/>
      <c r="AR379" s="34"/>
      <c r="AS379" s="34"/>
      <c r="AT379" s="34"/>
      <c r="AU379" s="34"/>
    </row>
    <row r="380" spans="3:47" x14ac:dyDescent="0.2">
      <c r="C380" s="34"/>
      <c r="D380" s="34"/>
      <c r="E380" s="34"/>
      <c r="F380" s="34"/>
      <c r="G380" s="34"/>
      <c r="H380" s="34"/>
      <c r="I380" s="34"/>
      <c r="J380" s="34"/>
      <c r="K380" s="34"/>
      <c r="L380" s="34"/>
      <c r="M380" s="34"/>
      <c r="N380" s="34"/>
      <c r="O380" s="34"/>
      <c r="P380" s="34"/>
      <c r="Q380" s="34"/>
      <c r="R380" s="34"/>
      <c r="S380" s="34"/>
      <c r="T380" s="34"/>
      <c r="U380" s="34"/>
      <c r="V380" s="34"/>
      <c r="W380" s="34"/>
      <c r="X380" s="34"/>
      <c r="Y380" s="34"/>
      <c r="Z380" s="34"/>
      <c r="AA380" s="34"/>
      <c r="AB380" s="34"/>
      <c r="AC380" s="34"/>
      <c r="AD380" s="34"/>
      <c r="AE380" s="34"/>
      <c r="AF380" s="34"/>
      <c r="AG380" s="34"/>
      <c r="AH380" s="34"/>
      <c r="AI380" s="34"/>
      <c r="AJ380" s="34"/>
      <c r="AK380" s="34"/>
      <c r="AL380" s="34"/>
      <c r="AM380" s="34"/>
      <c r="AN380" s="34"/>
      <c r="AO380" s="34"/>
      <c r="AP380" s="34"/>
      <c r="AQ380" s="34"/>
      <c r="AR380" s="34"/>
      <c r="AS380" s="34"/>
      <c r="AT380" s="34"/>
      <c r="AU380" s="34"/>
    </row>
    <row r="381" spans="3:47" x14ac:dyDescent="0.2">
      <c r="C381" s="34"/>
      <c r="D381" s="34"/>
      <c r="E381" s="34"/>
      <c r="F381" s="34"/>
      <c r="G381" s="34"/>
      <c r="H381" s="34"/>
      <c r="I381" s="34"/>
      <c r="J381" s="34"/>
      <c r="K381" s="34"/>
      <c r="L381" s="34"/>
      <c r="M381" s="34"/>
      <c r="N381" s="34"/>
      <c r="O381" s="34"/>
      <c r="P381" s="34"/>
      <c r="Q381" s="34"/>
      <c r="R381" s="34"/>
      <c r="S381" s="34"/>
      <c r="T381" s="34"/>
      <c r="U381" s="34"/>
      <c r="V381" s="34"/>
      <c r="W381" s="34"/>
      <c r="X381" s="34"/>
      <c r="Y381" s="34"/>
      <c r="Z381" s="34"/>
      <c r="AA381" s="34"/>
      <c r="AB381" s="34"/>
      <c r="AC381" s="34"/>
      <c r="AD381" s="34"/>
      <c r="AE381" s="34"/>
      <c r="AF381" s="34"/>
      <c r="AG381" s="34"/>
      <c r="AH381" s="34"/>
      <c r="AI381" s="34"/>
      <c r="AJ381" s="34"/>
      <c r="AK381" s="34"/>
      <c r="AL381" s="34"/>
      <c r="AM381" s="34"/>
      <c r="AN381" s="34"/>
      <c r="AO381" s="34"/>
      <c r="AP381" s="34"/>
      <c r="AQ381" s="34"/>
      <c r="AR381" s="34"/>
      <c r="AS381" s="34"/>
      <c r="AT381" s="34"/>
      <c r="AU381" s="34"/>
    </row>
    <row r="382" spans="3:47" x14ac:dyDescent="0.2">
      <c r="C382" s="34"/>
      <c r="D382" s="34"/>
      <c r="E382" s="34"/>
      <c r="F382" s="34"/>
      <c r="G382" s="34"/>
      <c r="H382" s="34"/>
      <c r="I382" s="34"/>
      <c r="J382" s="34"/>
      <c r="K382" s="34"/>
      <c r="L382" s="34"/>
      <c r="M382" s="34"/>
      <c r="N382" s="34"/>
      <c r="O382" s="34"/>
      <c r="P382" s="34"/>
      <c r="Q382" s="34"/>
      <c r="R382" s="34"/>
      <c r="S382" s="34"/>
      <c r="T382" s="34"/>
      <c r="U382" s="34"/>
      <c r="V382" s="34"/>
      <c r="W382" s="34"/>
      <c r="X382" s="34"/>
      <c r="Y382" s="34"/>
      <c r="Z382" s="34"/>
      <c r="AA382" s="34"/>
      <c r="AB382" s="34"/>
      <c r="AC382" s="34"/>
      <c r="AD382" s="34"/>
      <c r="AE382" s="34"/>
      <c r="AF382" s="34"/>
      <c r="AG382" s="34"/>
      <c r="AH382" s="34"/>
      <c r="AI382" s="34"/>
      <c r="AJ382" s="34"/>
      <c r="AK382" s="34"/>
      <c r="AL382" s="34"/>
      <c r="AM382" s="34"/>
      <c r="AN382" s="34"/>
      <c r="AO382" s="34"/>
      <c r="AP382" s="34"/>
      <c r="AQ382" s="34"/>
      <c r="AR382" s="34"/>
      <c r="AS382" s="34"/>
      <c r="AT382" s="34"/>
      <c r="AU382" s="34"/>
    </row>
    <row r="383" spans="3:47" x14ac:dyDescent="0.2">
      <c r="C383" s="34"/>
      <c r="D383" s="34"/>
      <c r="E383" s="34"/>
      <c r="F383" s="34"/>
      <c r="G383" s="34"/>
      <c r="H383" s="34"/>
      <c r="I383" s="34"/>
      <c r="J383" s="34"/>
      <c r="K383" s="34"/>
      <c r="L383" s="34"/>
      <c r="M383" s="34"/>
      <c r="N383" s="34"/>
      <c r="O383" s="34"/>
      <c r="P383" s="34"/>
      <c r="Q383" s="34"/>
      <c r="R383" s="34"/>
      <c r="S383" s="34"/>
      <c r="T383" s="34"/>
      <c r="U383" s="34"/>
      <c r="V383" s="34"/>
      <c r="W383" s="34"/>
      <c r="X383" s="34"/>
      <c r="Y383" s="34"/>
      <c r="Z383" s="34"/>
      <c r="AA383" s="34"/>
      <c r="AB383" s="34"/>
      <c r="AC383" s="34"/>
      <c r="AD383" s="34"/>
      <c r="AE383" s="34"/>
      <c r="AF383" s="34"/>
      <c r="AG383" s="34"/>
      <c r="AH383" s="34"/>
      <c r="AI383" s="34"/>
      <c r="AJ383" s="34"/>
      <c r="AK383" s="34"/>
      <c r="AL383" s="34"/>
      <c r="AM383" s="34"/>
      <c r="AN383" s="34"/>
      <c r="AO383" s="34"/>
      <c r="AP383" s="34"/>
      <c r="AQ383" s="34"/>
      <c r="AR383" s="34"/>
      <c r="AS383" s="34"/>
      <c r="AT383" s="34"/>
      <c r="AU383" s="34"/>
    </row>
    <row r="384" spans="3:47" x14ac:dyDescent="0.2">
      <c r="C384" s="34"/>
      <c r="D384" s="34"/>
      <c r="E384" s="34"/>
      <c r="F384" s="34"/>
      <c r="G384" s="34"/>
      <c r="H384" s="34"/>
      <c r="I384" s="34"/>
      <c r="J384" s="34"/>
      <c r="K384" s="34"/>
      <c r="L384" s="34"/>
      <c r="M384" s="34"/>
      <c r="N384" s="34"/>
      <c r="O384" s="34"/>
      <c r="P384" s="34"/>
      <c r="Q384" s="34"/>
      <c r="R384" s="34"/>
      <c r="S384" s="34"/>
      <c r="T384" s="34"/>
      <c r="U384" s="34"/>
      <c r="V384" s="34"/>
      <c r="W384" s="34"/>
      <c r="X384" s="34"/>
      <c r="Y384" s="34"/>
      <c r="Z384" s="34"/>
      <c r="AA384" s="34"/>
      <c r="AB384" s="34"/>
      <c r="AC384" s="34"/>
      <c r="AD384" s="34"/>
      <c r="AE384" s="34"/>
      <c r="AF384" s="34"/>
      <c r="AG384" s="34"/>
      <c r="AH384" s="34"/>
      <c r="AI384" s="34"/>
      <c r="AJ384" s="34"/>
      <c r="AK384" s="34"/>
      <c r="AL384" s="34"/>
      <c r="AM384" s="34"/>
      <c r="AN384" s="34"/>
      <c r="AO384" s="34"/>
      <c r="AP384" s="34"/>
      <c r="AQ384" s="34"/>
      <c r="AR384" s="34"/>
      <c r="AS384" s="34"/>
      <c r="AT384" s="34"/>
      <c r="AU384" s="34"/>
    </row>
    <row r="385" spans="3:47" x14ac:dyDescent="0.2">
      <c r="C385" s="34"/>
      <c r="D385" s="34"/>
      <c r="E385" s="34"/>
      <c r="F385" s="34"/>
      <c r="G385" s="34"/>
      <c r="H385" s="34"/>
      <c r="I385" s="34"/>
      <c r="J385" s="34"/>
      <c r="K385" s="34"/>
      <c r="L385" s="34"/>
      <c r="M385" s="34"/>
      <c r="N385" s="34"/>
      <c r="O385" s="34"/>
      <c r="P385" s="34"/>
      <c r="Q385" s="34"/>
      <c r="R385" s="34"/>
      <c r="S385" s="34"/>
      <c r="T385" s="34"/>
      <c r="U385" s="34"/>
      <c r="V385" s="34"/>
      <c r="W385" s="34"/>
      <c r="X385" s="34"/>
      <c r="Y385" s="34"/>
      <c r="Z385" s="34"/>
      <c r="AA385" s="34"/>
      <c r="AB385" s="34"/>
      <c r="AC385" s="34"/>
      <c r="AD385" s="34"/>
      <c r="AE385" s="34"/>
      <c r="AF385" s="34"/>
      <c r="AG385" s="34"/>
      <c r="AH385" s="34"/>
      <c r="AI385" s="34"/>
      <c r="AJ385" s="34"/>
      <c r="AK385" s="34"/>
      <c r="AL385" s="34"/>
      <c r="AM385" s="34"/>
      <c r="AN385" s="34"/>
      <c r="AO385" s="34"/>
      <c r="AP385" s="34"/>
      <c r="AQ385" s="34"/>
      <c r="AR385" s="34"/>
      <c r="AS385" s="34"/>
      <c r="AT385" s="34"/>
      <c r="AU385" s="34"/>
    </row>
    <row r="386" spans="3:47" x14ac:dyDescent="0.2">
      <c r="C386" s="34"/>
      <c r="D386" s="34"/>
      <c r="E386" s="34"/>
      <c r="F386" s="34"/>
      <c r="G386" s="34"/>
      <c r="H386" s="34"/>
      <c r="I386" s="34"/>
      <c r="J386" s="34"/>
      <c r="K386" s="34"/>
      <c r="L386" s="34"/>
      <c r="M386" s="34"/>
      <c r="N386" s="34"/>
      <c r="O386" s="34"/>
      <c r="P386" s="34"/>
      <c r="Q386" s="34"/>
      <c r="R386" s="34"/>
      <c r="S386" s="34"/>
      <c r="T386" s="34"/>
      <c r="U386" s="34"/>
      <c r="V386" s="34"/>
      <c r="W386" s="34"/>
      <c r="X386" s="34"/>
      <c r="Y386" s="34"/>
      <c r="Z386" s="34"/>
      <c r="AA386" s="34"/>
      <c r="AB386" s="34"/>
      <c r="AC386" s="34"/>
      <c r="AD386" s="34"/>
      <c r="AE386" s="34"/>
      <c r="AF386" s="34"/>
      <c r="AG386" s="34"/>
      <c r="AH386" s="34"/>
      <c r="AI386" s="34"/>
      <c r="AJ386" s="34"/>
      <c r="AK386" s="34"/>
      <c r="AL386" s="34"/>
      <c r="AM386" s="34"/>
      <c r="AN386" s="34"/>
      <c r="AO386" s="34"/>
      <c r="AP386" s="34"/>
      <c r="AQ386" s="34"/>
      <c r="AR386" s="34"/>
      <c r="AS386" s="34"/>
      <c r="AT386" s="34"/>
      <c r="AU386" s="34"/>
    </row>
    <row r="387" spans="3:47" x14ac:dyDescent="0.2">
      <c r="C387" s="34"/>
      <c r="D387" s="34"/>
      <c r="E387" s="34"/>
      <c r="F387" s="34"/>
      <c r="G387" s="34"/>
      <c r="H387" s="34"/>
      <c r="I387" s="34"/>
      <c r="J387" s="34"/>
      <c r="K387" s="34"/>
      <c r="L387" s="34"/>
      <c r="M387" s="34"/>
      <c r="N387" s="34"/>
      <c r="O387" s="34"/>
      <c r="P387" s="34"/>
      <c r="Q387" s="34"/>
      <c r="R387" s="34"/>
      <c r="S387" s="34"/>
      <c r="T387" s="34"/>
      <c r="U387" s="34"/>
      <c r="V387" s="34"/>
      <c r="W387" s="34"/>
      <c r="X387" s="34"/>
      <c r="Y387" s="34"/>
      <c r="Z387" s="34"/>
      <c r="AA387" s="34"/>
      <c r="AB387" s="34"/>
      <c r="AC387" s="34"/>
      <c r="AD387" s="34"/>
      <c r="AE387" s="34"/>
      <c r="AF387" s="34"/>
      <c r="AG387" s="34"/>
      <c r="AH387" s="34"/>
      <c r="AI387" s="34"/>
      <c r="AJ387" s="34"/>
      <c r="AK387" s="34"/>
      <c r="AL387" s="34"/>
      <c r="AM387" s="34"/>
      <c r="AN387" s="34"/>
      <c r="AO387" s="34"/>
      <c r="AP387" s="34"/>
      <c r="AQ387" s="34"/>
      <c r="AR387" s="34"/>
      <c r="AS387" s="34"/>
      <c r="AT387" s="34"/>
      <c r="AU387" s="34"/>
    </row>
    <row r="388" spans="3:47" x14ac:dyDescent="0.2">
      <c r="C388" s="34"/>
      <c r="D388" s="34"/>
      <c r="E388" s="34"/>
      <c r="F388" s="34"/>
      <c r="G388" s="34"/>
      <c r="H388" s="34"/>
      <c r="I388" s="34"/>
      <c r="J388" s="34"/>
      <c r="K388" s="34"/>
      <c r="L388" s="34"/>
      <c r="M388" s="34"/>
      <c r="N388" s="34"/>
      <c r="O388" s="34"/>
      <c r="P388" s="34"/>
      <c r="Q388" s="34"/>
      <c r="R388" s="34"/>
      <c r="S388" s="34"/>
      <c r="T388" s="34"/>
      <c r="U388" s="34"/>
      <c r="V388" s="34"/>
      <c r="W388" s="34"/>
      <c r="X388" s="34"/>
      <c r="Y388" s="34"/>
      <c r="Z388" s="34"/>
      <c r="AA388" s="34"/>
      <c r="AB388" s="34"/>
      <c r="AC388" s="34"/>
      <c r="AD388" s="34"/>
      <c r="AE388" s="34"/>
      <c r="AF388" s="34"/>
      <c r="AG388" s="34"/>
      <c r="AH388" s="34"/>
      <c r="AI388" s="34"/>
      <c r="AJ388" s="34"/>
      <c r="AK388" s="34"/>
      <c r="AL388" s="34"/>
      <c r="AM388" s="34"/>
      <c r="AN388" s="34"/>
      <c r="AO388" s="34"/>
      <c r="AP388" s="34"/>
      <c r="AQ388" s="34"/>
      <c r="AR388" s="34"/>
      <c r="AS388" s="34"/>
      <c r="AT388" s="34"/>
      <c r="AU388" s="34"/>
    </row>
    <row r="389" spans="3:47" x14ac:dyDescent="0.2">
      <c r="C389" s="34"/>
      <c r="D389" s="34"/>
      <c r="E389" s="34"/>
      <c r="F389" s="34"/>
      <c r="G389" s="34"/>
      <c r="H389" s="34"/>
      <c r="I389" s="34"/>
      <c r="J389" s="34"/>
      <c r="K389" s="34"/>
      <c r="L389" s="34"/>
      <c r="M389" s="34"/>
      <c r="N389" s="34"/>
      <c r="O389" s="34"/>
      <c r="P389" s="34"/>
      <c r="Q389" s="34"/>
      <c r="R389" s="34"/>
      <c r="S389" s="34"/>
      <c r="T389" s="34"/>
      <c r="U389" s="34"/>
      <c r="V389" s="34"/>
      <c r="W389" s="34"/>
      <c r="X389" s="34"/>
      <c r="Y389" s="34"/>
      <c r="Z389" s="34"/>
      <c r="AA389" s="34"/>
      <c r="AB389" s="34"/>
      <c r="AC389" s="34"/>
      <c r="AD389" s="34"/>
      <c r="AE389" s="34"/>
      <c r="AF389" s="34"/>
      <c r="AG389" s="34"/>
      <c r="AH389" s="34"/>
      <c r="AI389" s="34"/>
      <c r="AJ389" s="34"/>
      <c r="AK389" s="34"/>
      <c r="AL389" s="34"/>
      <c r="AM389" s="34"/>
      <c r="AN389" s="34"/>
      <c r="AO389" s="34"/>
      <c r="AP389" s="34"/>
      <c r="AQ389" s="34"/>
      <c r="AR389" s="34"/>
      <c r="AS389" s="34"/>
      <c r="AT389" s="34"/>
      <c r="AU389" s="34"/>
    </row>
    <row r="390" spans="3:47" x14ac:dyDescent="0.2">
      <c r="C390" s="34"/>
      <c r="D390" s="34"/>
      <c r="E390" s="34"/>
      <c r="F390" s="34"/>
      <c r="G390" s="34"/>
      <c r="H390" s="34"/>
      <c r="I390" s="34"/>
      <c r="J390" s="34"/>
      <c r="K390" s="34"/>
      <c r="L390" s="34"/>
      <c r="M390" s="34"/>
      <c r="N390" s="34"/>
      <c r="O390" s="34"/>
      <c r="P390" s="34"/>
      <c r="Q390" s="34"/>
      <c r="R390" s="34"/>
      <c r="S390" s="34"/>
      <c r="T390" s="34"/>
      <c r="U390" s="34"/>
      <c r="V390" s="34"/>
      <c r="W390" s="34"/>
      <c r="X390" s="34"/>
      <c r="Y390" s="34"/>
      <c r="Z390" s="34"/>
      <c r="AA390" s="34"/>
      <c r="AB390" s="34"/>
      <c r="AC390" s="34"/>
      <c r="AD390" s="34"/>
      <c r="AE390" s="34"/>
      <c r="AF390" s="34"/>
      <c r="AG390" s="34"/>
      <c r="AH390" s="34"/>
      <c r="AI390" s="34"/>
      <c r="AJ390" s="34"/>
      <c r="AK390" s="34"/>
      <c r="AL390" s="34"/>
      <c r="AM390" s="34"/>
      <c r="AN390" s="34"/>
      <c r="AO390" s="34"/>
      <c r="AP390" s="34"/>
      <c r="AQ390" s="34"/>
      <c r="AR390" s="34"/>
      <c r="AS390" s="34"/>
      <c r="AT390" s="34"/>
      <c r="AU390" s="34"/>
    </row>
    <row r="391" spans="3:47" x14ac:dyDescent="0.2">
      <c r="C391" s="34"/>
      <c r="D391" s="34"/>
      <c r="E391" s="34"/>
      <c r="F391" s="34"/>
      <c r="G391" s="34"/>
      <c r="H391" s="34"/>
      <c r="I391" s="34"/>
      <c r="J391" s="34"/>
      <c r="K391" s="34"/>
      <c r="L391" s="34"/>
      <c r="M391" s="34"/>
      <c r="N391" s="34"/>
      <c r="O391" s="34"/>
      <c r="P391" s="34"/>
      <c r="Q391" s="34"/>
      <c r="R391" s="34"/>
      <c r="S391" s="34"/>
      <c r="T391" s="34"/>
      <c r="U391" s="34"/>
      <c r="V391" s="34"/>
      <c r="W391" s="34"/>
      <c r="X391" s="34"/>
      <c r="Y391" s="34"/>
      <c r="Z391" s="34"/>
      <c r="AA391" s="34"/>
      <c r="AB391" s="34"/>
      <c r="AC391" s="34"/>
      <c r="AD391" s="34"/>
      <c r="AE391" s="34"/>
      <c r="AF391" s="34"/>
      <c r="AG391" s="34"/>
      <c r="AH391" s="34"/>
      <c r="AI391" s="34"/>
      <c r="AJ391" s="34"/>
      <c r="AK391" s="34"/>
      <c r="AL391" s="34"/>
      <c r="AM391" s="34"/>
      <c r="AN391" s="34"/>
      <c r="AO391" s="34"/>
      <c r="AP391" s="34"/>
      <c r="AQ391" s="34"/>
      <c r="AR391" s="34"/>
      <c r="AS391" s="34"/>
      <c r="AT391" s="34"/>
      <c r="AU391" s="34"/>
    </row>
    <row r="392" spans="3:47" x14ac:dyDescent="0.2">
      <c r="C392" s="34"/>
      <c r="D392" s="34"/>
      <c r="E392" s="34"/>
      <c r="F392" s="34"/>
      <c r="G392" s="34"/>
      <c r="H392" s="34"/>
      <c r="I392" s="34"/>
      <c r="J392" s="34"/>
      <c r="K392" s="34"/>
      <c r="L392" s="34"/>
      <c r="M392" s="34"/>
      <c r="N392" s="34"/>
      <c r="O392" s="34"/>
      <c r="P392" s="34"/>
      <c r="Q392" s="34"/>
      <c r="R392" s="34"/>
      <c r="S392" s="34"/>
      <c r="T392" s="34"/>
      <c r="U392" s="34"/>
      <c r="V392" s="34"/>
      <c r="W392" s="34"/>
      <c r="X392" s="34"/>
      <c r="Y392" s="34"/>
      <c r="Z392" s="34"/>
      <c r="AA392" s="34"/>
      <c r="AB392" s="34"/>
      <c r="AC392" s="34"/>
      <c r="AD392" s="34"/>
      <c r="AE392" s="34"/>
      <c r="AF392" s="34"/>
      <c r="AG392" s="34"/>
      <c r="AH392" s="34"/>
      <c r="AI392" s="34"/>
      <c r="AJ392" s="34"/>
      <c r="AK392" s="34"/>
      <c r="AL392" s="34"/>
      <c r="AM392" s="34"/>
      <c r="AN392" s="34"/>
      <c r="AO392" s="34"/>
      <c r="AP392" s="34"/>
      <c r="AQ392" s="34"/>
      <c r="AR392" s="34"/>
      <c r="AS392" s="34"/>
      <c r="AT392" s="34"/>
      <c r="AU392" s="34"/>
    </row>
    <row r="393" spans="3:47" x14ac:dyDescent="0.2">
      <c r="C393" s="34"/>
      <c r="D393" s="34"/>
      <c r="E393" s="34"/>
      <c r="F393" s="34"/>
      <c r="G393" s="34"/>
      <c r="H393" s="34"/>
      <c r="I393" s="34"/>
      <c r="J393" s="34"/>
      <c r="K393" s="34"/>
      <c r="L393" s="34"/>
      <c r="M393" s="34"/>
      <c r="N393" s="34"/>
      <c r="O393" s="34"/>
      <c r="P393" s="34"/>
      <c r="Q393" s="34"/>
      <c r="R393" s="34"/>
      <c r="S393" s="34"/>
      <c r="T393" s="34"/>
      <c r="U393" s="34"/>
      <c r="V393" s="34"/>
      <c r="W393" s="34"/>
      <c r="X393" s="34"/>
      <c r="Y393" s="34"/>
      <c r="Z393" s="34"/>
      <c r="AA393" s="34"/>
      <c r="AB393" s="34"/>
      <c r="AC393" s="34"/>
      <c r="AD393" s="34"/>
      <c r="AE393" s="34"/>
      <c r="AF393" s="34"/>
      <c r="AG393" s="34"/>
      <c r="AH393" s="34"/>
      <c r="AI393" s="34"/>
      <c r="AJ393" s="34"/>
      <c r="AK393" s="34"/>
      <c r="AL393" s="34"/>
      <c r="AM393" s="34"/>
      <c r="AN393" s="34"/>
      <c r="AO393" s="34"/>
      <c r="AP393" s="34"/>
      <c r="AQ393" s="34"/>
      <c r="AR393" s="34"/>
      <c r="AS393" s="34"/>
      <c r="AT393" s="34"/>
      <c r="AU393" s="34"/>
    </row>
    <row r="394" spans="3:47" x14ac:dyDescent="0.2">
      <c r="C394" s="34"/>
      <c r="D394" s="34"/>
      <c r="E394" s="34"/>
      <c r="F394" s="34"/>
      <c r="G394" s="34"/>
      <c r="H394" s="34"/>
      <c r="I394" s="34"/>
      <c r="J394" s="34"/>
      <c r="K394" s="34"/>
      <c r="L394" s="34"/>
      <c r="M394" s="34"/>
      <c r="N394" s="34"/>
      <c r="O394" s="34"/>
      <c r="P394" s="34"/>
      <c r="Q394" s="34"/>
      <c r="R394" s="34"/>
      <c r="S394" s="34"/>
      <c r="T394" s="34"/>
      <c r="U394" s="34"/>
      <c r="V394" s="34"/>
      <c r="W394" s="34"/>
      <c r="X394" s="34"/>
      <c r="Y394" s="34"/>
      <c r="Z394" s="34"/>
      <c r="AA394" s="34"/>
      <c r="AB394" s="34"/>
      <c r="AC394" s="34"/>
      <c r="AD394" s="34"/>
      <c r="AE394" s="34"/>
      <c r="AF394" s="34"/>
      <c r="AG394" s="34"/>
      <c r="AH394" s="34"/>
      <c r="AI394" s="34"/>
      <c r="AJ394" s="34"/>
      <c r="AK394" s="34"/>
      <c r="AL394" s="34"/>
      <c r="AM394" s="34"/>
      <c r="AN394" s="34"/>
      <c r="AO394" s="34"/>
      <c r="AP394" s="34"/>
      <c r="AQ394" s="34"/>
      <c r="AR394" s="34"/>
      <c r="AS394" s="34"/>
      <c r="AT394" s="34"/>
      <c r="AU394" s="34"/>
    </row>
    <row r="395" spans="3:47" x14ac:dyDescent="0.2">
      <c r="C395" s="34"/>
      <c r="D395" s="34"/>
      <c r="E395" s="34"/>
      <c r="F395" s="34"/>
      <c r="G395" s="34"/>
      <c r="H395" s="34"/>
      <c r="I395" s="34"/>
      <c r="J395" s="34"/>
      <c r="K395" s="34"/>
      <c r="L395" s="34"/>
      <c r="M395" s="34"/>
      <c r="N395" s="34"/>
      <c r="O395" s="34"/>
      <c r="P395" s="34"/>
      <c r="Q395" s="34"/>
      <c r="R395" s="34"/>
      <c r="S395" s="34"/>
      <c r="T395" s="34"/>
      <c r="U395" s="34"/>
      <c r="V395" s="34"/>
      <c r="W395" s="34"/>
      <c r="X395" s="34"/>
      <c r="Y395" s="34"/>
      <c r="Z395" s="34"/>
      <c r="AA395" s="34"/>
      <c r="AB395" s="34"/>
      <c r="AC395" s="34"/>
      <c r="AD395" s="34"/>
      <c r="AE395" s="34"/>
      <c r="AF395" s="34"/>
      <c r="AG395" s="34"/>
      <c r="AH395" s="34"/>
      <c r="AI395" s="34"/>
      <c r="AJ395" s="34"/>
      <c r="AK395" s="34"/>
      <c r="AL395" s="34"/>
      <c r="AM395" s="34"/>
      <c r="AN395" s="34"/>
      <c r="AO395" s="34"/>
      <c r="AP395" s="34"/>
      <c r="AQ395" s="34"/>
      <c r="AR395" s="34"/>
      <c r="AS395" s="34"/>
      <c r="AT395" s="34"/>
      <c r="AU395" s="34"/>
    </row>
    <row r="396" spans="3:47" x14ac:dyDescent="0.2">
      <c r="C396" s="34"/>
      <c r="D396" s="34"/>
      <c r="E396" s="34"/>
      <c r="F396" s="34"/>
      <c r="G396" s="34"/>
      <c r="H396" s="34"/>
      <c r="I396" s="34"/>
      <c r="J396" s="34"/>
      <c r="K396" s="34"/>
      <c r="L396" s="34"/>
      <c r="M396" s="34"/>
      <c r="N396" s="34"/>
      <c r="O396" s="34"/>
      <c r="P396" s="34"/>
      <c r="Q396" s="34"/>
      <c r="R396" s="34"/>
      <c r="S396" s="34"/>
      <c r="T396" s="34"/>
      <c r="U396" s="34"/>
      <c r="V396" s="34"/>
      <c r="W396" s="34"/>
      <c r="X396" s="34"/>
      <c r="Y396" s="34"/>
      <c r="Z396" s="34"/>
      <c r="AA396" s="34"/>
      <c r="AB396" s="34"/>
      <c r="AC396" s="34"/>
      <c r="AD396" s="34"/>
      <c r="AE396" s="34"/>
      <c r="AF396" s="34"/>
      <c r="AG396" s="34"/>
      <c r="AH396" s="34"/>
      <c r="AI396" s="34"/>
      <c r="AJ396" s="34"/>
      <c r="AK396" s="34"/>
      <c r="AL396" s="34"/>
      <c r="AM396" s="34"/>
      <c r="AN396" s="34"/>
      <c r="AO396" s="34"/>
      <c r="AP396" s="34"/>
      <c r="AQ396" s="34"/>
      <c r="AR396" s="34"/>
      <c r="AS396" s="34"/>
      <c r="AT396" s="34"/>
      <c r="AU396" s="34"/>
    </row>
    <row r="397" spans="3:47" x14ac:dyDescent="0.2">
      <c r="C397" s="34"/>
      <c r="D397" s="34"/>
      <c r="E397" s="34"/>
      <c r="F397" s="34"/>
      <c r="G397" s="34"/>
      <c r="H397" s="34"/>
      <c r="I397" s="34"/>
      <c r="J397" s="34"/>
      <c r="K397" s="34"/>
      <c r="L397" s="34"/>
      <c r="M397" s="34"/>
      <c r="N397" s="34"/>
      <c r="O397" s="34"/>
      <c r="P397" s="34"/>
      <c r="Q397" s="34"/>
      <c r="R397" s="34"/>
      <c r="S397" s="34"/>
      <c r="T397" s="34"/>
      <c r="U397" s="34"/>
      <c r="V397" s="34"/>
      <c r="W397" s="34"/>
      <c r="X397" s="34"/>
      <c r="Y397" s="34"/>
      <c r="Z397" s="34"/>
      <c r="AA397" s="34"/>
      <c r="AB397" s="34"/>
      <c r="AC397" s="34"/>
      <c r="AD397" s="34"/>
      <c r="AE397" s="34"/>
      <c r="AF397" s="34"/>
      <c r="AG397" s="34"/>
      <c r="AH397" s="34"/>
      <c r="AI397" s="34"/>
      <c r="AJ397" s="34"/>
      <c r="AK397" s="34"/>
      <c r="AL397" s="34"/>
      <c r="AM397" s="34"/>
      <c r="AN397" s="34"/>
      <c r="AO397" s="34"/>
      <c r="AP397" s="34"/>
      <c r="AQ397" s="34"/>
      <c r="AR397" s="34"/>
      <c r="AS397" s="34"/>
      <c r="AT397" s="34"/>
      <c r="AU397" s="34"/>
    </row>
    <row r="398" spans="3:47" x14ac:dyDescent="0.2">
      <c r="C398" s="34"/>
      <c r="D398" s="34"/>
      <c r="E398" s="34"/>
      <c r="F398" s="34"/>
      <c r="G398" s="34"/>
      <c r="H398" s="34"/>
      <c r="I398" s="34"/>
      <c r="J398" s="34"/>
      <c r="K398" s="34"/>
      <c r="L398" s="34"/>
      <c r="M398" s="34"/>
      <c r="N398" s="34"/>
      <c r="O398" s="34"/>
      <c r="P398" s="34"/>
      <c r="Q398" s="34"/>
      <c r="R398" s="34"/>
      <c r="S398" s="34"/>
      <c r="T398" s="34"/>
      <c r="U398" s="34"/>
      <c r="V398" s="34"/>
      <c r="W398" s="34"/>
      <c r="X398" s="34"/>
      <c r="Y398" s="34"/>
      <c r="Z398" s="34"/>
      <c r="AA398" s="34"/>
      <c r="AB398" s="34"/>
      <c r="AC398" s="34"/>
      <c r="AD398" s="34"/>
      <c r="AE398" s="34"/>
      <c r="AF398" s="34"/>
      <c r="AG398" s="34"/>
      <c r="AH398" s="34"/>
      <c r="AI398" s="34"/>
      <c r="AJ398" s="34"/>
      <c r="AK398" s="34"/>
      <c r="AL398" s="34"/>
      <c r="AM398" s="34"/>
      <c r="AN398" s="34"/>
      <c r="AO398" s="34"/>
      <c r="AP398" s="34"/>
      <c r="AQ398" s="34"/>
      <c r="AR398" s="34"/>
      <c r="AS398" s="34"/>
      <c r="AT398" s="34"/>
      <c r="AU398" s="34"/>
    </row>
    <row r="399" spans="3:47" x14ac:dyDescent="0.2">
      <c r="C399" s="34"/>
      <c r="D399" s="34"/>
      <c r="E399" s="34"/>
      <c r="F399" s="34"/>
      <c r="G399" s="34"/>
      <c r="H399" s="34"/>
      <c r="I399" s="34"/>
      <c r="J399" s="34"/>
      <c r="K399" s="34"/>
      <c r="L399" s="34"/>
      <c r="M399" s="34"/>
      <c r="N399" s="34"/>
      <c r="O399" s="34"/>
      <c r="P399" s="34"/>
      <c r="Q399" s="34"/>
      <c r="R399" s="34"/>
      <c r="S399" s="34"/>
      <c r="T399" s="34"/>
      <c r="U399" s="34"/>
      <c r="V399" s="34"/>
      <c r="W399" s="34"/>
      <c r="X399" s="34"/>
      <c r="Y399" s="34"/>
      <c r="Z399" s="34"/>
      <c r="AA399" s="34"/>
      <c r="AB399" s="34"/>
      <c r="AC399" s="34"/>
      <c r="AD399" s="34"/>
      <c r="AE399" s="34"/>
      <c r="AF399" s="34"/>
      <c r="AG399" s="34"/>
      <c r="AH399" s="34"/>
      <c r="AI399" s="34"/>
      <c r="AJ399" s="34"/>
      <c r="AK399" s="34"/>
      <c r="AL399" s="34"/>
      <c r="AM399" s="34"/>
      <c r="AN399" s="34"/>
      <c r="AO399" s="34"/>
      <c r="AP399" s="34"/>
      <c r="AQ399" s="34"/>
      <c r="AR399" s="34"/>
      <c r="AS399" s="34"/>
      <c r="AT399" s="34"/>
      <c r="AU399" s="34"/>
    </row>
    <row r="400" spans="3:47" x14ac:dyDescent="0.2">
      <c r="C400" s="34"/>
      <c r="D400" s="34"/>
      <c r="E400" s="34"/>
      <c r="F400" s="34"/>
      <c r="G400" s="34"/>
      <c r="H400" s="34"/>
      <c r="I400" s="34"/>
      <c r="J400" s="34"/>
      <c r="K400" s="34"/>
      <c r="L400" s="34"/>
      <c r="M400" s="34"/>
      <c r="N400" s="34"/>
      <c r="O400" s="34"/>
      <c r="P400" s="34"/>
      <c r="Q400" s="34"/>
      <c r="R400" s="34"/>
      <c r="S400" s="34"/>
      <c r="T400" s="34"/>
      <c r="U400" s="34"/>
      <c r="V400" s="34"/>
      <c r="W400" s="34"/>
      <c r="X400" s="34"/>
      <c r="Y400" s="34"/>
      <c r="Z400" s="34"/>
      <c r="AA400" s="34"/>
      <c r="AB400" s="34"/>
      <c r="AC400" s="34"/>
      <c r="AD400" s="34"/>
      <c r="AE400" s="34"/>
      <c r="AF400" s="34"/>
      <c r="AG400" s="34"/>
      <c r="AH400" s="34"/>
      <c r="AI400" s="34"/>
      <c r="AJ400" s="34"/>
      <c r="AK400" s="34"/>
      <c r="AL400" s="34"/>
      <c r="AM400" s="34"/>
      <c r="AN400" s="34"/>
      <c r="AO400" s="34"/>
      <c r="AP400" s="34"/>
      <c r="AQ400" s="34"/>
      <c r="AR400" s="34"/>
      <c r="AS400" s="34"/>
      <c r="AT400" s="34"/>
      <c r="AU400" s="34"/>
    </row>
    <row r="401" spans="3:47" x14ac:dyDescent="0.2">
      <c r="C401" s="34"/>
      <c r="D401" s="34"/>
      <c r="E401" s="34"/>
      <c r="F401" s="34"/>
      <c r="G401" s="34"/>
      <c r="H401" s="34"/>
      <c r="I401" s="34"/>
      <c r="J401" s="34"/>
      <c r="K401" s="34"/>
      <c r="L401" s="34"/>
      <c r="M401" s="34"/>
      <c r="N401" s="34"/>
      <c r="O401" s="34"/>
      <c r="P401" s="34"/>
      <c r="Q401" s="34"/>
      <c r="R401" s="34"/>
      <c r="S401" s="34"/>
      <c r="T401" s="34"/>
      <c r="U401" s="34"/>
      <c r="V401" s="34"/>
      <c r="W401" s="34"/>
      <c r="X401" s="34"/>
      <c r="Y401" s="34"/>
      <c r="Z401" s="34"/>
      <c r="AA401" s="34"/>
      <c r="AB401" s="34"/>
      <c r="AC401" s="34"/>
      <c r="AD401" s="34"/>
      <c r="AE401" s="34"/>
      <c r="AF401" s="34"/>
      <c r="AG401" s="34"/>
      <c r="AH401" s="34"/>
      <c r="AI401" s="34"/>
      <c r="AJ401" s="34"/>
      <c r="AK401" s="34"/>
      <c r="AL401" s="34"/>
      <c r="AM401" s="34"/>
      <c r="AN401" s="34"/>
      <c r="AO401" s="34"/>
      <c r="AP401" s="34"/>
      <c r="AQ401" s="34"/>
      <c r="AR401" s="34"/>
      <c r="AS401" s="34"/>
      <c r="AT401" s="34"/>
      <c r="AU401" s="34"/>
    </row>
    <row r="402" spans="3:47" x14ac:dyDescent="0.2">
      <c r="C402" s="34"/>
      <c r="D402" s="34"/>
      <c r="E402" s="34"/>
      <c r="F402" s="34"/>
      <c r="G402" s="34"/>
      <c r="H402" s="34"/>
      <c r="I402" s="34"/>
      <c r="J402" s="34"/>
      <c r="K402" s="34"/>
      <c r="L402" s="34"/>
      <c r="M402" s="34"/>
      <c r="N402" s="34"/>
      <c r="O402" s="34"/>
      <c r="P402" s="34"/>
      <c r="Q402" s="34"/>
      <c r="R402" s="34"/>
      <c r="S402" s="34"/>
      <c r="T402" s="34"/>
      <c r="U402" s="34"/>
      <c r="V402" s="34"/>
      <c r="W402" s="34"/>
      <c r="X402" s="34"/>
      <c r="Y402" s="34"/>
      <c r="Z402" s="34"/>
      <c r="AA402" s="34"/>
      <c r="AB402" s="34"/>
      <c r="AC402" s="34"/>
      <c r="AD402" s="34"/>
      <c r="AE402" s="34"/>
      <c r="AF402" s="34"/>
      <c r="AG402" s="34"/>
      <c r="AH402" s="34"/>
      <c r="AI402" s="34"/>
      <c r="AJ402" s="34"/>
      <c r="AK402" s="34"/>
      <c r="AL402" s="34"/>
      <c r="AM402" s="34"/>
      <c r="AN402" s="34"/>
      <c r="AO402" s="34"/>
      <c r="AP402" s="34"/>
      <c r="AQ402" s="34"/>
      <c r="AR402" s="34"/>
      <c r="AS402" s="34"/>
      <c r="AT402" s="34"/>
      <c r="AU402" s="34"/>
    </row>
    <row r="403" spans="3:47" x14ac:dyDescent="0.2">
      <c r="C403" s="34"/>
      <c r="D403" s="34"/>
      <c r="E403" s="34"/>
      <c r="F403" s="34"/>
      <c r="G403" s="34"/>
      <c r="H403" s="34"/>
      <c r="I403" s="34"/>
      <c r="J403" s="34"/>
      <c r="K403" s="34"/>
      <c r="L403" s="34"/>
      <c r="M403" s="34"/>
      <c r="N403" s="34"/>
      <c r="O403" s="34"/>
      <c r="P403" s="34"/>
      <c r="Q403" s="34"/>
      <c r="R403" s="34"/>
      <c r="S403" s="34"/>
      <c r="T403" s="34"/>
      <c r="U403" s="34"/>
      <c r="V403" s="34"/>
      <c r="W403" s="34"/>
      <c r="X403" s="34"/>
      <c r="Y403" s="34"/>
      <c r="Z403" s="34"/>
      <c r="AA403" s="34"/>
      <c r="AB403" s="34"/>
      <c r="AC403" s="34"/>
      <c r="AD403" s="34"/>
      <c r="AE403" s="34"/>
      <c r="AF403" s="34"/>
      <c r="AG403" s="34"/>
      <c r="AH403" s="34"/>
      <c r="AI403" s="34"/>
      <c r="AJ403" s="34"/>
      <c r="AK403" s="34"/>
      <c r="AL403" s="34"/>
      <c r="AM403" s="34"/>
      <c r="AN403" s="34"/>
      <c r="AO403" s="34"/>
      <c r="AP403" s="34"/>
      <c r="AQ403" s="34"/>
      <c r="AR403" s="34"/>
      <c r="AS403" s="34"/>
      <c r="AT403" s="34"/>
      <c r="AU403" s="34"/>
    </row>
    <row r="404" spans="3:47" x14ac:dyDescent="0.2">
      <c r="C404" s="34"/>
      <c r="D404" s="34"/>
      <c r="E404" s="34"/>
      <c r="F404" s="34"/>
      <c r="G404" s="34"/>
      <c r="H404" s="34"/>
      <c r="I404" s="34"/>
      <c r="J404" s="34"/>
      <c r="K404" s="34"/>
      <c r="L404" s="34"/>
      <c r="M404" s="34"/>
      <c r="N404" s="34"/>
      <c r="O404" s="34"/>
      <c r="P404" s="34"/>
      <c r="Q404" s="34"/>
      <c r="R404" s="34"/>
      <c r="S404" s="34"/>
      <c r="T404" s="34"/>
      <c r="U404" s="34"/>
      <c r="V404" s="34"/>
      <c r="W404" s="34"/>
      <c r="X404" s="34"/>
      <c r="Y404" s="34"/>
      <c r="Z404" s="34"/>
      <c r="AA404" s="34"/>
      <c r="AB404" s="34"/>
      <c r="AC404" s="34"/>
      <c r="AD404" s="34"/>
      <c r="AE404" s="34"/>
      <c r="AF404" s="34"/>
      <c r="AG404" s="34"/>
      <c r="AH404" s="34"/>
      <c r="AI404" s="34"/>
      <c r="AJ404" s="34"/>
      <c r="AK404" s="34"/>
      <c r="AL404" s="34"/>
      <c r="AM404" s="34"/>
      <c r="AN404" s="34"/>
      <c r="AO404" s="34"/>
      <c r="AP404" s="34"/>
      <c r="AQ404" s="34"/>
      <c r="AR404" s="34"/>
      <c r="AS404" s="34"/>
      <c r="AT404" s="34"/>
      <c r="AU404" s="34"/>
    </row>
    <row r="405" spans="3:47" x14ac:dyDescent="0.2">
      <c r="C405" s="34"/>
      <c r="D405" s="34"/>
      <c r="E405" s="34"/>
      <c r="F405" s="34"/>
      <c r="G405" s="34"/>
      <c r="H405" s="34"/>
      <c r="I405" s="34"/>
      <c r="J405" s="34"/>
      <c r="K405" s="34"/>
      <c r="L405" s="34"/>
      <c r="M405" s="34"/>
      <c r="N405" s="34"/>
      <c r="O405" s="34"/>
      <c r="P405" s="34"/>
      <c r="Q405" s="34"/>
      <c r="R405" s="34"/>
      <c r="S405" s="34"/>
      <c r="T405" s="34"/>
      <c r="U405" s="34"/>
      <c r="V405" s="34"/>
      <c r="W405" s="34"/>
      <c r="X405" s="34"/>
      <c r="Y405" s="34"/>
      <c r="Z405" s="34"/>
      <c r="AA405" s="34"/>
      <c r="AB405" s="34"/>
      <c r="AC405" s="34"/>
      <c r="AD405" s="34"/>
      <c r="AE405" s="34"/>
      <c r="AF405" s="34"/>
      <c r="AG405" s="34"/>
      <c r="AH405" s="34"/>
      <c r="AI405" s="34"/>
      <c r="AJ405" s="34"/>
      <c r="AK405" s="34"/>
      <c r="AL405" s="34"/>
      <c r="AM405" s="34"/>
      <c r="AN405" s="34"/>
      <c r="AO405" s="34"/>
      <c r="AP405" s="34"/>
      <c r="AQ405" s="34"/>
      <c r="AR405" s="34"/>
      <c r="AS405" s="34"/>
      <c r="AT405" s="34"/>
      <c r="AU405" s="34"/>
    </row>
    <row r="406" spans="3:47" x14ac:dyDescent="0.2">
      <c r="C406" s="34"/>
      <c r="D406" s="34"/>
      <c r="E406" s="34"/>
      <c r="F406" s="34"/>
      <c r="G406" s="34"/>
      <c r="H406" s="34"/>
      <c r="I406" s="34"/>
      <c r="J406" s="34"/>
      <c r="K406" s="34"/>
      <c r="L406" s="34"/>
      <c r="M406" s="34"/>
      <c r="N406" s="34"/>
      <c r="O406" s="34"/>
      <c r="P406" s="34"/>
      <c r="Q406" s="34"/>
      <c r="R406" s="34"/>
      <c r="S406" s="34"/>
      <c r="T406" s="34"/>
      <c r="U406" s="34"/>
      <c r="V406" s="34"/>
      <c r="W406" s="34"/>
      <c r="X406" s="34"/>
      <c r="Y406" s="34"/>
      <c r="Z406" s="34"/>
      <c r="AA406" s="34"/>
      <c r="AB406" s="34"/>
      <c r="AC406" s="34"/>
      <c r="AD406" s="34"/>
      <c r="AE406" s="34"/>
      <c r="AF406" s="34"/>
      <c r="AG406" s="34"/>
      <c r="AH406" s="34"/>
      <c r="AI406" s="34"/>
      <c r="AJ406" s="34"/>
      <c r="AK406" s="34"/>
      <c r="AL406" s="34"/>
      <c r="AM406" s="34"/>
      <c r="AN406" s="34"/>
      <c r="AO406" s="34"/>
      <c r="AP406" s="34"/>
      <c r="AQ406" s="34"/>
      <c r="AR406" s="34"/>
      <c r="AS406" s="34"/>
      <c r="AT406" s="34"/>
      <c r="AU406" s="34"/>
    </row>
    <row r="407" spans="3:47" x14ac:dyDescent="0.2">
      <c r="C407" s="34"/>
      <c r="D407" s="34"/>
      <c r="E407" s="34"/>
      <c r="F407" s="34"/>
      <c r="G407" s="34"/>
      <c r="H407" s="34"/>
      <c r="I407" s="34"/>
      <c r="J407" s="34"/>
      <c r="K407" s="34"/>
      <c r="L407" s="34"/>
      <c r="M407" s="34"/>
      <c r="N407" s="34"/>
      <c r="O407" s="34"/>
      <c r="P407" s="34"/>
      <c r="Q407" s="34"/>
      <c r="R407" s="34"/>
      <c r="S407" s="34"/>
      <c r="T407" s="34"/>
      <c r="U407" s="34"/>
      <c r="V407" s="34"/>
      <c r="W407" s="34"/>
      <c r="X407" s="34"/>
      <c r="Y407" s="34"/>
      <c r="Z407" s="34"/>
      <c r="AA407" s="34"/>
      <c r="AB407" s="34"/>
      <c r="AC407" s="34"/>
      <c r="AD407" s="34"/>
      <c r="AE407" s="34"/>
      <c r="AF407" s="34"/>
      <c r="AG407" s="34"/>
      <c r="AH407" s="34"/>
      <c r="AI407" s="34"/>
      <c r="AJ407" s="34"/>
      <c r="AK407" s="34"/>
      <c r="AL407" s="34"/>
      <c r="AM407" s="34"/>
      <c r="AN407" s="34"/>
      <c r="AO407" s="34"/>
      <c r="AP407" s="34"/>
      <c r="AQ407" s="34"/>
      <c r="AR407" s="34"/>
      <c r="AS407" s="34"/>
      <c r="AT407" s="34"/>
      <c r="AU407" s="34"/>
    </row>
    <row r="408" spans="3:47" x14ac:dyDescent="0.2">
      <c r="C408" s="34"/>
      <c r="D408" s="34"/>
      <c r="E408" s="34"/>
      <c r="F408" s="34"/>
      <c r="G408" s="34"/>
      <c r="H408" s="34"/>
      <c r="I408" s="34"/>
      <c r="J408" s="34"/>
      <c r="K408" s="34"/>
      <c r="L408" s="34"/>
      <c r="M408" s="34"/>
      <c r="N408" s="34"/>
      <c r="O408" s="34"/>
      <c r="P408" s="34"/>
      <c r="Q408" s="34"/>
      <c r="R408" s="34"/>
      <c r="S408" s="34"/>
      <c r="T408" s="34"/>
      <c r="U408" s="34"/>
      <c r="V408" s="34"/>
      <c r="W408" s="34"/>
      <c r="X408" s="34"/>
      <c r="Y408" s="34"/>
      <c r="Z408" s="34"/>
      <c r="AA408" s="34"/>
      <c r="AB408" s="34"/>
      <c r="AC408" s="34"/>
      <c r="AD408" s="34"/>
      <c r="AE408" s="34"/>
      <c r="AF408" s="34"/>
      <c r="AG408" s="34"/>
      <c r="AH408" s="34"/>
      <c r="AI408" s="34"/>
      <c r="AJ408" s="34"/>
      <c r="AK408" s="34"/>
      <c r="AL408" s="34"/>
      <c r="AM408" s="34"/>
      <c r="AN408" s="34"/>
      <c r="AO408" s="34"/>
      <c r="AP408" s="34"/>
      <c r="AQ408" s="34"/>
      <c r="AR408" s="34"/>
      <c r="AS408" s="34"/>
      <c r="AT408" s="34"/>
      <c r="AU408" s="34"/>
    </row>
    <row r="409" spans="3:47" x14ac:dyDescent="0.2">
      <c r="C409" s="34"/>
      <c r="D409" s="34"/>
      <c r="E409" s="34"/>
      <c r="F409" s="34"/>
      <c r="G409" s="34"/>
      <c r="H409" s="34"/>
      <c r="I409" s="34"/>
      <c r="J409" s="34"/>
      <c r="K409" s="34"/>
      <c r="L409" s="34"/>
      <c r="M409" s="34"/>
      <c r="N409" s="34"/>
      <c r="O409" s="34"/>
      <c r="P409" s="34"/>
      <c r="Q409" s="34"/>
      <c r="R409" s="34"/>
      <c r="S409" s="34"/>
      <c r="T409" s="34"/>
      <c r="U409" s="34"/>
      <c r="V409" s="34"/>
      <c r="W409" s="34"/>
      <c r="X409" s="34"/>
      <c r="Y409" s="34"/>
      <c r="Z409" s="34"/>
      <c r="AA409" s="34"/>
      <c r="AB409" s="34"/>
      <c r="AC409" s="34"/>
      <c r="AD409" s="34"/>
      <c r="AE409" s="34"/>
      <c r="AF409" s="34"/>
      <c r="AG409" s="34"/>
      <c r="AH409" s="34"/>
      <c r="AI409" s="34"/>
      <c r="AJ409" s="34"/>
      <c r="AK409" s="34"/>
      <c r="AL409" s="34"/>
      <c r="AM409" s="34"/>
      <c r="AN409" s="34"/>
      <c r="AO409" s="34"/>
      <c r="AP409" s="34"/>
      <c r="AQ409" s="34"/>
      <c r="AR409" s="34"/>
      <c r="AS409" s="34"/>
      <c r="AT409" s="34"/>
      <c r="AU409" s="34"/>
    </row>
    <row r="410" spans="3:47" x14ac:dyDescent="0.2">
      <c r="C410" s="34"/>
      <c r="D410" s="34"/>
      <c r="E410" s="34"/>
      <c r="F410" s="34"/>
      <c r="G410" s="34"/>
      <c r="H410" s="34"/>
      <c r="I410" s="34"/>
      <c r="J410" s="34"/>
      <c r="K410" s="34"/>
      <c r="L410" s="34"/>
      <c r="M410" s="34"/>
      <c r="N410" s="34"/>
      <c r="O410" s="34"/>
      <c r="P410" s="34"/>
      <c r="Q410" s="34"/>
      <c r="R410" s="34"/>
      <c r="S410" s="34"/>
      <c r="T410" s="34"/>
      <c r="U410" s="34"/>
      <c r="V410" s="34"/>
      <c r="W410" s="34"/>
      <c r="X410" s="34"/>
      <c r="Y410" s="34"/>
      <c r="Z410" s="34"/>
      <c r="AA410" s="34"/>
      <c r="AB410" s="34"/>
      <c r="AC410" s="34"/>
      <c r="AD410" s="34"/>
      <c r="AE410" s="34"/>
      <c r="AF410" s="34"/>
      <c r="AG410" s="34"/>
      <c r="AH410" s="34"/>
      <c r="AI410" s="34"/>
      <c r="AJ410" s="34"/>
      <c r="AK410" s="34"/>
      <c r="AL410" s="34"/>
      <c r="AM410" s="34"/>
      <c r="AN410" s="34"/>
      <c r="AO410" s="34"/>
      <c r="AP410" s="34"/>
      <c r="AQ410" s="34"/>
      <c r="AR410" s="34"/>
      <c r="AS410" s="34"/>
      <c r="AT410" s="34"/>
      <c r="AU410" s="34"/>
    </row>
    <row r="411" spans="3:47" x14ac:dyDescent="0.2">
      <c r="C411" s="34"/>
      <c r="D411" s="34"/>
      <c r="E411" s="34"/>
      <c r="F411" s="34"/>
      <c r="G411" s="34"/>
      <c r="H411" s="34"/>
      <c r="I411" s="34"/>
      <c r="J411" s="34"/>
      <c r="K411" s="34"/>
      <c r="L411" s="34"/>
      <c r="M411" s="34"/>
      <c r="N411" s="34"/>
      <c r="O411" s="34"/>
      <c r="P411" s="34"/>
      <c r="Q411" s="34"/>
      <c r="R411" s="34"/>
      <c r="S411" s="34"/>
      <c r="T411" s="34"/>
      <c r="U411" s="34"/>
      <c r="V411" s="34"/>
      <c r="W411" s="34"/>
      <c r="X411" s="34"/>
      <c r="Y411" s="34"/>
      <c r="Z411" s="34"/>
      <c r="AA411" s="34"/>
      <c r="AB411" s="34"/>
      <c r="AC411" s="34"/>
      <c r="AD411" s="34"/>
      <c r="AE411" s="34"/>
      <c r="AF411" s="34"/>
      <c r="AG411" s="34"/>
      <c r="AH411" s="34"/>
      <c r="AI411" s="34"/>
      <c r="AJ411" s="34"/>
      <c r="AK411" s="34"/>
      <c r="AL411" s="34"/>
      <c r="AM411" s="34"/>
      <c r="AN411" s="34"/>
      <c r="AO411" s="34"/>
      <c r="AP411" s="34"/>
      <c r="AQ411" s="34"/>
      <c r="AR411" s="34"/>
      <c r="AS411" s="34"/>
      <c r="AT411" s="34"/>
      <c r="AU411" s="34"/>
    </row>
    <row r="412" spans="3:47" x14ac:dyDescent="0.2">
      <c r="C412" s="34"/>
      <c r="D412" s="34"/>
      <c r="E412" s="34"/>
      <c r="F412" s="34"/>
      <c r="G412" s="34"/>
      <c r="H412" s="34"/>
      <c r="I412" s="34"/>
      <c r="J412" s="34"/>
      <c r="K412" s="34"/>
      <c r="L412" s="34"/>
      <c r="M412" s="34"/>
      <c r="N412" s="34"/>
      <c r="O412" s="34"/>
      <c r="P412" s="34"/>
      <c r="Q412" s="34"/>
      <c r="R412" s="34"/>
      <c r="S412" s="34"/>
      <c r="T412" s="34"/>
      <c r="U412" s="34"/>
      <c r="V412" s="34"/>
      <c r="W412" s="34"/>
      <c r="X412" s="34"/>
      <c r="Y412" s="34"/>
      <c r="Z412" s="34"/>
      <c r="AA412" s="34"/>
      <c r="AB412" s="34"/>
      <c r="AC412" s="34"/>
      <c r="AD412" s="34"/>
      <c r="AE412" s="34"/>
      <c r="AF412" s="34"/>
      <c r="AG412" s="34"/>
      <c r="AH412" s="34"/>
      <c r="AI412" s="34"/>
      <c r="AJ412" s="34"/>
      <c r="AK412" s="34"/>
      <c r="AL412" s="34"/>
      <c r="AM412" s="34"/>
      <c r="AN412" s="34"/>
      <c r="AO412" s="34"/>
      <c r="AP412" s="34"/>
      <c r="AQ412" s="34"/>
      <c r="AR412" s="34"/>
      <c r="AS412" s="34"/>
      <c r="AT412" s="34"/>
      <c r="AU412" s="34"/>
    </row>
    <row r="413" spans="3:47" x14ac:dyDescent="0.2">
      <c r="C413" s="34"/>
      <c r="D413" s="34"/>
      <c r="E413" s="34"/>
      <c r="F413" s="34"/>
      <c r="G413" s="34"/>
      <c r="H413" s="34"/>
      <c r="I413" s="34"/>
      <c r="J413" s="34"/>
      <c r="K413" s="34"/>
      <c r="L413" s="34"/>
      <c r="M413" s="34"/>
      <c r="N413" s="34"/>
      <c r="O413" s="34"/>
      <c r="P413" s="34"/>
      <c r="Q413" s="34"/>
      <c r="R413" s="34"/>
      <c r="S413" s="34"/>
      <c r="T413" s="34"/>
      <c r="U413" s="34"/>
      <c r="V413" s="34"/>
      <c r="W413" s="34"/>
      <c r="X413" s="34"/>
      <c r="Y413" s="34"/>
      <c r="Z413" s="34"/>
      <c r="AA413" s="34"/>
      <c r="AB413" s="34"/>
      <c r="AC413" s="34"/>
      <c r="AD413" s="34"/>
      <c r="AE413" s="34"/>
      <c r="AF413" s="34"/>
      <c r="AG413" s="34"/>
      <c r="AH413" s="34"/>
      <c r="AI413" s="34"/>
      <c r="AJ413" s="34"/>
      <c r="AK413" s="34"/>
      <c r="AL413" s="34"/>
      <c r="AM413" s="34"/>
      <c r="AN413" s="34"/>
      <c r="AO413" s="34"/>
      <c r="AP413" s="34"/>
      <c r="AQ413" s="34"/>
      <c r="AR413" s="34"/>
      <c r="AS413" s="34"/>
      <c r="AT413" s="34"/>
      <c r="AU413" s="34"/>
    </row>
    <row r="414" spans="3:47" x14ac:dyDescent="0.2">
      <c r="C414" s="34"/>
      <c r="D414" s="34"/>
      <c r="E414" s="34"/>
      <c r="F414" s="34"/>
      <c r="G414" s="34"/>
      <c r="H414" s="34"/>
      <c r="I414" s="34"/>
      <c r="J414" s="34"/>
      <c r="K414" s="34"/>
      <c r="L414" s="34"/>
      <c r="M414" s="34"/>
      <c r="N414" s="34"/>
      <c r="O414" s="34"/>
      <c r="P414" s="34"/>
      <c r="Q414" s="34"/>
      <c r="R414" s="34"/>
      <c r="S414" s="34"/>
      <c r="T414" s="34"/>
      <c r="U414" s="34"/>
      <c r="V414" s="34"/>
      <c r="W414" s="34"/>
      <c r="X414" s="34"/>
      <c r="Y414" s="34"/>
      <c r="Z414" s="34"/>
      <c r="AA414" s="34"/>
      <c r="AB414" s="34"/>
      <c r="AC414" s="34"/>
      <c r="AD414" s="34"/>
      <c r="AE414" s="34"/>
      <c r="AF414" s="34"/>
      <c r="AG414" s="34"/>
      <c r="AH414" s="34"/>
      <c r="AI414" s="34"/>
      <c r="AJ414" s="34"/>
      <c r="AK414" s="34"/>
      <c r="AL414" s="34"/>
      <c r="AM414" s="34"/>
      <c r="AN414" s="34"/>
      <c r="AO414" s="34"/>
      <c r="AP414" s="34"/>
      <c r="AQ414" s="34"/>
      <c r="AR414" s="34"/>
      <c r="AS414" s="34"/>
      <c r="AT414" s="34"/>
      <c r="AU414" s="34"/>
    </row>
    <row r="415" spans="3:47" x14ac:dyDescent="0.2">
      <c r="C415" s="34"/>
      <c r="D415" s="34"/>
      <c r="E415" s="34"/>
      <c r="F415" s="34"/>
      <c r="G415" s="34"/>
      <c r="H415" s="34"/>
      <c r="I415" s="34"/>
      <c r="J415" s="34"/>
      <c r="K415" s="34"/>
      <c r="L415" s="34"/>
      <c r="M415" s="34"/>
      <c r="N415" s="34"/>
      <c r="O415" s="34"/>
      <c r="P415" s="34"/>
      <c r="Q415" s="34"/>
      <c r="R415" s="34"/>
      <c r="S415" s="34"/>
      <c r="T415" s="34"/>
      <c r="U415" s="34"/>
      <c r="V415" s="34"/>
      <c r="W415" s="34"/>
      <c r="X415" s="34"/>
      <c r="Y415" s="34"/>
      <c r="Z415" s="34"/>
      <c r="AA415" s="34"/>
      <c r="AB415" s="34"/>
      <c r="AC415" s="34"/>
      <c r="AD415" s="34"/>
      <c r="AE415" s="34"/>
      <c r="AF415" s="34"/>
      <c r="AG415" s="34"/>
      <c r="AH415" s="34"/>
      <c r="AI415" s="34"/>
      <c r="AJ415" s="34"/>
      <c r="AK415" s="34"/>
      <c r="AL415" s="34"/>
      <c r="AM415" s="34"/>
      <c r="AN415" s="34"/>
      <c r="AO415" s="34"/>
      <c r="AP415" s="34"/>
      <c r="AQ415" s="34"/>
      <c r="AR415" s="34"/>
      <c r="AS415" s="34"/>
      <c r="AT415" s="34"/>
      <c r="AU415" s="34"/>
    </row>
    <row r="416" spans="3:47" x14ac:dyDescent="0.2">
      <c r="C416" s="34"/>
      <c r="D416" s="34"/>
      <c r="E416" s="34"/>
      <c r="F416" s="34"/>
      <c r="G416" s="34"/>
      <c r="H416" s="34"/>
      <c r="I416" s="34"/>
      <c r="J416" s="34"/>
      <c r="K416" s="34"/>
      <c r="L416" s="34"/>
      <c r="M416" s="34"/>
      <c r="N416" s="34"/>
      <c r="O416" s="34"/>
      <c r="P416" s="34"/>
      <c r="Q416" s="34"/>
      <c r="R416" s="34"/>
      <c r="S416" s="34"/>
      <c r="T416" s="34"/>
      <c r="U416" s="34"/>
      <c r="V416" s="34"/>
      <c r="W416" s="34"/>
      <c r="X416" s="34"/>
      <c r="Y416" s="34"/>
      <c r="Z416" s="34"/>
      <c r="AA416" s="34"/>
      <c r="AB416" s="34"/>
      <c r="AC416" s="34"/>
      <c r="AD416" s="34"/>
      <c r="AE416" s="34"/>
      <c r="AF416" s="34"/>
      <c r="AG416" s="34"/>
      <c r="AH416" s="34"/>
      <c r="AI416" s="34"/>
      <c r="AJ416" s="34"/>
      <c r="AK416" s="34"/>
      <c r="AL416" s="34"/>
      <c r="AM416" s="34"/>
      <c r="AN416" s="34"/>
      <c r="AO416" s="34"/>
      <c r="AP416" s="34"/>
      <c r="AQ416" s="34"/>
      <c r="AR416" s="34"/>
      <c r="AS416" s="34"/>
      <c r="AT416" s="34"/>
      <c r="AU416" s="34"/>
    </row>
    <row r="417" spans="3:47" x14ac:dyDescent="0.2">
      <c r="C417" s="34"/>
      <c r="D417" s="34"/>
      <c r="E417" s="34"/>
      <c r="F417" s="34"/>
      <c r="G417" s="34"/>
      <c r="H417" s="34"/>
      <c r="I417" s="34"/>
      <c r="J417" s="34"/>
      <c r="K417" s="34"/>
      <c r="L417" s="34"/>
      <c r="M417" s="34"/>
      <c r="N417" s="34"/>
      <c r="O417" s="34"/>
      <c r="P417" s="34"/>
      <c r="Q417" s="34"/>
      <c r="R417" s="34"/>
      <c r="S417" s="34"/>
      <c r="T417" s="34"/>
      <c r="U417" s="34"/>
      <c r="V417" s="34"/>
      <c r="W417" s="34"/>
      <c r="X417" s="34"/>
      <c r="Y417" s="34"/>
      <c r="Z417" s="34"/>
      <c r="AA417" s="34"/>
      <c r="AB417" s="34"/>
      <c r="AC417" s="34"/>
      <c r="AD417" s="34"/>
      <c r="AE417" s="34"/>
      <c r="AF417" s="34"/>
      <c r="AG417" s="34"/>
      <c r="AH417" s="34"/>
      <c r="AI417" s="34"/>
      <c r="AJ417" s="34"/>
      <c r="AK417" s="34"/>
      <c r="AL417" s="34"/>
      <c r="AM417" s="34"/>
      <c r="AN417" s="34"/>
      <c r="AO417" s="34"/>
      <c r="AP417" s="34"/>
      <c r="AQ417" s="34"/>
      <c r="AR417" s="34"/>
      <c r="AS417" s="34"/>
      <c r="AT417" s="34"/>
      <c r="AU417" s="34"/>
    </row>
    <row r="418" spans="3:47" x14ac:dyDescent="0.2">
      <c r="C418" s="34"/>
      <c r="D418" s="34"/>
      <c r="E418" s="34"/>
      <c r="F418" s="34"/>
      <c r="G418" s="34"/>
      <c r="H418" s="34"/>
      <c r="I418" s="34"/>
      <c r="J418" s="34"/>
      <c r="K418" s="34"/>
      <c r="L418" s="34"/>
      <c r="M418" s="34"/>
      <c r="N418" s="34"/>
      <c r="O418" s="34"/>
      <c r="P418" s="34"/>
      <c r="Q418" s="34"/>
      <c r="R418" s="34"/>
      <c r="S418" s="34"/>
      <c r="T418" s="34"/>
      <c r="U418" s="34"/>
      <c r="V418" s="34"/>
      <c r="W418" s="34"/>
      <c r="X418" s="34"/>
      <c r="Y418" s="34"/>
      <c r="Z418" s="34"/>
      <c r="AA418" s="34"/>
      <c r="AB418" s="34"/>
      <c r="AC418" s="34"/>
      <c r="AD418" s="34"/>
      <c r="AE418" s="34"/>
      <c r="AF418" s="34"/>
      <c r="AG418" s="34"/>
      <c r="AH418" s="34"/>
      <c r="AI418" s="34"/>
      <c r="AJ418" s="34"/>
      <c r="AK418" s="34"/>
      <c r="AL418" s="34"/>
      <c r="AM418" s="34"/>
      <c r="AN418" s="34"/>
      <c r="AO418" s="34"/>
      <c r="AP418" s="34"/>
      <c r="AQ418" s="34"/>
      <c r="AR418" s="34"/>
      <c r="AS418" s="34"/>
      <c r="AT418" s="34"/>
      <c r="AU418" s="34"/>
    </row>
    <row r="419" spans="3:47" x14ac:dyDescent="0.2">
      <c r="C419" s="34"/>
      <c r="D419" s="34"/>
      <c r="E419" s="34"/>
      <c r="F419" s="34"/>
      <c r="G419" s="34"/>
      <c r="H419" s="34"/>
      <c r="I419" s="34"/>
      <c r="J419" s="34"/>
      <c r="K419" s="34"/>
      <c r="L419" s="34"/>
      <c r="M419" s="34"/>
      <c r="N419" s="34"/>
      <c r="O419" s="34"/>
      <c r="P419" s="34"/>
      <c r="Q419" s="34"/>
      <c r="R419" s="34"/>
      <c r="S419" s="34"/>
      <c r="T419" s="34"/>
      <c r="U419" s="34"/>
      <c r="V419" s="34"/>
      <c r="W419" s="34"/>
      <c r="X419" s="34"/>
      <c r="Y419" s="34"/>
      <c r="Z419" s="34"/>
      <c r="AA419" s="34"/>
      <c r="AB419" s="34"/>
      <c r="AC419" s="34"/>
      <c r="AD419" s="34"/>
      <c r="AE419" s="34"/>
      <c r="AF419" s="34"/>
      <c r="AG419" s="34"/>
      <c r="AH419" s="34"/>
      <c r="AI419" s="34"/>
      <c r="AJ419" s="34"/>
      <c r="AK419" s="34"/>
      <c r="AL419" s="34"/>
      <c r="AM419" s="34"/>
      <c r="AN419" s="34"/>
      <c r="AO419" s="34"/>
      <c r="AP419" s="34"/>
      <c r="AQ419" s="34"/>
      <c r="AR419" s="34"/>
      <c r="AS419" s="34"/>
      <c r="AT419" s="34"/>
      <c r="AU419" s="34"/>
    </row>
    <row r="420" spans="3:47" x14ac:dyDescent="0.2">
      <c r="C420" s="34"/>
      <c r="D420" s="34"/>
      <c r="E420" s="34"/>
      <c r="F420" s="34"/>
      <c r="G420" s="34"/>
      <c r="H420" s="34"/>
      <c r="I420" s="34"/>
      <c r="J420" s="34"/>
      <c r="K420" s="34"/>
      <c r="L420" s="34"/>
      <c r="M420" s="34"/>
      <c r="N420" s="34"/>
      <c r="O420" s="34"/>
      <c r="P420" s="34"/>
      <c r="Q420" s="34"/>
      <c r="R420" s="34"/>
      <c r="S420" s="34"/>
      <c r="T420" s="34"/>
      <c r="U420" s="34"/>
      <c r="V420" s="34"/>
      <c r="W420" s="34"/>
      <c r="X420" s="34"/>
      <c r="Y420" s="34"/>
      <c r="Z420" s="34"/>
      <c r="AA420" s="34"/>
      <c r="AB420" s="34"/>
      <c r="AC420" s="34"/>
      <c r="AD420" s="34"/>
      <c r="AE420" s="34"/>
      <c r="AF420" s="34"/>
      <c r="AG420" s="34"/>
      <c r="AH420" s="34"/>
      <c r="AI420" s="34"/>
      <c r="AJ420" s="34"/>
      <c r="AK420" s="34"/>
      <c r="AL420" s="34"/>
      <c r="AM420" s="34"/>
      <c r="AN420" s="34"/>
      <c r="AO420" s="34"/>
      <c r="AP420" s="34"/>
      <c r="AQ420" s="34"/>
      <c r="AR420" s="34"/>
      <c r="AS420" s="34"/>
      <c r="AT420" s="34"/>
      <c r="AU420" s="34"/>
    </row>
    <row r="421" spans="3:47" x14ac:dyDescent="0.2">
      <c r="C421" s="34"/>
      <c r="D421" s="34"/>
      <c r="E421" s="34"/>
      <c r="F421" s="34"/>
      <c r="G421" s="34"/>
      <c r="H421" s="34"/>
      <c r="I421" s="34"/>
      <c r="J421" s="34"/>
      <c r="K421" s="34"/>
      <c r="L421" s="34"/>
      <c r="M421" s="34"/>
      <c r="N421" s="34"/>
      <c r="O421" s="34"/>
      <c r="P421" s="34"/>
      <c r="Q421" s="34"/>
      <c r="R421" s="34"/>
      <c r="S421" s="34"/>
      <c r="T421" s="34"/>
      <c r="U421" s="34"/>
      <c r="V421" s="34"/>
      <c r="W421" s="34"/>
      <c r="X421" s="34"/>
      <c r="Y421" s="34"/>
      <c r="Z421" s="34"/>
      <c r="AA421" s="34"/>
      <c r="AB421" s="34"/>
      <c r="AC421" s="34"/>
      <c r="AD421" s="34"/>
      <c r="AE421" s="34"/>
      <c r="AF421" s="34"/>
      <c r="AG421" s="34"/>
      <c r="AH421" s="34"/>
      <c r="AI421" s="34"/>
      <c r="AJ421" s="34"/>
      <c r="AK421" s="34"/>
      <c r="AL421" s="34"/>
      <c r="AM421" s="34"/>
      <c r="AN421" s="34"/>
      <c r="AO421" s="34"/>
      <c r="AP421" s="34"/>
      <c r="AQ421" s="34"/>
      <c r="AR421" s="34"/>
      <c r="AS421" s="34"/>
      <c r="AT421" s="34"/>
      <c r="AU421" s="34"/>
    </row>
    <row r="422" spans="3:47" x14ac:dyDescent="0.2">
      <c r="C422" s="34"/>
      <c r="D422" s="34"/>
      <c r="E422" s="34"/>
      <c r="F422" s="34"/>
      <c r="G422" s="34"/>
      <c r="H422" s="34"/>
      <c r="I422" s="34"/>
      <c r="J422" s="34"/>
      <c r="K422" s="34"/>
      <c r="L422" s="34"/>
      <c r="M422" s="34"/>
      <c r="N422" s="34"/>
      <c r="O422" s="34"/>
      <c r="P422" s="34"/>
      <c r="Q422" s="34"/>
      <c r="R422" s="34"/>
      <c r="S422" s="34"/>
      <c r="T422" s="34"/>
      <c r="U422" s="34"/>
      <c r="V422" s="34"/>
      <c r="W422" s="34"/>
      <c r="X422" s="34"/>
      <c r="Y422" s="34"/>
      <c r="Z422" s="34"/>
      <c r="AA422" s="34"/>
      <c r="AB422" s="34"/>
      <c r="AC422" s="34"/>
      <c r="AD422" s="34"/>
      <c r="AE422" s="34"/>
      <c r="AF422" s="34"/>
      <c r="AG422" s="34"/>
      <c r="AH422" s="34"/>
      <c r="AI422" s="34"/>
      <c r="AJ422" s="34"/>
      <c r="AK422" s="34"/>
      <c r="AL422" s="34"/>
      <c r="AM422" s="34"/>
      <c r="AN422" s="34"/>
      <c r="AO422" s="34"/>
      <c r="AP422" s="34"/>
      <c r="AQ422" s="34"/>
      <c r="AR422" s="34"/>
      <c r="AS422" s="34"/>
      <c r="AT422" s="34"/>
      <c r="AU422" s="34"/>
    </row>
    <row r="423" spans="3:47" x14ac:dyDescent="0.2">
      <c r="C423" s="34"/>
      <c r="D423" s="34"/>
      <c r="E423" s="34"/>
      <c r="F423" s="34"/>
      <c r="G423" s="34"/>
      <c r="H423" s="34"/>
      <c r="I423" s="34"/>
      <c r="J423" s="34"/>
      <c r="K423" s="34"/>
      <c r="L423" s="34"/>
      <c r="M423" s="34"/>
      <c r="N423" s="34"/>
      <c r="O423" s="34"/>
      <c r="P423" s="34"/>
      <c r="Q423" s="34"/>
      <c r="R423" s="34"/>
      <c r="S423" s="34"/>
      <c r="T423" s="34"/>
      <c r="U423" s="34"/>
      <c r="V423" s="34"/>
      <c r="W423" s="34"/>
      <c r="X423" s="34"/>
      <c r="Y423" s="34"/>
      <c r="Z423" s="34"/>
      <c r="AA423" s="34"/>
      <c r="AB423" s="34"/>
      <c r="AC423" s="34"/>
      <c r="AD423" s="34"/>
      <c r="AE423" s="34"/>
      <c r="AF423" s="34"/>
      <c r="AG423" s="34"/>
      <c r="AH423" s="34"/>
      <c r="AI423" s="34"/>
      <c r="AJ423" s="34"/>
      <c r="AK423" s="34"/>
      <c r="AL423" s="34"/>
      <c r="AM423" s="34"/>
      <c r="AN423" s="34"/>
      <c r="AO423" s="34"/>
      <c r="AP423" s="34"/>
      <c r="AQ423" s="34"/>
      <c r="AR423" s="34"/>
      <c r="AS423" s="34"/>
      <c r="AT423" s="34"/>
      <c r="AU423" s="34"/>
    </row>
    <row r="424" spans="3:47" x14ac:dyDescent="0.2">
      <c r="C424" s="34"/>
      <c r="D424" s="34"/>
      <c r="E424" s="34"/>
      <c r="F424" s="34"/>
      <c r="G424" s="34"/>
      <c r="H424" s="34"/>
      <c r="I424" s="34"/>
      <c r="J424" s="34"/>
      <c r="K424" s="34"/>
      <c r="L424" s="34"/>
      <c r="M424" s="34"/>
      <c r="N424" s="34"/>
      <c r="O424" s="34"/>
      <c r="P424" s="34"/>
      <c r="Q424" s="34"/>
      <c r="R424" s="34"/>
      <c r="S424" s="34"/>
      <c r="T424" s="34"/>
      <c r="U424" s="34"/>
      <c r="V424" s="34"/>
      <c r="W424" s="34"/>
      <c r="X424" s="34"/>
      <c r="Y424" s="34"/>
      <c r="Z424" s="34"/>
      <c r="AA424" s="34"/>
      <c r="AB424" s="34"/>
      <c r="AC424" s="34"/>
      <c r="AD424" s="34"/>
      <c r="AE424" s="34"/>
      <c r="AF424" s="34"/>
      <c r="AG424" s="34"/>
      <c r="AH424" s="34"/>
      <c r="AI424" s="34"/>
      <c r="AJ424" s="34"/>
      <c r="AK424" s="34"/>
      <c r="AL424" s="34"/>
      <c r="AM424" s="34"/>
      <c r="AN424" s="34"/>
      <c r="AO424" s="34"/>
      <c r="AP424" s="34"/>
      <c r="AQ424" s="34"/>
      <c r="AR424" s="34"/>
      <c r="AS424" s="34"/>
      <c r="AT424" s="34"/>
      <c r="AU424" s="34"/>
    </row>
    <row r="425" spans="3:47" x14ac:dyDescent="0.2">
      <c r="C425" s="34"/>
      <c r="D425" s="34"/>
      <c r="E425" s="34"/>
      <c r="F425" s="34"/>
      <c r="G425" s="34"/>
      <c r="H425" s="34"/>
      <c r="I425" s="34"/>
      <c r="J425" s="34"/>
      <c r="K425" s="34"/>
      <c r="L425" s="34"/>
      <c r="M425" s="34"/>
      <c r="N425" s="34"/>
      <c r="O425" s="34"/>
      <c r="P425" s="34"/>
      <c r="Q425" s="34"/>
      <c r="R425" s="34"/>
      <c r="S425" s="34"/>
      <c r="T425" s="34"/>
      <c r="U425" s="34"/>
      <c r="V425" s="34"/>
      <c r="W425" s="34"/>
      <c r="X425" s="34"/>
      <c r="Y425" s="34"/>
      <c r="Z425" s="34"/>
      <c r="AA425" s="34"/>
      <c r="AB425" s="34"/>
      <c r="AC425" s="34"/>
      <c r="AD425" s="34"/>
      <c r="AE425" s="34"/>
      <c r="AF425" s="34"/>
      <c r="AG425" s="34"/>
      <c r="AH425" s="34"/>
      <c r="AI425" s="34"/>
      <c r="AJ425" s="34"/>
      <c r="AK425" s="34"/>
      <c r="AL425" s="34"/>
      <c r="AM425" s="34"/>
      <c r="AN425" s="34"/>
      <c r="AO425" s="34"/>
      <c r="AP425" s="34"/>
      <c r="AQ425" s="34"/>
      <c r="AR425" s="34"/>
      <c r="AS425" s="34"/>
      <c r="AT425" s="34"/>
      <c r="AU425" s="34"/>
    </row>
    <row r="426" spans="3:47" x14ac:dyDescent="0.2">
      <c r="C426" s="34"/>
      <c r="D426" s="34"/>
      <c r="E426" s="34"/>
      <c r="F426" s="34"/>
      <c r="G426" s="34"/>
      <c r="H426" s="34"/>
      <c r="I426" s="34"/>
      <c r="J426" s="34"/>
      <c r="K426" s="34"/>
      <c r="L426" s="34"/>
      <c r="M426" s="34"/>
      <c r="N426" s="34"/>
      <c r="O426" s="34"/>
      <c r="P426" s="34"/>
      <c r="Q426" s="34"/>
      <c r="R426" s="34"/>
      <c r="S426" s="34"/>
      <c r="T426" s="34"/>
      <c r="U426" s="34"/>
      <c r="V426" s="34"/>
      <c r="W426" s="34"/>
      <c r="X426" s="34"/>
      <c r="Y426" s="34"/>
      <c r="Z426" s="34"/>
      <c r="AA426" s="34"/>
      <c r="AB426" s="34"/>
      <c r="AC426" s="34"/>
      <c r="AD426" s="34"/>
      <c r="AE426" s="34"/>
      <c r="AF426" s="34"/>
      <c r="AG426" s="34"/>
      <c r="AH426" s="34"/>
      <c r="AI426" s="34"/>
      <c r="AJ426" s="34"/>
      <c r="AK426" s="34"/>
      <c r="AL426" s="34"/>
      <c r="AM426" s="34"/>
      <c r="AN426" s="34"/>
      <c r="AO426" s="34"/>
      <c r="AP426" s="34"/>
      <c r="AQ426" s="34"/>
      <c r="AR426" s="34"/>
      <c r="AS426" s="34"/>
      <c r="AT426" s="34"/>
      <c r="AU426" s="34"/>
    </row>
    <row r="427" spans="3:47" x14ac:dyDescent="0.2">
      <c r="C427" s="34"/>
      <c r="D427" s="34"/>
      <c r="E427" s="34"/>
      <c r="F427" s="34"/>
      <c r="G427" s="34"/>
      <c r="H427" s="34"/>
      <c r="I427" s="34"/>
      <c r="J427" s="34"/>
      <c r="K427" s="34"/>
      <c r="L427" s="34"/>
      <c r="M427" s="34"/>
      <c r="N427" s="34"/>
      <c r="O427" s="34"/>
      <c r="P427" s="34"/>
      <c r="Q427" s="34"/>
      <c r="R427" s="34"/>
      <c r="S427" s="34"/>
      <c r="T427" s="34"/>
      <c r="U427" s="34"/>
      <c r="V427" s="34"/>
      <c r="W427" s="34"/>
      <c r="X427" s="34"/>
      <c r="Y427" s="34"/>
      <c r="Z427" s="34"/>
      <c r="AA427" s="34"/>
      <c r="AB427" s="34"/>
      <c r="AC427" s="34"/>
      <c r="AD427" s="34"/>
      <c r="AE427" s="34"/>
      <c r="AF427" s="34"/>
      <c r="AG427" s="34"/>
      <c r="AH427" s="34"/>
      <c r="AI427" s="34"/>
      <c r="AJ427" s="34"/>
      <c r="AK427" s="34"/>
      <c r="AL427" s="34"/>
      <c r="AM427" s="34"/>
      <c r="AN427" s="34"/>
      <c r="AO427" s="34"/>
      <c r="AP427" s="34"/>
      <c r="AQ427" s="34"/>
      <c r="AR427" s="34"/>
      <c r="AS427" s="34"/>
      <c r="AT427" s="34"/>
      <c r="AU427" s="34"/>
    </row>
    <row r="428" spans="3:47" x14ac:dyDescent="0.2">
      <c r="C428" s="34"/>
      <c r="D428" s="34"/>
      <c r="E428" s="34"/>
      <c r="F428" s="34"/>
      <c r="G428" s="34"/>
      <c r="H428" s="34"/>
      <c r="I428" s="34"/>
      <c r="J428" s="34"/>
      <c r="K428" s="34"/>
      <c r="L428" s="34"/>
      <c r="M428" s="34"/>
      <c r="N428" s="34"/>
      <c r="O428" s="34"/>
      <c r="P428" s="34"/>
      <c r="Q428" s="34"/>
      <c r="R428" s="34"/>
      <c r="S428" s="34"/>
      <c r="T428" s="34"/>
      <c r="U428" s="34"/>
      <c r="V428" s="34"/>
      <c r="W428" s="34"/>
      <c r="X428" s="34"/>
      <c r="Y428" s="34"/>
      <c r="Z428" s="34"/>
      <c r="AA428" s="34"/>
      <c r="AB428" s="34"/>
      <c r="AC428" s="34"/>
      <c r="AD428" s="34"/>
      <c r="AE428" s="34"/>
      <c r="AF428" s="34"/>
      <c r="AG428" s="34"/>
      <c r="AH428" s="34"/>
      <c r="AI428" s="34"/>
      <c r="AJ428" s="34"/>
      <c r="AK428" s="34"/>
      <c r="AL428" s="34"/>
      <c r="AM428" s="34"/>
      <c r="AN428" s="34"/>
      <c r="AO428" s="34"/>
      <c r="AP428" s="34"/>
      <c r="AQ428" s="34"/>
      <c r="AR428" s="34"/>
      <c r="AS428" s="34"/>
      <c r="AT428" s="34"/>
      <c r="AU428" s="34"/>
    </row>
    <row r="429" spans="3:47" x14ac:dyDescent="0.2">
      <c r="C429" s="34"/>
      <c r="D429" s="34"/>
      <c r="E429" s="34"/>
      <c r="F429" s="34"/>
      <c r="G429" s="34"/>
      <c r="H429" s="34"/>
      <c r="I429" s="34"/>
      <c r="J429" s="34"/>
      <c r="K429" s="34"/>
      <c r="L429" s="34"/>
      <c r="M429" s="34"/>
      <c r="N429" s="34"/>
      <c r="O429" s="34"/>
      <c r="P429" s="34"/>
      <c r="Q429" s="34"/>
      <c r="R429" s="34"/>
      <c r="S429" s="34"/>
      <c r="T429" s="34"/>
      <c r="U429" s="34"/>
      <c r="V429" s="34"/>
      <c r="W429" s="34"/>
      <c r="X429" s="34"/>
      <c r="Y429" s="34"/>
      <c r="Z429" s="34"/>
      <c r="AA429" s="34"/>
      <c r="AB429" s="34"/>
      <c r="AC429" s="34"/>
      <c r="AD429" s="34"/>
      <c r="AE429" s="34"/>
      <c r="AF429" s="34"/>
      <c r="AG429" s="34"/>
      <c r="AH429" s="34"/>
      <c r="AI429" s="34"/>
      <c r="AJ429" s="34"/>
      <c r="AK429" s="34"/>
      <c r="AL429" s="34"/>
      <c r="AM429" s="34"/>
      <c r="AN429" s="34"/>
      <c r="AO429" s="34"/>
      <c r="AP429" s="34"/>
      <c r="AQ429" s="34"/>
      <c r="AR429" s="34"/>
      <c r="AS429" s="34"/>
      <c r="AT429" s="34"/>
      <c r="AU429" s="34"/>
    </row>
    <row r="430" spans="3:47" x14ac:dyDescent="0.2">
      <c r="C430" s="34"/>
      <c r="D430" s="34"/>
      <c r="E430" s="34"/>
      <c r="F430" s="34"/>
      <c r="G430" s="34"/>
      <c r="H430" s="34"/>
      <c r="I430" s="34"/>
      <c r="J430" s="34"/>
      <c r="K430" s="34"/>
      <c r="L430" s="34"/>
      <c r="M430" s="34"/>
      <c r="N430" s="34"/>
      <c r="O430" s="34"/>
      <c r="P430" s="34"/>
      <c r="Q430" s="34"/>
      <c r="R430" s="34"/>
      <c r="S430" s="34"/>
      <c r="T430" s="34"/>
      <c r="U430" s="34"/>
      <c r="V430" s="34"/>
      <c r="W430" s="34"/>
      <c r="X430" s="34"/>
      <c r="Y430" s="34"/>
      <c r="Z430" s="34"/>
      <c r="AA430" s="34"/>
      <c r="AB430" s="34"/>
      <c r="AC430" s="34"/>
      <c r="AD430" s="34"/>
      <c r="AE430" s="34"/>
      <c r="AF430" s="34"/>
      <c r="AG430" s="34"/>
      <c r="AH430" s="34"/>
      <c r="AI430" s="34"/>
      <c r="AJ430" s="34"/>
      <c r="AK430" s="34"/>
      <c r="AL430" s="34"/>
      <c r="AM430" s="34"/>
      <c r="AN430" s="34"/>
      <c r="AO430" s="34"/>
      <c r="AP430" s="34"/>
      <c r="AQ430" s="34"/>
      <c r="AR430" s="34"/>
      <c r="AS430" s="34"/>
      <c r="AT430" s="34"/>
      <c r="AU430" s="34"/>
    </row>
    <row r="431" spans="3:47" x14ac:dyDescent="0.2">
      <c r="C431" s="34"/>
      <c r="D431" s="34"/>
      <c r="E431" s="34"/>
      <c r="F431" s="34"/>
      <c r="G431" s="34"/>
      <c r="H431" s="34"/>
      <c r="I431" s="34"/>
      <c r="J431" s="34"/>
      <c r="K431" s="34"/>
      <c r="L431" s="34"/>
      <c r="M431" s="34"/>
      <c r="N431" s="34"/>
      <c r="O431" s="34"/>
      <c r="P431" s="34"/>
      <c r="Q431" s="34"/>
      <c r="R431" s="34"/>
      <c r="S431" s="34"/>
      <c r="T431" s="34"/>
      <c r="U431" s="34"/>
      <c r="V431" s="34"/>
      <c r="W431" s="34"/>
      <c r="X431" s="34"/>
      <c r="Y431" s="34"/>
      <c r="Z431" s="34"/>
      <c r="AA431" s="34"/>
      <c r="AB431" s="34"/>
      <c r="AC431" s="34"/>
      <c r="AD431" s="34"/>
      <c r="AE431" s="34"/>
      <c r="AF431" s="34"/>
      <c r="AG431" s="34"/>
      <c r="AH431" s="34"/>
      <c r="AI431" s="34"/>
      <c r="AJ431" s="34"/>
      <c r="AK431" s="34"/>
      <c r="AL431" s="34"/>
      <c r="AM431" s="34"/>
      <c r="AN431" s="34"/>
      <c r="AO431" s="34"/>
      <c r="AP431" s="34"/>
      <c r="AQ431" s="34"/>
      <c r="AR431" s="34"/>
      <c r="AS431" s="34"/>
      <c r="AT431" s="34"/>
      <c r="AU431" s="34"/>
    </row>
    <row r="432" spans="3:47" x14ac:dyDescent="0.2">
      <c r="C432" s="34"/>
      <c r="D432" s="34"/>
      <c r="E432" s="34"/>
      <c r="F432" s="34"/>
      <c r="G432" s="34"/>
      <c r="H432" s="34"/>
      <c r="I432" s="34"/>
      <c r="J432" s="34"/>
      <c r="K432" s="34"/>
      <c r="L432" s="34"/>
      <c r="M432" s="34"/>
      <c r="N432" s="34"/>
      <c r="O432" s="34"/>
      <c r="P432" s="34"/>
      <c r="Q432" s="34"/>
      <c r="R432" s="34"/>
      <c r="S432" s="34"/>
      <c r="T432" s="34"/>
      <c r="U432" s="34"/>
      <c r="V432" s="34"/>
      <c r="W432" s="34"/>
      <c r="X432" s="34"/>
      <c r="Y432" s="34"/>
      <c r="Z432" s="34"/>
      <c r="AA432" s="34"/>
      <c r="AB432" s="34"/>
      <c r="AC432" s="34"/>
      <c r="AD432" s="34"/>
      <c r="AE432" s="34"/>
      <c r="AF432" s="34"/>
      <c r="AG432" s="34"/>
      <c r="AH432" s="34"/>
      <c r="AI432" s="34"/>
      <c r="AJ432" s="34"/>
      <c r="AK432" s="34"/>
      <c r="AL432" s="34"/>
      <c r="AM432" s="34"/>
      <c r="AN432" s="34"/>
      <c r="AO432" s="34"/>
      <c r="AP432" s="34"/>
      <c r="AQ432" s="34"/>
      <c r="AR432" s="34"/>
      <c r="AS432" s="34"/>
      <c r="AT432" s="34"/>
      <c r="AU432" s="34"/>
    </row>
    <row r="433" spans="3:47" x14ac:dyDescent="0.2">
      <c r="C433" s="34"/>
      <c r="D433" s="34"/>
      <c r="E433" s="34"/>
      <c r="F433" s="34"/>
      <c r="G433" s="34"/>
      <c r="H433" s="34"/>
      <c r="I433" s="34"/>
      <c r="J433" s="34"/>
      <c r="K433" s="34"/>
      <c r="L433" s="34"/>
      <c r="M433" s="34"/>
      <c r="N433" s="34"/>
      <c r="O433" s="34"/>
      <c r="P433" s="34"/>
      <c r="Q433" s="34"/>
      <c r="R433" s="34"/>
      <c r="S433" s="34"/>
      <c r="T433" s="34"/>
      <c r="U433" s="34"/>
      <c r="V433" s="34"/>
      <c r="W433" s="34"/>
      <c r="X433" s="34"/>
      <c r="Y433" s="34"/>
      <c r="Z433" s="34"/>
      <c r="AA433" s="34"/>
      <c r="AB433" s="34"/>
      <c r="AC433" s="34"/>
      <c r="AD433" s="34"/>
      <c r="AE433" s="34"/>
      <c r="AF433" s="34"/>
      <c r="AG433" s="34"/>
      <c r="AH433" s="34"/>
      <c r="AI433" s="34"/>
      <c r="AJ433" s="34"/>
      <c r="AK433" s="34"/>
      <c r="AL433" s="34"/>
      <c r="AM433" s="34"/>
      <c r="AN433" s="34"/>
      <c r="AO433" s="34"/>
      <c r="AP433" s="34"/>
      <c r="AQ433" s="34"/>
      <c r="AR433" s="34"/>
      <c r="AS433" s="34"/>
      <c r="AT433" s="34"/>
      <c r="AU433" s="34"/>
    </row>
    <row r="434" spans="3:47" x14ac:dyDescent="0.2">
      <c r="C434" s="34"/>
      <c r="D434" s="34"/>
      <c r="E434" s="34"/>
      <c r="F434" s="34"/>
      <c r="G434" s="34"/>
      <c r="H434" s="34"/>
      <c r="I434" s="34"/>
      <c r="J434" s="34"/>
      <c r="K434" s="34"/>
      <c r="L434" s="34"/>
      <c r="M434" s="34"/>
      <c r="N434" s="34"/>
      <c r="O434" s="34"/>
      <c r="P434" s="34"/>
      <c r="Q434" s="34"/>
      <c r="R434" s="34"/>
      <c r="S434" s="34"/>
      <c r="T434" s="34"/>
      <c r="U434" s="34"/>
      <c r="V434" s="34"/>
      <c r="W434" s="34"/>
      <c r="X434" s="34"/>
      <c r="Y434" s="34"/>
      <c r="Z434" s="34"/>
      <c r="AA434" s="34"/>
      <c r="AB434" s="34"/>
      <c r="AC434" s="34"/>
      <c r="AD434" s="34"/>
      <c r="AE434" s="34"/>
      <c r="AF434" s="34"/>
      <c r="AG434" s="34"/>
      <c r="AH434" s="34"/>
      <c r="AI434" s="34"/>
      <c r="AJ434" s="34"/>
      <c r="AK434" s="34"/>
      <c r="AL434" s="34"/>
      <c r="AM434" s="34"/>
      <c r="AN434" s="34"/>
      <c r="AO434" s="34"/>
      <c r="AP434" s="34"/>
      <c r="AQ434" s="34"/>
      <c r="AR434" s="34"/>
      <c r="AS434" s="34"/>
      <c r="AT434" s="34"/>
      <c r="AU434" s="34"/>
    </row>
    <row r="435" spans="3:47" x14ac:dyDescent="0.2">
      <c r="C435" s="34"/>
      <c r="D435" s="34"/>
      <c r="E435" s="34"/>
      <c r="F435" s="34"/>
      <c r="G435" s="34"/>
      <c r="H435" s="34"/>
      <c r="I435" s="34"/>
      <c r="J435" s="34"/>
      <c r="K435" s="34"/>
      <c r="L435" s="34"/>
      <c r="M435" s="34"/>
      <c r="N435" s="34"/>
      <c r="O435" s="34"/>
      <c r="P435" s="34"/>
      <c r="Q435" s="34"/>
      <c r="R435" s="34"/>
      <c r="S435" s="34"/>
      <c r="T435" s="34"/>
      <c r="U435" s="34"/>
      <c r="V435" s="34"/>
      <c r="W435" s="34"/>
      <c r="X435" s="34"/>
      <c r="Y435" s="34"/>
      <c r="Z435" s="34"/>
      <c r="AA435" s="34"/>
      <c r="AB435" s="34"/>
      <c r="AC435" s="34"/>
      <c r="AD435" s="34"/>
      <c r="AE435" s="34"/>
      <c r="AF435" s="34"/>
      <c r="AG435" s="34"/>
      <c r="AH435" s="34"/>
      <c r="AI435" s="34"/>
      <c r="AJ435" s="34"/>
      <c r="AK435" s="34"/>
      <c r="AL435" s="34"/>
      <c r="AM435" s="34"/>
      <c r="AN435" s="34"/>
      <c r="AO435" s="34"/>
      <c r="AP435" s="34"/>
      <c r="AQ435" s="34"/>
      <c r="AR435" s="34"/>
      <c r="AS435" s="34"/>
      <c r="AT435" s="34"/>
      <c r="AU435" s="34"/>
    </row>
    <row r="436" spans="3:47" x14ac:dyDescent="0.2">
      <c r="C436" s="34"/>
      <c r="D436" s="34"/>
      <c r="E436" s="34"/>
      <c r="F436" s="34"/>
      <c r="G436" s="34"/>
      <c r="H436" s="34"/>
      <c r="I436" s="34"/>
      <c r="J436" s="34"/>
      <c r="K436" s="34"/>
      <c r="L436" s="34"/>
      <c r="M436" s="34"/>
      <c r="N436" s="34"/>
      <c r="O436" s="34"/>
      <c r="P436" s="34"/>
      <c r="Q436" s="34"/>
      <c r="R436" s="34"/>
      <c r="S436" s="34"/>
      <c r="T436" s="34"/>
      <c r="U436" s="34"/>
      <c r="V436" s="34"/>
      <c r="W436" s="34"/>
      <c r="X436" s="34"/>
      <c r="Y436" s="34"/>
      <c r="Z436" s="34"/>
      <c r="AA436" s="34"/>
      <c r="AB436" s="34"/>
      <c r="AC436" s="34"/>
      <c r="AD436" s="34"/>
      <c r="AE436" s="34"/>
      <c r="AF436" s="34"/>
      <c r="AG436" s="34"/>
      <c r="AH436" s="34"/>
      <c r="AI436" s="34"/>
      <c r="AJ436" s="34"/>
      <c r="AK436" s="34"/>
      <c r="AL436" s="34"/>
      <c r="AM436" s="34"/>
      <c r="AN436" s="34"/>
      <c r="AO436" s="34"/>
      <c r="AP436" s="34"/>
      <c r="AQ436" s="34"/>
      <c r="AR436" s="34"/>
      <c r="AS436" s="34"/>
      <c r="AT436" s="34"/>
      <c r="AU436" s="34"/>
    </row>
    <row r="437" spans="3:47" x14ac:dyDescent="0.2">
      <c r="C437" s="34"/>
      <c r="D437" s="34"/>
      <c r="E437" s="34"/>
      <c r="F437" s="34"/>
      <c r="G437" s="34"/>
      <c r="H437" s="34"/>
      <c r="I437" s="34"/>
      <c r="J437" s="34"/>
      <c r="K437" s="34"/>
      <c r="L437" s="34"/>
      <c r="M437" s="34"/>
      <c r="N437" s="34"/>
      <c r="O437" s="34"/>
      <c r="P437" s="34"/>
      <c r="Q437" s="34"/>
      <c r="R437" s="34"/>
      <c r="S437" s="34"/>
      <c r="T437" s="34"/>
      <c r="U437" s="34"/>
      <c r="V437" s="34"/>
      <c r="W437" s="34"/>
      <c r="X437" s="34"/>
      <c r="Y437" s="34"/>
      <c r="Z437" s="34"/>
      <c r="AA437" s="34"/>
      <c r="AB437" s="34"/>
      <c r="AC437" s="34"/>
      <c r="AD437" s="34"/>
      <c r="AE437" s="34"/>
      <c r="AF437" s="34"/>
      <c r="AG437" s="34"/>
      <c r="AH437" s="34"/>
      <c r="AI437" s="34"/>
      <c r="AJ437" s="34"/>
      <c r="AK437" s="34"/>
      <c r="AL437" s="34"/>
      <c r="AM437" s="34"/>
      <c r="AN437" s="34"/>
      <c r="AO437" s="34"/>
      <c r="AP437" s="34"/>
      <c r="AQ437" s="34"/>
      <c r="AR437" s="34"/>
      <c r="AS437" s="34"/>
      <c r="AT437" s="34"/>
      <c r="AU437" s="34"/>
    </row>
    <row r="438" spans="3:47" x14ac:dyDescent="0.2">
      <c r="C438" s="34"/>
      <c r="D438" s="34"/>
      <c r="E438" s="34"/>
      <c r="F438" s="34"/>
      <c r="G438" s="34"/>
      <c r="H438" s="34"/>
      <c r="I438" s="34"/>
      <c r="J438" s="34"/>
      <c r="K438" s="34"/>
      <c r="L438" s="34"/>
      <c r="M438" s="34"/>
      <c r="N438" s="34"/>
      <c r="O438" s="34"/>
      <c r="P438" s="34"/>
      <c r="Q438" s="34"/>
      <c r="R438" s="34"/>
      <c r="S438" s="34"/>
      <c r="T438" s="34"/>
      <c r="U438" s="34"/>
      <c r="V438" s="34"/>
      <c r="W438" s="34"/>
      <c r="X438" s="34"/>
      <c r="Y438" s="34"/>
      <c r="Z438" s="34"/>
      <c r="AA438" s="34"/>
      <c r="AB438" s="34"/>
      <c r="AC438" s="34"/>
      <c r="AD438" s="34"/>
      <c r="AE438" s="34"/>
      <c r="AF438" s="34"/>
      <c r="AG438" s="34"/>
      <c r="AH438" s="34"/>
      <c r="AI438" s="34"/>
      <c r="AJ438" s="34"/>
      <c r="AK438" s="34"/>
      <c r="AL438" s="34"/>
      <c r="AM438" s="34"/>
      <c r="AN438" s="34"/>
      <c r="AO438" s="34"/>
      <c r="AP438" s="34"/>
      <c r="AQ438" s="34"/>
      <c r="AR438" s="34"/>
      <c r="AS438" s="34"/>
      <c r="AT438" s="34"/>
      <c r="AU438" s="34"/>
    </row>
    <row r="439" spans="3:47" x14ac:dyDescent="0.2">
      <c r="C439" s="34"/>
      <c r="D439" s="34"/>
      <c r="E439" s="34"/>
      <c r="F439" s="34"/>
      <c r="G439" s="34"/>
      <c r="H439" s="34"/>
      <c r="I439" s="34"/>
      <c r="J439" s="34"/>
      <c r="K439" s="34"/>
      <c r="L439" s="34"/>
      <c r="M439" s="34"/>
      <c r="N439" s="34"/>
      <c r="O439" s="34"/>
      <c r="P439" s="34"/>
      <c r="Q439" s="34"/>
      <c r="R439" s="34"/>
      <c r="S439" s="34"/>
      <c r="T439" s="34"/>
      <c r="U439" s="34"/>
      <c r="V439" s="34"/>
      <c r="W439" s="34"/>
      <c r="X439" s="34"/>
      <c r="Y439" s="34"/>
      <c r="Z439" s="34"/>
      <c r="AA439" s="34"/>
      <c r="AB439" s="34"/>
      <c r="AC439" s="34"/>
      <c r="AD439" s="34"/>
      <c r="AE439" s="34"/>
      <c r="AF439" s="34"/>
      <c r="AG439" s="34"/>
      <c r="AH439" s="34"/>
      <c r="AI439" s="34"/>
      <c r="AJ439" s="34"/>
      <c r="AK439" s="34"/>
      <c r="AL439" s="34"/>
      <c r="AM439" s="34"/>
      <c r="AN439" s="34"/>
      <c r="AO439" s="34"/>
      <c r="AP439" s="34"/>
      <c r="AQ439" s="34"/>
      <c r="AR439" s="34"/>
      <c r="AS439" s="34"/>
      <c r="AT439" s="34"/>
      <c r="AU439" s="34"/>
    </row>
    <row r="440" spans="3:47" x14ac:dyDescent="0.2">
      <c r="C440" s="34"/>
      <c r="D440" s="34"/>
      <c r="E440" s="34"/>
      <c r="F440" s="34"/>
      <c r="G440" s="34"/>
      <c r="H440" s="34"/>
      <c r="I440" s="34"/>
      <c r="J440" s="34"/>
      <c r="K440" s="34"/>
      <c r="L440" s="34"/>
      <c r="M440" s="34"/>
      <c r="N440" s="34"/>
      <c r="O440" s="34"/>
      <c r="P440" s="34"/>
      <c r="Q440" s="34"/>
      <c r="R440" s="34"/>
      <c r="S440" s="34"/>
      <c r="T440" s="34"/>
      <c r="U440" s="34"/>
      <c r="V440" s="34"/>
      <c r="W440" s="34"/>
      <c r="X440" s="34"/>
      <c r="Y440" s="34"/>
      <c r="Z440" s="34"/>
      <c r="AA440" s="34"/>
      <c r="AB440" s="34"/>
      <c r="AC440" s="34"/>
      <c r="AD440" s="34"/>
      <c r="AE440" s="34"/>
      <c r="AF440" s="34"/>
      <c r="AG440" s="34"/>
      <c r="AH440" s="34"/>
      <c r="AI440" s="34"/>
      <c r="AJ440" s="34"/>
      <c r="AK440" s="34"/>
      <c r="AL440" s="34"/>
      <c r="AM440" s="34"/>
      <c r="AN440" s="34"/>
      <c r="AO440" s="34"/>
      <c r="AP440" s="34"/>
      <c r="AQ440" s="34"/>
      <c r="AR440" s="34"/>
      <c r="AS440" s="34"/>
      <c r="AT440" s="34"/>
      <c r="AU440" s="34"/>
    </row>
    <row r="441" spans="3:47" x14ac:dyDescent="0.2">
      <c r="C441" s="34"/>
      <c r="D441" s="34"/>
      <c r="E441" s="34"/>
      <c r="F441" s="34"/>
      <c r="G441" s="34"/>
      <c r="H441" s="34"/>
      <c r="I441" s="34"/>
      <c r="J441" s="34"/>
      <c r="K441" s="34"/>
      <c r="L441" s="34"/>
      <c r="M441" s="34"/>
      <c r="N441" s="34"/>
      <c r="O441" s="34"/>
      <c r="P441" s="34"/>
      <c r="Q441" s="34"/>
      <c r="R441" s="34"/>
      <c r="S441" s="34"/>
      <c r="T441" s="34"/>
      <c r="U441" s="34"/>
      <c r="V441" s="34"/>
      <c r="W441" s="34"/>
      <c r="X441" s="34"/>
      <c r="Y441" s="34"/>
      <c r="Z441" s="34"/>
      <c r="AA441" s="34"/>
      <c r="AB441" s="34"/>
      <c r="AC441" s="34"/>
      <c r="AD441" s="34"/>
      <c r="AE441" s="34"/>
      <c r="AF441" s="34"/>
      <c r="AG441" s="34"/>
      <c r="AH441" s="34"/>
      <c r="AI441" s="34"/>
      <c r="AJ441" s="34"/>
      <c r="AK441" s="34"/>
      <c r="AL441" s="34"/>
      <c r="AM441" s="34"/>
      <c r="AN441" s="34"/>
      <c r="AO441" s="34"/>
      <c r="AP441" s="34"/>
      <c r="AQ441" s="34"/>
      <c r="AR441" s="34"/>
      <c r="AS441" s="34"/>
      <c r="AT441" s="34"/>
      <c r="AU441" s="34"/>
    </row>
    <row r="442" spans="3:47" x14ac:dyDescent="0.2">
      <c r="C442" s="34"/>
      <c r="D442" s="34"/>
      <c r="E442" s="34"/>
      <c r="F442" s="34"/>
      <c r="G442" s="34"/>
      <c r="H442" s="34"/>
      <c r="I442" s="34"/>
      <c r="J442" s="34"/>
      <c r="K442" s="34"/>
      <c r="L442" s="34"/>
      <c r="M442" s="34"/>
      <c r="N442" s="34"/>
      <c r="O442" s="34"/>
      <c r="P442" s="34"/>
      <c r="Q442" s="34"/>
      <c r="R442" s="34"/>
      <c r="S442" s="34"/>
      <c r="T442" s="34"/>
      <c r="U442" s="34"/>
      <c r="V442" s="34"/>
      <c r="W442" s="34"/>
      <c r="X442" s="34"/>
      <c r="Y442" s="34"/>
      <c r="Z442" s="34"/>
      <c r="AA442" s="34"/>
      <c r="AB442" s="34"/>
      <c r="AC442" s="34"/>
      <c r="AD442" s="34"/>
      <c r="AE442" s="34"/>
      <c r="AF442" s="34"/>
      <c r="AG442" s="34"/>
      <c r="AH442" s="34"/>
      <c r="AI442" s="34"/>
      <c r="AJ442" s="34"/>
      <c r="AK442" s="34"/>
      <c r="AL442" s="34"/>
      <c r="AM442" s="34"/>
      <c r="AN442" s="34"/>
      <c r="AO442" s="34"/>
      <c r="AP442" s="34"/>
      <c r="AQ442" s="34"/>
      <c r="AR442" s="34"/>
      <c r="AS442" s="34"/>
      <c r="AT442" s="34"/>
      <c r="AU442" s="34"/>
    </row>
    <row r="443" spans="3:47" x14ac:dyDescent="0.2">
      <c r="C443" s="34"/>
      <c r="D443" s="34"/>
      <c r="E443" s="34"/>
      <c r="F443" s="34"/>
      <c r="G443" s="34"/>
      <c r="H443" s="34"/>
      <c r="I443" s="34"/>
      <c r="J443" s="34"/>
      <c r="K443" s="34"/>
      <c r="L443" s="34"/>
      <c r="M443" s="34"/>
      <c r="N443" s="34"/>
      <c r="O443" s="34"/>
      <c r="P443" s="34"/>
      <c r="Q443" s="34"/>
      <c r="R443" s="34"/>
      <c r="S443" s="34"/>
      <c r="T443" s="34"/>
      <c r="U443" s="34"/>
      <c r="V443" s="34"/>
      <c r="W443" s="34"/>
      <c r="X443" s="34"/>
      <c r="Y443" s="34"/>
      <c r="Z443" s="34"/>
      <c r="AA443" s="34"/>
      <c r="AB443" s="34"/>
      <c r="AC443" s="34"/>
      <c r="AD443" s="34"/>
      <c r="AE443" s="34"/>
      <c r="AF443" s="34"/>
      <c r="AG443" s="34"/>
      <c r="AH443" s="34"/>
      <c r="AI443" s="34"/>
      <c r="AJ443" s="34"/>
      <c r="AK443" s="34"/>
      <c r="AL443" s="34"/>
      <c r="AM443" s="34"/>
      <c r="AN443" s="34"/>
      <c r="AO443" s="34"/>
      <c r="AP443" s="34"/>
      <c r="AQ443" s="34"/>
      <c r="AR443" s="34"/>
      <c r="AS443" s="34"/>
      <c r="AT443" s="34"/>
      <c r="AU443" s="34"/>
    </row>
    <row r="444" spans="3:47" x14ac:dyDescent="0.2">
      <c r="C444" s="34"/>
      <c r="D444" s="34"/>
      <c r="E444" s="34"/>
      <c r="F444" s="34"/>
      <c r="G444" s="34"/>
      <c r="H444" s="34"/>
      <c r="I444" s="34"/>
      <c r="J444" s="34"/>
      <c r="K444" s="34"/>
      <c r="L444" s="34"/>
      <c r="M444" s="34"/>
      <c r="N444" s="34"/>
      <c r="O444" s="34"/>
      <c r="P444" s="34"/>
      <c r="Q444" s="34"/>
      <c r="R444" s="34"/>
      <c r="S444" s="34"/>
      <c r="T444" s="34"/>
      <c r="U444" s="34"/>
      <c r="V444" s="34"/>
      <c r="W444" s="34"/>
      <c r="X444" s="34"/>
      <c r="Y444" s="34"/>
      <c r="Z444" s="34"/>
      <c r="AA444" s="34"/>
      <c r="AB444" s="34"/>
      <c r="AC444" s="34"/>
      <c r="AD444" s="34"/>
      <c r="AE444" s="34"/>
      <c r="AF444" s="34"/>
      <c r="AG444" s="34"/>
      <c r="AH444" s="34"/>
      <c r="AI444" s="34"/>
      <c r="AJ444" s="34"/>
      <c r="AK444" s="34"/>
      <c r="AL444" s="34"/>
      <c r="AM444" s="34"/>
      <c r="AN444" s="34"/>
      <c r="AO444" s="34"/>
      <c r="AP444" s="34"/>
      <c r="AQ444" s="34"/>
      <c r="AR444" s="34"/>
      <c r="AS444" s="34"/>
      <c r="AT444" s="34"/>
      <c r="AU444" s="34"/>
    </row>
    <row r="445" spans="3:47" x14ac:dyDescent="0.2">
      <c r="C445" s="34"/>
      <c r="D445" s="34"/>
      <c r="E445" s="34"/>
      <c r="F445" s="34"/>
      <c r="G445" s="34"/>
      <c r="H445" s="34"/>
      <c r="I445" s="34"/>
      <c r="J445" s="34"/>
      <c r="K445" s="34"/>
      <c r="L445" s="34"/>
      <c r="M445" s="34"/>
      <c r="N445" s="34"/>
      <c r="O445" s="34"/>
      <c r="P445" s="34"/>
      <c r="Q445" s="34"/>
      <c r="R445" s="34"/>
      <c r="S445" s="34"/>
      <c r="T445" s="34"/>
      <c r="U445" s="34"/>
      <c r="V445" s="34"/>
      <c r="W445" s="34"/>
      <c r="X445" s="34"/>
      <c r="Y445" s="34"/>
      <c r="Z445" s="34"/>
      <c r="AA445" s="34"/>
      <c r="AB445" s="34"/>
      <c r="AC445" s="34"/>
      <c r="AD445" s="34"/>
      <c r="AE445" s="34"/>
      <c r="AF445" s="34"/>
      <c r="AG445" s="34"/>
      <c r="AH445" s="34"/>
      <c r="AI445" s="34"/>
      <c r="AJ445" s="34"/>
      <c r="AK445" s="34"/>
      <c r="AL445" s="34"/>
      <c r="AM445" s="34"/>
      <c r="AN445" s="34"/>
      <c r="AO445" s="34"/>
      <c r="AP445" s="34"/>
      <c r="AQ445" s="34"/>
      <c r="AR445" s="34"/>
      <c r="AS445" s="34"/>
      <c r="AT445" s="34"/>
      <c r="AU445" s="34"/>
    </row>
    <row r="446" spans="3:47" x14ac:dyDescent="0.2">
      <c r="C446" s="34"/>
      <c r="D446" s="34"/>
      <c r="E446" s="34"/>
      <c r="F446" s="34"/>
      <c r="G446" s="34"/>
      <c r="H446" s="34"/>
      <c r="I446" s="34"/>
      <c r="J446" s="34"/>
      <c r="K446" s="34"/>
      <c r="L446" s="34"/>
      <c r="M446" s="34"/>
      <c r="N446" s="34"/>
      <c r="O446" s="34"/>
      <c r="P446" s="34"/>
      <c r="Q446" s="34"/>
      <c r="R446" s="34"/>
      <c r="S446" s="34"/>
      <c r="T446" s="34"/>
      <c r="U446" s="34"/>
      <c r="V446" s="34"/>
      <c r="W446" s="34"/>
      <c r="X446" s="34"/>
      <c r="Y446" s="34"/>
      <c r="Z446" s="34"/>
      <c r="AA446" s="34"/>
      <c r="AB446" s="34"/>
      <c r="AC446" s="34"/>
      <c r="AD446" s="34"/>
      <c r="AE446" s="34"/>
      <c r="AF446" s="34"/>
      <c r="AG446" s="34"/>
      <c r="AH446" s="34"/>
      <c r="AI446" s="34"/>
      <c r="AJ446" s="34"/>
      <c r="AK446" s="34"/>
      <c r="AL446" s="34"/>
      <c r="AM446" s="34"/>
      <c r="AN446" s="34"/>
      <c r="AO446" s="34"/>
      <c r="AP446" s="34"/>
      <c r="AQ446" s="34"/>
      <c r="AR446" s="34"/>
      <c r="AS446" s="34"/>
      <c r="AT446" s="34"/>
      <c r="AU446" s="34"/>
    </row>
    <row r="447" spans="3:47" x14ac:dyDescent="0.2">
      <c r="C447" s="34"/>
      <c r="D447" s="34"/>
      <c r="E447" s="34"/>
      <c r="F447" s="34"/>
      <c r="G447" s="34"/>
      <c r="H447" s="34"/>
      <c r="I447" s="34"/>
      <c r="J447" s="34"/>
      <c r="K447" s="34"/>
      <c r="L447" s="34"/>
      <c r="M447" s="34"/>
      <c r="N447" s="34"/>
      <c r="O447" s="34"/>
      <c r="P447" s="34"/>
      <c r="Q447" s="34"/>
      <c r="R447" s="34"/>
      <c r="S447" s="34"/>
      <c r="T447" s="34"/>
      <c r="U447" s="34"/>
      <c r="V447" s="34"/>
      <c r="W447" s="34"/>
      <c r="X447" s="34"/>
      <c r="Y447" s="34"/>
      <c r="Z447" s="34"/>
      <c r="AA447" s="34"/>
      <c r="AB447" s="34"/>
      <c r="AC447" s="34"/>
      <c r="AD447" s="34"/>
      <c r="AE447" s="34"/>
      <c r="AF447" s="34"/>
      <c r="AG447" s="34"/>
      <c r="AH447" s="34"/>
      <c r="AI447" s="34"/>
      <c r="AJ447" s="34"/>
      <c r="AK447" s="34"/>
      <c r="AL447" s="34"/>
      <c r="AM447" s="34"/>
      <c r="AN447" s="34"/>
      <c r="AO447" s="34"/>
      <c r="AP447" s="34"/>
      <c r="AQ447" s="34"/>
      <c r="AR447" s="34"/>
      <c r="AS447" s="34"/>
      <c r="AT447" s="34"/>
      <c r="AU447" s="34"/>
    </row>
    <row r="448" spans="3:47" x14ac:dyDescent="0.2">
      <c r="C448" s="34"/>
      <c r="D448" s="34"/>
      <c r="E448" s="34"/>
      <c r="F448" s="34"/>
      <c r="G448" s="34"/>
      <c r="H448" s="34"/>
      <c r="I448" s="34"/>
      <c r="J448" s="34"/>
      <c r="K448" s="34"/>
      <c r="L448" s="34"/>
      <c r="M448" s="34"/>
      <c r="N448" s="34"/>
      <c r="O448" s="34"/>
      <c r="P448" s="34"/>
      <c r="Q448" s="34"/>
      <c r="R448" s="34"/>
      <c r="S448" s="34"/>
      <c r="T448" s="34"/>
      <c r="U448" s="34"/>
      <c r="V448" s="34"/>
      <c r="W448" s="34"/>
      <c r="X448" s="34"/>
      <c r="Y448" s="34"/>
      <c r="Z448" s="34"/>
      <c r="AA448" s="34"/>
      <c r="AB448" s="34"/>
      <c r="AC448" s="34"/>
      <c r="AD448" s="34"/>
      <c r="AE448" s="34"/>
      <c r="AF448" s="34"/>
      <c r="AG448" s="34"/>
      <c r="AH448" s="34"/>
      <c r="AI448" s="34"/>
      <c r="AJ448" s="34"/>
      <c r="AK448" s="34"/>
      <c r="AL448" s="34"/>
      <c r="AM448" s="34"/>
      <c r="AN448" s="34"/>
      <c r="AO448" s="34"/>
      <c r="AP448" s="34"/>
      <c r="AQ448" s="34"/>
      <c r="AR448" s="34"/>
      <c r="AS448" s="34"/>
      <c r="AT448" s="34"/>
      <c r="AU448" s="34"/>
    </row>
    <row r="449" spans="3:47" x14ac:dyDescent="0.2">
      <c r="C449" s="34"/>
      <c r="D449" s="34"/>
      <c r="E449" s="34"/>
      <c r="F449" s="34"/>
      <c r="G449" s="34"/>
      <c r="H449" s="34"/>
      <c r="I449" s="34"/>
      <c r="J449" s="34"/>
      <c r="K449" s="34"/>
      <c r="L449" s="34"/>
      <c r="M449" s="34"/>
      <c r="N449" s="34"/>
      <c r="O449" s="34"/>
      <c r="P449" s="34"/>
      <c r="Q449" s="34"/>
      <c r="R449" s="34"/>
      <c r="S449" s="34"/>
      <c r="T449" s="34"/>
      <c r="U449" s="34"/>
      <c r="V449" s="34"/>
      <c r="W449" s="34"/>
      <c r="X449" s="34"/>
      <c r="Y449" s="34"/>
      <c r="Z449" s="34"/>
      <c r="AA449" s="34"/>
      <c r="AB449" s="34"/>
      <c r="AC449" s="34"/>
      <c r="AD449" s="34"/>
      <c r="AE449" s="34"/>
      <c r="AF449" s="34"/>
      <c r="AG449" s="34"/>
      <c r="AH449" s="34"/>
      <c r="AI449" s="34"/>
      <c r="AJ449" s="34"/>
      <c r="AK449" s="34"/>
      <c r="AL449" s="34"/>
      <c r="AM449" s="34"/>
      <c r="AN449" s="34"/>
      <c r="AO449" s="34"/>
      <c r="AP449" s="34"/>
      <c r="AQ449" s="34"/>
      <c r="AR449" s="34"/>
      <c r="AS449" s="34"/>
      <c r="AT449" s="34"/>
      <c r="AU449" s="34"/>
    </row>
    <row r="450" spans="3:47" x14ac:dyDescent="0.2">
      <c r="C450" s="34"/>
      <c r="D450" s="34"/>
      <c r="E450" s="34"/>
      <c r="F450" s="34"/>
      <c r="G450" s="34"/>
      <c r="H450" s="34"/>
      <c r="I450" s="34"/>
      <c r="J450" s="34"/>
      <c r="K450" s="34"/>
      <c r="L450" s="34"/>
      <c r="M450" s="34"/>
      <c r="N450" s="34"/>
      <c r="O450" s="34"/>
      <c r="P450" s="34"/>
      <c r="Q450" s="34"/>
      <c r="R450" s="34"/>
      <c r="S450" s="34"/>
      <c r="T450" s="34"/>
      <c r="U450" s="34"/>
      <c r="V450" s="34"/>
      <c r="W450" s="34"/>
      <c r="X450" s="34"/>
      <c r="Y450" s="34"/>
      <c r="Z450" s="34"/>
      <c r="AA450" s="34"/>
      <c r="AB450" s="34"/>
      <c r="AC450" s="34"/>
      <c r="AD450" s="34"/>
      <c r="AE450" s="34"/>
      <c r="AF450" s="34"/>
      <c r="AG450" s="34"/>
      <c r="AH450" s="34"/>
      <c r="AI450" s="34"/>
      <c r="AJ450" s="34"/>
      <c r="AK450" s="34"/>
      <c r="AL450" s="34"/>
      <c r="AM450" s="34"/>
      <c r="AN450" s="34"/>
      <c r="AO450" s="34"/>
      <c r="AP450" s="34"/>
      <c r="AQ450" s="34"/>
      <c r="AR450" s="34"/>
      <c r="AS450" s="34"/>
      <c r="AT450" s="34"/>
      <c r="AU450" s="34"/>
    </row>
    <row r="451" spans="3:47" x14ac:dyDescent="0.2">
      <c r="C451" s="34"/>
      <c r="D451" s="34"/>
      <c r="E451" s="34"/>
      <c r="F451" s="34"/>
      <c r="G451" s="34"/>
      <c r="H451" s="34"/>
      <c r="I451" s="34"/>
      <c r="J451" s="34"/>
      <c r="K451" s="34"/>
      <c r="L451" s="34"/>
      <c r="M451" s="34"/>
      <c r="N451" s="34"/>
      <c r="O451" s="34"/>
      <c r="P451" s="34"/>
      <c r="Q451" s="34"/>
      <c r="R451" s="34"/>
      <c r="S451" s="34"/>
      <c r="T451" s="34"/>
      <c r="U451" s="34"/>
      <c r="V451" s="34"/>
      <c r="W451" s="34"/>
      <c r="X451" s="34"/>
      <c r="Y451" s="34"/>
      <c r="Z451" s="34"/>
      <c r="AA451" s="34"/>
      <c r="AB451" s="34"/>
      <c r="AC451" s="34"/>
      <c r="AD451" s="34"/>
      <c r="AE451" s="34"/>
      <c r="AF451" s="34"/>
      <c r="AG451" s="34"/>
      <c r="AH451" s="34"/>
      <c r="AI451" s="34"/>
      <c r="AJ451" s="34"/>
      <c r="AK451" s="34"/>
      <c r="AL451" s="34"/>
      <c r="AM451" s="34"/>
      <c r="AN451" s="34"/>
      <c r="AO451" s="34"/>
      <c r="AP451" s="34"/>
      <c r="AQ451" s="34"/>
      <c r="AR451" s="34"/>
      <c r="AS451" s="34"/>
      <c r="AT451" s="34"/>
      <c r="AU451" s="34"/>
    </row>
    <row r="452" spans="3:47" x14ac:dyDescent="0.2">
      <c r="C452" s="34"/>
      <c r="D452" s="34"/>
      <c r="E452" s="34"/>
      <c r="F452" s="34"/>
      <c r="G452" s="34"/>
      <c r="H452" s="34"/>
      <c r="I452" s="34"/>
      <c r="J452" s="34"/>
      <c r="K452" s="34"/>
      <c r="L452" s="34"/>
      <c r="M452" s="34"/>
      <c r="N452" s="34"/>
      <c r="O452" s="34"/>
      <c r="P452" s="34"/>
      <c r="Q452" s="34"/>
      <c r="R452" s="34"/>
      <c r="S452" s="34"/>
      <c r="T452" s="34"/>
      <c r="U452" s="34"/>
      <c r="V452" s="34"/>
      <c r="W452" s="34"/>
      <c r="X452" s="34"/>
      <c r="Y452" s="34"/>
      <c r="Z452" s="34"/>
      <c r="AA452" s="34"/>
      <c r="AB452" s="34"/>
      <c r="AC452" s="34"/>
      <c r="AD452" s="34"/>
      <c r="AE452" s="34"/>
      <c r="AF452" s="34"/>
      <c r="AG452" s="34"/>
      <c r="AH452" s="34"/>
      <c r="AI452" s="34"/>
      <c r="AJ452" s="34"/>
      <c r="AK452" s="34"/>
      <c r="AL452" s="34"/>
      <c r="AM452" s="34"/>
      <c r="AN452" s="34"/>
      <c r="AO452" s="34"/>
      <c r="AP452" s="34"/>
      <c r="AQ452" s="34"/>
      <c r="AR452" s="34"/>
      <c r="AS452" s="34"/>
      <c r="AT452" s="34"/>
      <c r="AU452" s="34"/>
    </row>
    <row r="453" spans="3:47" x14ac:dyDescent="0.2">
      <c r="C453" s="34"/>
      <c r="D453" s="34"/>
      <c r="E453" s="34"/>
      <c r="F453" s="34"/>
      <c r="G453" s="34"/>
      <c r="H453" s="34"/>
      <c r="I453" s="34"/>
      <c r="J453" s="34"/>
      <c r="K453" s="34"/>
      <c r="L453" s="34"/>
      <c r="M453" s="34"/>
      <c r="N453" s="34"/>
      <c r="O453" s="34"/>
      <c r="P453" s="34"/>
      <c r="Q453" s="34"/>
      <c r="R453" s="34"/>
      <c r="S453" s="34"/>
      <c r="T453" s="34"/>
      <c r="U453" s="34"/>
      <c r="V453" s="34"/>
      <c r="W453" s="34"/>
      <c r="X453" s="34"/>
      <c r="Y453" s="34"/>
      <c r="Z453" s="34"/>
      <c r="AA453" s="34"/>
      <c r="AB453" s="34"/>
      <c r="AC453" s="34"/>
      <c r="AD453" s="34"/>
      <c r="AE453" s="34"/>
      <c r="AF453" s="34"/>
      <c r="AG453" s="34"/>
      <c r="AH453" s="34"/>
      <c r="AI453" s="34"/>
      <c r="AJ453" s="34"/>
      <c r="AK453" s="34"/>
      <c r="AL453" s="34"/>
      <c r="AM453" s="34"/>
      <c r="AN453" s="34"/>
      <c r="AO453" s="34"/>
      <c r="AP453" s="34"/>
      <c r="AQ453" s="34"/>
      <c r="AR453" s="34"/>
      <c r="AS453" s="34"/>
      <c r="AT453" s="34"/>
      <c r="AU453" s="34"/>
    </row>
    <row r="454" spans="3:47" x14ac:dyDescent="0.2">
      <c r="C454" s="34"/>
      <c r="D454" s="34"/>
      <c r="E454" s="34"/>
      <c r="F454" s="34"/>
      <c r="G454" s="34"/>
      <c r="H454" s="34"/>
      <c r="I454" s="34"/>
      <c r="J454" s="34"/>
      <c r="K454" s="34"/>
      <c r="L454" s="34"/>
      <c r="M454" s="34"/>
      <c r="N454" s="34"/>
      <c r="O454" s="34"/>
      <c r="P454" s="34"/>
      <c r="Q454" s="34"/>
      <c r="R454" s="34"/>
      <c r="S454" s="34"/>
      <c r="T454" s="34"/>
      <c r="U454" s="34"/>
      <c r="V454" s="34"/>
      <c r="W454" s="34"/>
      <c r="X454" s="34"/>
      <c r="Y454" s="34"/>
      <c r="Z454" s="34"/>
      <c r="AA454" s="34"/>
      <c r="AB454" s="34"/>
      <c r="AC454" s="34"/>
      <c r="AD454" s="34"/>
      <c r="AE454" s="34"/>
      <c r="AF454" s="34"/>
      <c r="AG454" s="34"/>
      <c r="AH454" s="34"/>
      <c r="AI454" s="34"/>
      <c r="AJ454" s="34"/>
      <c r="AK454" s="34"/>
      <c r="AL454" s="34"/>
      <c r="AM454" s="34"/>
      <c r="AN454" s="34"/>
      <c r="AO454" s="34"/>
      <c r="AP454" s="34"/>
      <c r="AQ454" s="34"/>
      <c r="AR454" s="34"/>
      <c r="AS454" s="34"/>
      <c r="AT454" s="34"/>
      <c r="AU454" s="34"/>
    </row>
    <row r="455" spans="3:47" x14ac:dyDescent="0.2">
      <c r="C455" s="34"/>
      <c r="D455" s="34"/>
      <c r="E455" s="34"/>
      <c r="F455" s="34"/>
      <c r="G455" s="34"/>
      <c r="H455" s="34"/>
      <c r="I455" s="34"/>
      <c r="J455" s="34"/>
      <c r="K455" s="34"/>
      <c r="L455" s="34"/>
      <c r="M455" s="34"/>
      <c r="N455" s="34"/>
      <c r="O455" s="34"/>
      <c r="P455" s="34"/>
      <c r="Q455" s="34"/>
      <c r="R455" s="34"/>
      <c r="S455" s="34"/>
      <c r="T455" s="34"/>
      <c r="U455" s="34"/>
      <c r="V455" s="34"/>
      <c r="W455" s="34"/>
      <c r="X455" s="34"/>
      <c r="Y455" s="34"/>
      <c r="Z455" s="34"/>
      <c r="AA455" s="34"/>
      <c r="AB455" s="34"/>
      <c r="AC455" s="34"/>
      <c r="AD455" s="34"/>
      <c r="AE455" s="34"/>
      <c r="AF455" s="34"/>
      <c r="AG455" s="34"/>
      <c r="AH455" s="34"/>
      <c r="AI455" s="34"/>
      <c r="AJ455" s="34"/>
      <c r="AK455" s="34"/>
      <c r="AL455" s="34"/>
      <c r="AM455" s="34"/>
      <c r="AN455" s="34"/>
      <c r="AO455" s="34"/>
      <c r="AP455" s="34"/>
      <c r="AQ455" s="34"/>
      <c r="AR455" s="34"/>
      <c r="AS455" s="34"/>
      <c r="AT455" s="34"/>
      <c r="AU455" s="34"/>
    </row>
    <row r="456" spans="3:47" x14ac:dyDescent="0.2">
      <c r="C456" s="34"/>
      <c r="D456" s="34"/>
      <c r="E456" s="34"/>
      <c r="F456" s="34"/>
      <c r="G456" s="34"/>
      <c r="H456" s="34"/>
      <c r="I456" s="34"/>
      <c r="J456" s="34"/>
      <c r="K456" s="34"/>
      <c r="L456" s="34"/>
      <c r="M456" s="34"/>
      <c r="N456" s="34"/>
      <c r="O456" s="34"/>
      <c r="P456" s="34"/>
      <c r="Q456" s="34"/>
      <c r="R456" s="34"/>
      <c r="S456" s="34"/>
      <c r="T456" s="34"/>
      <c r="U456" s="34"/>
      <c r="V456" s="34"/>
      <c r="W456" s="34"/>
      <c r="X456" s="34"/>
      <c r="Y456" s="34"/>
      <c r="Z456" s="34"/>
      <c r="AA456" s="34"/>
      <c r="AB456" s="34"/>
      <c r="AC456" s="34"/>
      <c r="AD456" s="34"/>
      <c r="AE456" s="34"/>
      <c r="AF456" s="34"/>
      <c r="AG456" s="34"/>
      <c r="AH456" s="34"/>
      <c r="AI456" s="34"/>
      <c r="AJ456" s="34"/>
      <c r="AK456" s="34"/>
      <c r="AL456" s="34"/>
      <c r="AM456" s="34"/>
      <c r="AN456" s="34"/>
      <c r="AO456" s="34"/>
      <c r="AP456" s="34"/>
      <c r="AQ456" s="34"/>
      <c r="AR456" s="34"/>
      <c r="AS456" s="34"/>
      <c r="AT456" s="34"/>
      <c r="AU456" s="34"/>
    </row>
    <row r="457" spans="3:47" x14ac:dyDescent="0.2">
      <c r="C457" s="34"/>
      <c r="D457" s="34"/>
      <c r="E457" s="34"/>
      <c r="F457" s="34"/>
      <c r="G457" s="34"/>
      <c r="H457" s="34"/>
      <c r="I457" s="34"/>
      <c r="J457" s="34"/>
      <c r="K457" s="34"/>
      <c r="L457" s="34"/>
      <c r="M457" s="34"/>
      <c r="N457" s="34"/>
      <c r="O457" s="34"/>
      <c r="P457" s="34"/>
      <c r="Q457" s="34"/>
      <c r="R457" s="34"/>
      <c r="S457" s="34"/>
      <c r="T457" s="34"/>
      <c r="U457" s="34"/>
      <c r="V457" s="34"/>
      <c r="W457" s="34"/>
      <c r="X457" s="34"/>
      <c r="Y457" s="34"/>
      <c r="Z457" s="34"/>
      <c r="AA457" s="34"/>
      <c r="AB457" s="34"/>
      <c r="AC457" s="34"/>
      <c r="AD457" s="34"/>
      <c r="AE457" s="34"/>
      <c r="AF457" s="34"/>
      <c r="AG457" s="34"/>
      <c r="AH457" s="34"/>
      <c r="AI457" s="34"/>
      <c r="AJ457" s="34"/>
      <c r="AK457" s="34"/>
      <c r="AL457" s="34"/>
      <c r="AM457" s="34"/>
      <c r="AN457" s="34"/>
      <c r="AO457" s="34"/>
      <c r="AP457" s="34"/>
      <c r="AQ457" s="34"/>
      <c r="AR457" s="34"/>
      <c r="AS457" s="34"/>
      <c r="AT457" s="34"/>
      <c r="AU457" s="34"/>
    </row>
    <row r="458" spans="3:47" x14ac:dyDescent="0.2">
      <c r="C458" s="34"/>
      <c r="D458" s="34"/>
      <c r="E458" s="34"/>
      <c r="F458" s="34"/>
      <c r="G458" s="34"/>
      <c r="H458" s="34"/>
      <c r="I458" s="34"/>
      <c r="J458" s="34"/>
      <c r="K458" s="34"/>
      <c r="L458" s="34"/>
      <c r="M458" s="34"/>
      <c r="N458" s="34"/>
      <c r="O458" s="34"/>
      <c r="P458" s="34"/>
      <c r="Q458" s="34"/>
      <c r="R458" s="34"/>
      <c r="S458" s="34"/>
      <c r="T458" s="34"/>
      <c r="U458" s="34"/>
      <c r="V458" s="34"/>
      <c r="W458" s="34"/>
      <c r="X458" s="34"/>
      <c r="Y458" s="34"/>
      <c r="Z458" s="34"/>
      <c r="AA458" s="34"/>
      <c r="AB458" s="34"/>
      <c r="AC458" s="34"/>
      <c r="AD458" s="34"/>
      <c r="AE458" s="34"/>
      <c r="AF458" s="34"/>
      <c r="AG458" s="34"/>
      <c r="AH458" s="34"/>
      <c r="AI458" s="34"/>
      <c r="AJ458" s="34"/>
      <c r="AK458" s="34"/>
      <c r="AL458" s="34"/>
      <c r="AM458" s="34"/>
      <c r="AN458" s="34"/>
      <c r="AO458" s="34"/>
      <c r="AP458" s="34"/>
      <c r="AQ458" s="34"/>
      <c r="AR458" s="34"/>
      <c r="AS458" s="34"/>
      <c r="AT458" s="34"/>
      <c r="AU458" s="34"/>
    </row>
    <row r="459" spans="3:47" x14ac:dyDescent="0.2">
      <c r="C459" s="34"/>
      <c r="D459" s="34"/>
      <c r="E459" s="34"/>
      <c r="F459" s="34"/>
      <c r="G459" s="34"/>
      <c r="H459" s="34"/>
      <c r="I459" s="34"/>
      <c r="J459" s="34"/>
      <c r="K459" s="34"/>
      <c r="L459" s="34"/>
      <c r="M459" s="34"/>
      <c r="N459" s="34"/>
      <c r="O459" s="34"/>
      <c r="P459" s="34"/>
      <c r="Q459" s="34"/>
      <c r="R459" s="34"/>
      <c r="S459" s="34"/>
      <c r="T459" s="34"/>
      <c r="U459" s="34"/>
      <c r="V459" s="34"/>
      <c r="W459" s="34"/>
      <c r="X459" s="34"/>
      <c r="Y459" s="34"/>
      <c r="Z459" s="34"/>
      <c r="AA459" s="34"/>
      <c r="AB459" s="34"/>
      <c r="AC459" s="34"/>
      <c r="AD459" s="34"/>
      <c r="AE459" s="34"/>
      <c r="AF459" s="34"/>
      <c r="AG459" s="34"/>
      <c r="AH459" s="34"/>
      <c r="AI459" s="34"/>
      <c r="AJ459" s="34"/>
      <c r="AK459" s="34"/>
      <c r="AL459" s="34"/>
      <c r="AM459" s="34"/>
      <c r="AN459" s="34"/>
      <c r="AO459" s="34"/>
      <c r="AP459" s="34"/>
      <c r="AQ459" s="34"/>
      <c r="AR459" s="34"/>
      <c r="AS459" s="34"/>
      <c r="AT459" s="34"/>
      <c r="AU459" s="34"/>
    </row>
    <row r="460" spans="3:47" x14ac:dyDescent="0.2">
      <c r="C460" s="34"/>
      <c r="D460" s="34"/>
      <c r="E460" s="34"/>
      <c r="F460" s="34"/>
      <c r="G460" s="34"/>
      <c r="H460" s="34"/>
      <c r="I460" s="34"/>
      <c r="J460" s="34"/>
      <c r="K460" s="34"/>
      <c r="L460" s="34"/>
      <c r="M460" s="34"/>
      <c r="N460" s="34"/>
      <c r="O460" s="34"/>
      <c r="P460" s="34"/>
      <c r="Q460" s="34"/>
      <c r="R460" s="34"/>
      <c r="S460" s="34"/>
      <c r="T460" s="34"/>
      <c r="U460" s="34"/>
      <c r="V460" s="34"/>
      <c r="W460" s="34"/>
      <c r="X460" s="34"/>
      <c r="Y460" s="34"/>
      <c r="Z460" s="34"/>
      <c r="AA460" s="34"/>
      <c r="AB460" s="34"/>
      <c r="AC460" s="34"/>
      <c r="AD460" s="34"/>
      <c r="AE460" s="34"/>
      <c r="AF460" s="34"/>
      <c r="AG460" s="34"/>
      <c r="AH460" s="34"/>
      <c r="AI460" s="34"/>
      <c r="AJ460" s="34"/>
      <c r="AK460" s="34"/>
      <c r="AL460" s="34"/>
      <c r="AM460" s="34"/>
      <c r="AN460" s="34"/>
      <c r="AO460" s="34"/>
      <c r="AP460" s="34"/>
      <c r="AQ460" s="34"/>
      <c r="AR460" s="34"/>
      <c r="AS460" s="34"/>
      <c r="AT460" s="34"/>
      <c r="AU460" s="34"/>
    </row>
    <row r="461" spans="3:47" x14ac:dyDescent="0.2">
      <c r="C461" s="34"/>
      <c r="D461" s="34"/>
      <c r="E461" s="34"/>
      <c r="F461" s="34"/>
      <c r="G461" s="34"/>
      <c r="H461" s="34"/>
      <c r="I461" s="34"/>
      <c r="J461" s="34"/>
      <c r="K461" s="34"/>
      <c r="L461" s="34"/>
      <c r="M461" s="34"/>
      <c r="N461" s="34"/>
      <c r="O461" s="34"/>
      <c r="P461" s="34"/>
      <c r="Q461" s="34"/>
      <c r="R461" s="34"/>
      <c r="S461" s="34"/>
      <c r="T461" s="34"/>
      <c r="U461" s="34"/>
      <c r="V461" s="34"/>
      <c r="W461" s="34"/>
      <c r="X461" s="34"/>
      <c r="Y461" s="34"/>
      <c r="Z461" s="34"/>
      <c r="AA461" s="34"/>
      <c r="AB461" s="34"/>
      <c r="AC461" s="34"/>
      <c r="AD461" s="34"/>
      <c r="AE461" s="34"/>
      <c r="AF461" s="34"/>
      <c r="AG461" s="34"/>
      <c r="AH461" s="34"/>
      <c r="AI461" s="34"/>
      <c r="AJ461" s="34"/>
      <c r="AK461" s="34"/>
      <c r="AL461" s="34"/>
      <c r="AM461" s="34"/>
      <c r="AN461" s="34"/>
      <c r="AO461" s="34"/>
      <c r="AP461" s="34"/>
      <c r="AQ461" s="34"/>
      <c r="AR461" s="34"/>
      <c r="AS461" s="34"/>
      <c r="AT461" s="34"/>
      <c r="AU461" s="34"/>
    </row>
    <row r="462" spans="3:47" x14ac:dyDescent="0.2">
      <c r="C462" s="34"/>
      <c r="D462" s="34"/>
      <c r="E462" s="34"/>
      <c r="F462" s="34"/>
      <c r="G462" s="34"/>
      <c r="H462" s="34"/>
      <c r="I462" s="34"/>
      <c r="J462" s="34"/>
      <c r="K462" s="34"/>
      <c r="L462" s="34"/>
      <c r="M462" s="34"/>
      <c r="N462" s="34"/>
      <c r="O462" s="34"/>
      <c r="P462" s="34"/>
      <c r="Q462" s="34"/>
      <c r="R462" s="34"/>
      <c r="S462" s="34"/>
      <c r="T462" s="34"/>
      <c r="U462" s="34"/>
      <c r="V462" s="34"/>
      <c r="W462" s="34"/>
      <c r="X462" s="34"/>
      <c r="Y462" s="34"/>
      <c r="Z462" s="34"/>
      <c r="AA462" s="34"/>
      <c r="AB462" s="34"/>
      <c r="AC462" s="34"/>
      <c r="AD462" s="34"/>
      <c r="AE462" s="34"/>
      <c r="AF462" s="34"/>
      <c r="AG462" s="34"/>
      <c r="AH462" s="34"/>
      <c r="AI462" s="34"/>
      <c r="AJ462" s="34"/>
      <c r="AK462" s="34"/>
      <c r="AL462" s="34"/>
      <c r="AM462" s="34"/>
      <c r="AN462" s="34"/>
      <c r="AO462" s="34"/>
      <c r="AP462" s="34"/>
      <c r="AQ462" s="34"/>
      <c r="AR462" s="34"/>
      <c r="AS462" s="34"/>
      <c r="AT462" s="34"/>
      <c r="AU462" s="34"/>
    </row>
    <row r="463" spans="3:47" x14ac:dyDescent="0.2">
      <c r="C463" s="34"/>
      <c r="D463" s="34"/>
      <c r="E463" s="34"/>
      <c r="F463" s="34"/>
      <c r="G463" s="34"/>
      <c r="H463" s="34"/>
      <c r="I463" s="34"/>
      <c r="J463" s="34"/>
      <c r="K463" s="34"/>
      <c r="L463" s="34"/>
      <c r="M463" s="34"/>
      <c r="N463" s="34"/>
      <c r="O463" s="34"/>
      <c r="P463" s="34"/>
      <c r="Q463" s="34"/>
      <c r="R463" s="34"/>
      <c r="S463" s="34"/>
      <c r="T463" s="34"/>
      <c r="U463" s="34"/>
      <c r="V463" s="34"/>
      <c r="W463" s="34"/>
      <c r="X463" s="34"/>
      <c r="Y463" s="34"/>
      <c r="Z463" s="34"/>
      <c r="AA463" s="34"/>
      <c r="AB463" s="34"/>
      <c r="AC463" s="34"/>
      <c r="AD463" s="34"/>
      <c r="AE463" s="34"/>
      <c r="AF463" s="34"/>
      <c r="AG463" s="34"/>
      <c r="AH463" s="34"/>
      <c r="AI463" s="34"/>
      <c r="AJ463" s="34"/>
      <c r="AK463" s="34"/>
      <c r="AL463" s="34"/>
      <c r="AM463" s="34"/>
      <c r="AN463" s="34"/>
      <c r="AO463" s="34"/>
      <c r="AP463" s="34"/>
      <c r="AQ463" s="34"/>
      <c r="AR463" s="34"/>
      <c r="AS463" s="34"/>
      <c r="AT463" s="34"/>
      <c r="AU463" s="34"/>
    </row>
    <row r="464" spans="3:47" x14ac:dyDescent="0.2">
      <c r="C464" s="34"/>
      <c r="D464" s="34"/>
      <c r="E464" s="34"/>
      <c r="F464" s="34"/>
      <c r="G464" s="34"/>
      <c r="H464" s="34"/>
      <c r="I464" s="34"/>
      <c r="J464" s="34"/>
      <c r="K464" s="34"/>
      <c r="L464" s="34"/>
      <c r="M464" s="34"/>
      <c r="N464" s="34"/>
      <c r="O464" s="34"/>
      <c r="P464" s="34"/>
      <c r="Q464" s="34"/>
      <c r="R464" s="34"/>
      <c r="S464" s="34"/>
      <c r="T464" s="34"/>
      <c r="U464" s="34"/>
      <c r="V464" s="34"/>
      <c r="W464" s="34"/>
      <c r="X464" s="34"/>
      <c r="Y464" s="34"/>
      <c r="Z464" s="34"/>
      <c r="AA464" s="34"/>
      <c r="AB464" s="34"/>
      <c r="AC464" s="34"/>
      <c r="AD464" s="34"/>
      <c r="AE464" s="34"/>
      <c r="AF464" s="34"/>
      <c r="AG464" s="34"/>
      <c r="AH464" s="34"/>
      <c r="AI464" s="34"/>
      <c r="AJ464" s="34"/>
      <c r="AK464" s="34"/>
      <c r="AL464" s="34"/>
      <c r="AM464" s="34"/>
      <c r="AN464" s="34"/>
      <c r="AO464" s="34"/>
      <c r="AP464" s="34"/>
      <c r="AQ464" s="34"/>
      <c r="AR464" s="34"/>
      <c r="AS464" s="34"/>
      <c r="AT464" s="34"/>
      <c r="AU464" s="34"/>
    </row>
    <row r="465" spans="3:47" x14ac:dyDescent="0.2">
      <c r="C465" s="34"/>
      <c r="D465" s="34"/>
      <c r="E465" s="34"/>
      <c r="F465" s="34"/>
      <c r="G465" s="34"/>
      <c r="H465" s="34"/>
      <c r="I465" s="34"/>
      <c r="J465" s="34"/>
      <c r="K465" s="34"/>
      <c r="L465" s="34"/>
      <c r="M465" s="34"/>
      <c r="N465" s="34"/>
      <c r="O465" s="34"/>
      <c r="P465" s="34"/>
      <c r="Q465" s="34"/>
      <c r="R465" s="34"/>
      <c r="S465" s="34"/>
      <c r="T465" s="34"/>
      <c r="U465" s="34"/>
      <c r="V465" s="34"/>
      <c r="W465" s="34"/>
      <c r="X465" s="34"/>
      <c r="Y465" s="34"/>
      <c r="Z465" s="34"/>
      <c r="AA465" s="34"/>
      <c r="AB465" s="34"/>
      <c r="AC465" s="34"/>
      <c r="AD465" s="34"/>
      <c r="AE465" s="34"/>
      <c r="AF465" s="34"/>
      <c r="AG465" s="34"/>
      <c r="AH465" s="34"/>
      <c r="AI465" s="34"/>
      <c r="AJ465" s="34"/>
      <c r="AK465" s="34"/>
      <c r="AL465" s="34"/>
      <c r="AM465" s="34"/>
      <c r="AN465" s="34"/>
      <c r="AO465" s="34"/>
      <c r="AP465" s="34"/>
      <c r="AQ465" s="34"/>
      <c r="AR465" s="34"/>
      <c r="AS465" s="34"/>
      <c r="AT465" s="34"/>
      <c r="AU465" s="34"/>
    </row>
    <row r="466" spans="3:47" x14ac:dyDescent="0.2">
      <c r="C466" s="34"/>
      <c r="D466" s="34"/>
      <c r="E466" s="34"/>
      <c r="F466" s="34"/>
      <c r="G466" s="34"/>
      <c r="H466" s="34"/>
      <c r="I466" s="34"/>
      <c r="J466" s="34"/>
      <c r="K466" s="34"/>
      <c r="L466" s="34"/>
      <c r="M466" s="34"/>
      <c r="N466" s="34"/>
      <c r="O466" s="34"/>
      <c r="P466" s="34"/>
      <c r="Q466" s="34"/>
      <c r="R466" s="34"/>
      <c r="S466" s="34"/>
      <c r="T466" s="34"/>
      <c r="U466" s="34"/>
      <c r="V466" s="34"/>
      <c r="W466" s="34"/>
      <c r="X466" s="34"/>
      <c r="Y466" s="34"/>
      <c r="Z466" s="34"/>
      <c r="AA466" s="34"/>
      <c r="AB466" s="34"/>
      <c r="AC466" s="34"/>
      <c r="AD466" s="34"/>
      <c r="AE466" s="34"/>
      <c r="AF466" s="34"/>
      <c r="AG466" s="34"/>
      <c r="AH466" s="34"/>
      <c r="AI466" s="34"/>
      <c r="AJ466" s="34"/>
      <c r="AK466" s="34"/>
      <c r="AL466" s="34"/>
      <c r="AM466" s="34"/>
      <c r="AN466" s="34"/>
      <c r="AO466" s="34"/>
      <c r="AP466" s="34"/>
      <c r="AQ466" s="34"/>
      <c r="AR466" s="34"/>
      <c r="AS466" s="34"/>
      <c r="AT466" s="34"/>
      <c r="AU466" s="34"/>
    </row>
    <row r="467" spans="3:47" x14ac:dyDescent="0.2">
      <c r="C467" s="34"/>
      <c r="D467" s="34"/>
      <c r="E467" s="34"/>
      <c r="F467" s="34"/>
      <c r="G467" s="34"/>
      <c r="H467" s="34"/>
      <c r="I467" s="34"/>
      <c r="J467" s="34"/>
      <c r="K467" s="34"/>
      <c r="L467" s="34"/>
      <c r="M467" s="34"/>
      <c r="N467" s="34"/>
      <c r="O467" s="34"/>
      <c r="P467" s="34"/>
      <c r="Q467" s="34"/>
      <c r="R467" s="34"/>
      <c r="S467" s="34"/>
      <c r="T467" s="34"/>
      <c r="U467" s="34"/>
      <c r="V467" s="34"/>
      <c r="W467" s="34"/>
      <c r="X467" s="34"/>
      <c r="Y467" s="34"/>
      <c r="Z467" s="34"/>
      <c r="AA467" s="34"/>
      <c r="AB467" s="34"/>
      <c r="AC467" s="34"/>
      <c r="AD467" s="34"/>
      <c r="AE467" s="34"/>
      <c r="AF467" s="34"/>
      <c r="AG467" s="34"/>
      <c r="AH467" s="34"/>
      <c r="AI467" s="34"/>
      <c r="AJ467" s="34"/>
      <c r="AK467" s="34"/>
      <c r="AL467" s="34"/>
      <c r="AM467" s="34"/>
      <c r="AN467" s="34"/>
      <c r="AO467" s="34"/>
      <c r="AP467" s="34"/>
      <c r="AQ467" s="34"/>
      <c r="AR467" s="34"/>
      <c r="AS467" s="34"/>
      <c r="AT467" s="34"/>
      <c r="AU467" s="34"/>
    </row>
    <row r="468" spans="3:47" x14ac:dyDescent="0.2">
      <c r="C468" s="34"/>
      <c r="D468" s="34"/>
      <c r="E468" s="34"/>
      <c r="F468" s="34"/>
      <c r="G468" s="34"/>
      <c r="H468" s="34"/>
      <c r="I468" s="34"/>
      <c r="J468" s="34"/>
      <c r="K468" s="34"/>
      <c r="L468" s="34"/>
      <c r="M468" s="34"/>
      <c r="N468" s="34"/>
      <c r="O468" s="34"/>
      <c r="P468" s="34"/>
      <c r="Q468" s="34"/>
      <c r="R468" s="34"/>
      <c r="S468" s="34"/>
      <c r="T468" s="34"/>
      <c r="U468" s="34"/>
      <c r="V468" s="34"/>
      <c r="W468" s="34"/>
      <c r="X468" s="34"/>
      <c r="Y468" s="34"/>
      <c r="Z468" s="34"/>
      <c r="AA468" s="34"/>
      <c r="AB468" s="34"/>
      <c r="AC468" s="34"/>
      <c r="AD468" s="34"/>
      <c r="AE468" s="34"/>
      <c r="AF468" s="34"/>
      <c r="AG468" s="34"/>
      <c r="AH468" s="34"/>
      <c r="AI468" s="34"/>
      <c r="AJ468" s="34"/>
      <c r="AK468" s="34"/>
      <c r="AL468" s="34"/>
      <c r="AM468" s="34"/>
      <c r="AN468" s="34"/>
      <c r="AO468" s="34"/>
      <c r="AP468" s="34"/>
      <c r="AQ468" s="34"/>
      <c r="AR468" s="34"/>
      <c r="AS468" s="34"/>
      <c r="AT468" s="34"/>
      <c r="AU468" s="34"/>
    </row>
    <row r="469" spans="3:47" x14ac:dyDescent="0.2">
      <c r="C469" s="34"/>
      <c r="D469" s="34"/>
      <c r="E469" s="34"/>
      <c r="F469" s="34"/>
      <c r="G469" s="34"/>
      <c r="H469" s="34"/>
      <c r="I469" s="34"/>
      <c r="J469" s="34"/>
      <c r="K469" s="34"/>
      <c r="L469" s="34"/>
      <c r="M469" s="34"/>
      <c r="N469" s="34"/>
      <c r="O469" s="34"/>
      <c r="P469" s="34"/>
      <c r="Q469" s="34"/>
      <c r="R469" s="34"/>
      <c r="S469" s="34"/>
      <c r="T469" s="34"/>
      <c r="U469" s="34"/>
      <c r="V469" s="34"/>
      <c r="W469" s="34"/>
      <c r="X469" s="34"/>
      <c r="Y469" s="34"/>
      <c r="Z469" s="34"/>
      <c r="AA469" s="34"/>
      <c r="AB469" s="34"/>
      <c r="AC469" s="34"/>
      <c r="AD469" s="34"/>
      <c r="AE469" s="34"/>
      <c r="AF469" s="34"/>
      <c r="AG469" s="34"/>
      <c r="AH469" s="34"/>
      <c r="AI469" s="34"/>
      <c r="AJ469" s="34"/>
      <c r="AK469" s="34"/>
      <c r="AL469" s="34"/>
      <c r="AM469" s="34"/>
      <c r="AN469" s="34"/>
      <c r="AO469" s="34"/>
      <c r="AP469" s="34"/>
      <c r="AQ469" s="34"/>
      <c r="AR469" s="34"/>
      <c r="AS469" s="34"/>
      <c r="AT469" s="34"/>
      <c r="AU469" s="34"/>
    </row>
    <row r="470" spans="3:47" x14ac:dyDescent="0.2">
      <c r="C470" s="34"/>
      <c r="D470" s="34"/>
      <c r="E470" s="34"/>
      <c r="F470" s="34"/>
      <c r="G470" s="34"/>
      <c r="H470" s="34"/>
      <c r="I470" s="34"/>
      <c r="J470" s="34"/>
      <c r="K470" s="34"/>
      <c r="L470" s="34"/>
      <c r="M470" s="34"/>
      <c r="N470" s="34"/>
      <c r="O470" s="34"/>
      <c r="P470" s="34"/>
      <c r="Q470" s="34"/>
      <c r="R470" s="34"/>
      <c r="S470" s="34"/>
      <c r="T470" s="34"/>
      <c r="U470" s="34"/>
      <c r="V470" s="34"/>
      <c r="W470" s="34"/>
      <c r="X470" s="34"/>
      <c r="Y470" s="34"/>
      <c r="Z470" s="34"/>
      <c r="AA470" s="34"/>
      <c r="AB470" s="34"/>
      <c r="AC470" s="34"/>
      <c r="AD470" s="34"/>
      <c r="AE470" s="34"/>
      <c r="AF470" s="34"/>
      <c r="AG470" s="34"/>
      <c r="AH470" s="34"/>
      <c r="AI470" s="34"/>
      <c r="AJ470" s="34"/>
      <c r="AK470" s="34"/>
      <c r="AL470" s="34"/>
      <c r="AM470" s="34"/>
      <c r="AN470" s="34"/>
      <c r="AO470" s="34"/>
      <c r="AP470" s="34"/>
      <c r="AQ470" s="34"/>
      <c r="AR470" s="34"/>
      <c r="AS470" s="34"/>
      <c r="AT470" s="34"/>
      <c r="AU470" s="34"/>
    </row>
    <row r="471" spans="3:47" x14ac:dyDescent="0.2">
      <c r="C471" s="34"/>
      <c r="D471" s="34"/>
      <c r="E471" s="34"/>
      <c r="F471" s="34"/>
      <c r="G471" s="34"/>
      <c r="H471" s="34"/>
      <c r="I471" s="34"/>
      <c r="J471" s="34"/>
      <c r="K471" s="34"/>
      <c r="L471" s="34"/>
      <c r="M471" s="34"/>
      <c r="N471" s="34"/>
      <c r="O471" s="34"/>
      <c r="P471" s="34"/>
      <c r="Q471" s="34"/>
      <c r="R471" s="34"/>
      <c r="S471" s="34"/>
      <c r="T471" s="34"/>
      <c r="U471" s="34"/>
      <c r="V471" s="34"/>
      <c r="W471" s="34"/>
      <c r="X471" s="34"/>
      <c r="Y471" s="34"/>
      <c r="Z471" s="34"/>
      <c r="AA471" s="34"/>
      <c r="AB471" s="34"/>
      <c r="AC471" s="34"/>
      <c r="AD471" s="34"/>
      <c r="AE471" s="34"/>
      <c r="AF471" s="34"/>
      <c r="AG471" s="34"/>
      <c r="AH471" s="34"/>
      <c r="AI471" s="34"/>
      <c r="AJ471" s="34"/>
      <c r="AK471" s="34"/>
      <c r="AL471" s="34"/>
      <c r="AM471" s="34"/>
      <c r="AN471" s="34"/>
      <c r="AO471" s="34"/>
      <c r="AP471" s="34"/>
      <c r="AQ471" s="34"/>
      <c r="AR471" s="34"/>
      <c r="AS471" s="34"/>
      <c r="AT471" s="34"/>
      <c r="AU471" s="34"/>
    </row>
    <row r="472" spans="3:47" x14ac:dyDescent="0.2">
      <c r="C472" s="34"/>
      <c r="D472" s="34"/>
      <c r="E472" s="34"/>
      <c r="F472" s="34"/>
      <c r="G472" s="34"/>
      <c r="H472" s="34"/>
      <c r="I472" s="34"/>
      <c r="J472" s="34"/>
      <c r="K472" s="34"/>
      <c r="L472" s="34"/>
      <c r="M472" s="34"/>
      <c r="N472" s="34"/>
      <c r="O472" s="34"/>
      <c r="P472" s="34"/>
      <c r="Q472" s="34"/>
      <c r="R472" s="34"/>
      <c r="S472" s="34"/>
      <c r="T472" s="34"/>
      <c r="U472" s="34"/>
      <c r="V472" s="34"/>
      <c r="W472" s="34"/>
      <c r="X472" s="34"/>
      <c r="Y472" s="34"/>
      <c r="Z472" s="34"/>
      <c r="AA472" s="34"/>
      <c r="AB472" s="34"/>
      <c r="AC472" s="34"/>
      <c r="AD472" s="34"/>
      <c r="AE472" s="34"/>
      <c r="AF472" s="34"/>
      <c r="AG472" s="34"/>
      <c r="AH472" s="34"/>
      <c r="AI472" s="34"/>
      <c r="AJ472" s="34"/>
      <c r="AK472" s="34"/>
      <c r="AL472" s="34"/>
      <c r="AM472" s="34"/>
      <c r="AN472" s="34"/>
      <c r="AO472" s="34"/>
      <c r="AP472" s="34"/>
      <c r="AQ472" s="34"/>
      <c r="AR472" s="34"/>
      <c r="AS472" s="34"/>
      <c r="AT472" s="34"/>
      <c r="AU472" s="34"/>
    </row>
    <row r="473" spans="3:47" x14ac:dyDescent="0.2">
      <c r="C473" s="34"/>
      <c r="D473" s="34"/>
      <c r="E473" s="34"/>
      <c r="F473" s="34"/>
      <c r="G473" s="34"/>
      <c r="H473" s="34"/>
      <c r="I473" s="34"/>
      <c r="J473" s="34"/>
      <c r="K473" s="34"/>
      <c r="L473" s="34"/>
      <c r="M473" s="34"/>
      <c r="N473" s="34"/>
      <c r="O473" s="34"/>
      <c r="P473" s="34"/>
      <c r="Q473" s="34"/>
      <c r="R473" s="34"/>
      <c r="S473" s="34"/>
      <c r="T473" s="34"/>
      <c r="U473" s="34"/>
      <c r="V473" s="34"/>
      <c r="W473" s="34"/>
      <c r="X473" s="34"/>
      <c r="Y473" s="34"/>
      <c r="Z473" s="34"/>
      <c r="AA473" s="34"/>
      <c r="AB473" s="34"/>
      <c r="AC473" s="34"/>
      <c r="AD473" s="34"/>
      <c r="AE473" s="34"/>
      <c r="AF473" s="34"/>
      <c r="AG473" s="34"/>
      <c r="AH473" s="34"/>
      <c r="AI473" s="34"/>
      <c r="AJ473" s="34"/>
      <c r="AK473" s="34"/>
      <c r="AL473" s="34"/>
      <c r="AM473" s="34"/>
      <c r="AN473" s="34"/>
      <c r="AO473" s="34"/>
      <c r="AP473" s="34"/>
      <c r="AQ473" s="34"/>
      <c r="AR473" s="34"/>
      <c r="AS473" s="34"/>
      <c r="AT473" s="34"/>
      <c r="AU473" s="34"/>
    </row>
    <row r="474" spans="3:47" x14ac:dyDescent="0.2">
      <c r="C474" s="34"/>
      <c r="D474" s="34"/>
      <c r="E474" s="34"/>
      <c r="F474" s="34"/>
      <c r="G474" s="34"/>
      <c r="H474" s="34"/>
      <c r="I474" s="34"/>
      <c r="J474" s="34"/>
      <c r="K474" s="34"/>
      <c r="L474" s="34"/>
      <c r="M474" s="34"/>
      <c r="N474" s="34"/>
      <c r="O474" s="34"/>
      <c r="P474" s="34"/>
      <c r="Q474" s="34"/>
      <c r="R474" s="34"/>
      <c r="S474" s="34"/>
      <c r="T474" s="34"/>
      <c r="U474" s="34"/>
      <c r="V474" s="34"/>
      <c r="W474" s="34"/>
      <c r="X474" s="34"/>
      <c r="Y474" s="34"/>
      <c r="Z474" s="34"/>
      <c r="AA474" s="34"/>
      <c r="AB474" s="34"/>
      <c r="AC474" s="34"/>
      <c r="AD474" s="34"/>
      <c r="AE474" s="34"/>
      <c r="AF474" s="34"/>
      <c r="AG474" s="34"/>
      <c r="AH474" s="34"/>
      <c r="AI474" s="34"/>
      <c r="AJ474" s="34"/>
      <c r="AK474" s="34"/>
      <c r="AL474" s="34"/>
      <c r="AM474" s="34"/>
      <c r="AN474" s="34"/>
      <c r="AO474" s="34"/>
      <c r="AP474" s="34"/>
      <c r="AQ474" s="34"/>
      <c r="AR474" s="34"/>
      <c r="AS474" s="34"/>
      <c r="AT474" s="34"/>
      <c r="AU474" s="34"/>
    </row>
    <row r="475" spans="3:47" x14ac:dyDescent="0.2">
      <c r="C475" s="34"/>
      <c r="D475" s="34"/>
      <c r="E475" s="34"/>
      <c r="F475" s="34"/>
      <c r="G475" s="34"/>
      <c r="H475" s="34"/>
      <c r="I475" s="34"/>
      <c r="J475" s="34"/>
      <c r="K475" s="34"/>
      <c r="L475" s="34"/>
      <c r="M475" s="34"/>
      <c r="N475" s="34"/>
      <c r="O475" s="34"/>
      <c r="P475" s="34"/>
      <c r="Q475" s="34"/>
      <c r="R475" s="34"/>
      <c r="S475" s="34"/>
      <c r="T475" s="34"/>
      <c r="U475" s="34"/>
      <c r="V475" s="34"/>
      <c r="W475" s="34"/>
      <c r="X475" s="34"/>
      <c r="Y475" s="34"/>
      <c r="Z475" s="34"/>
      <c r="AA475" s="34"/>
      <c r="AB475" s="34"/>
      <c r="AC475" s="34"/>
      <c r="AD475" s="34"/>
      <c r="AE475" s="34"/>
      <c r="AF475" s="34"/>
      <c r="AG475" s="34"/>
      <c r="AH475" s="34"/>
      <c r="AI475" s="34"/>
      <c r="AJ475" s="34"/>
      <c r="AK475" s="34"/>
      <c r="AL475" s="34"/>
      <c r="AM475" s="34"/>
      <c r="AN475" s="34"/>
      <c r="AO475" s="34"/>
      <c r="AP475" s="34"/>
      <c r="AQ475" s="34"/>
      <c r="AR475" s="34"/>
      <c r="AS475" s="34"/>
      <c r="AT475" s="34"/>
      <c r="AU475" s="34"/>
    </row>
    <row r="476" spans="3:47" x14ac:dyDescent="0.2">
      <c r="C476" s="34"/>
      <c r="D476" s="34"/>
      <c r="E476" s="34"/>
      <c r="F476" s="34"/>
      <c r="G476" s="34"/>
      <c r="H476" s="34"/>
      <c r="I476" s="34"/>
      <c r="J476" s="34"/>
      <c r="K476" s="34"/>
      <c r="L476" s="34"/>
      <c r="M476" s="34"/>
      <c r="N476" s="34"/>
      <c r="O476" s="34"/>
      <c r="P476" s="34"/>
      <c r="Q476" s="34"/>
      <c r="R476" s="34"/>
      <c r="S476" s="34"/>
      <c r="T476" s="34"/>
      <c r="U476" s="34"/>
      <c r="V476" s="34"/>
      <c r="W476" s="34"/>
      <c r="X476" s="34"/>
      <c r="Y476" s="34"/>
      <c r="Z476" s="34"/>
      <c r="AA476" s="34"/>
      <c r="AB476" s="34"/>
      <c r="AC476" s="34"/>
      <c r="AD476" s="34"/>
      <c r="AE476" s="34"/>
      <c r="AF476" s="34"/>
      <c r="AG476" s="34"/>
      <c r="AH476" s="34"/>
      <c r="AI476" s="34"/>
      <c r="AJ476" s="34"/>
      <c r="AK476" s="34"/>
      <c r="AL476" s="34"/>
      <c r="AM476" s="34"/>
      <c r="AN476" s="34"/>
      <c r="AO476" s="34"/>
      <c r="AP476" s="34"/>
      <c r="AQ476" s="34"/>
      <c r="AR476" s="34"/>
      <c r="AS476" s="34"/>
      <c r="AT476" s="34"/>
      <c r="AU476" s="34"/>
    </row>
    <row r="477" spans="3:47" x14ac:dyDescent="0.2">
      <c r="C477" s="34"/>
      <c r="D477" s="34"/>
      <c r="E477" s="34"/>
      <c r="F477" s="34"/>
      <c r="G477" s="34"/>
      <c r="H477" s="34"/>
      <c r="I477" s="34"/>
      <c r="J477" s="34"/>
      <c r="K477" s="34"/>
      <c r="L477" s="34"/>
      <c r="M477" s="34"/>
      <c r="N477" s="34"/>
      <c r="O477" s="34"/>
      <c r="P477" s="34"/>
      <c r="Q477" s="34"/>
      <c r="R477" s="34"/>
      <c r="S477" s="34"/>
      <c r="T477" s="34"/>
      <c r="U477" s="34"/>
      <c r="V477" s="34"/>
      <c r="W477" s="34"/>
      <c r="X477" s="34"/>
      <c r="Y477" s="34"/>
      <c r="Z477" s="34"/>
      <c r="AA477" s="34"/>
      <c r="AB477" s="34"/>
      <c r="AC477" s="34"/>
      <c r="AD477" s="34"/>
      <c r="AE477" s="34"/>
      <c r="AF477" s="34"/>
      <c r="AG477" s="34"/>
      <c r="AH477" s="34"/>
      <c r="AI477" s="34"/>
      <c r="AJ477" s="34"/>
      <c r="AK477" s="34"/>
      <c r="AL477" s="34"/>
      <c r="AM477" s="34"/>
      <c r="AN477" s="34"/>
      <c r="AO477" s="34"/>
      <c r="AP477" s="34"/>
      <c r="AQ477" s="34"/>
      <c r="AR477" s="34"/>
      <c r="AS477" s="34"/>
      <c r="AT477" s="34"/>
      <c r="AU477" s="34"/>
    </row>
    <row r="478" spans="3:47" x14ac:dyDescent="0.2">
      <c r="C478" s="34"/>
      <c r="D478" s="34"/>
      <c r="E478" s="34"/>
      <c r="F478" s="34"/>
      <c r="G478" s="34"/>
      <c r="H478" s="34"/>
      <c r="I478" s="34"/>
      <c r="J478" s="34"/>
      <c r="K478" s="34"/>
      <c r="L478" s="34"/>
      <c r="M478" s="34"/>
      <c r="N478" s="34"/>
      <c r="O478" s="34"/>
      <c r="P478" s="34"/>
      <c r="Q478" s="34"/>
      <c r="R478" s="34"/>
      <c r="S478" s="34"/>
      <c r="T478" s="34"/>
      <c r="U478" s="34"/>
      <c r="V478" s="34"/>
      <c r="W478" s="34"/>
      <c r="X478" s="34"/>
      <c r="Y478" s="34"/>
      <c r="Z478" s="34"/>
      <c r="AA478" s="34"/>
      <c r="AB478" s="34"/>
      <c r="AC478" s="34"/>
      <c r="AD478" s="34"/>
      <c r="AE478" s="34"/>
      <c r="AF478" s="34"/>
      <c r="AG478" s="34"/>
      <c r="AH478" s="34"/>
      <c r="AI478" s="34"/>
      <c r="AJ478" s="34"/>
      <c r="AK478" s="34"/>
      <c r="AL478" s="34"/>
      <c r="AM478" s="34"/>
      <c r="AN478" s="34"/>
      <c r="AO478" s="34"/>
      <c r="AP478" s="34"/>
      <c r="AQ478" s="34"/>
      <c r="AR478" s="34"/>
      <c r="AS478" s="34"/>
      <c r="AT478" s="34"/>
      <c r="AU478" s="34"/>
    </row>
    <row r="479" spans="3:47" x14ac:dyDescent="0.2">
      <c r="C479" s="34"/>
      <c r="D479" s="34"/>
      <c r="E479" s="34"/>
      <c r="F479" s="34"/>
      <c r="G479" s="34"/>
      <c r="H479" s="34"/>
      <c r="I479" s="34"/>
      <c r="J479" s="34"/>
      <c r="K479" s="34"/>
      <c r="L479" s="34"/>
      <c r="M479" s="34"/>
      <c r="N479" s="34"/>
      <c r="O479" s="34"/>
      <c r="P479" s="34"/>
      <c r="Q479" s="34"/>
      <c r="R479" s="34"/>
      <c r="S479" s="34"/>
      <c r="T479" s="34"/>
      <c r="U479" s="34"/>
      <c r="V479" s="34"/>
      <c r="W479" s="34"/>
      <c r="X479" s="34"/>
      <c r="Y479" s="34"/>
      <c r="Z479" s="34"/>
      <c r="AA479" s="34"/>
      <c r="AB479" s="34"/>
      <c r="AC479" s="34"/>
      <c r="AD479" s="34"/>
      <c r="AE479" s="34"/>
      <c r="AF479" s="34"/>
      <c r="AG479" s="34"/>
      <c r="AH479" s="34"/>
      <c r="AI479" s="34"/>
      <c r="AJ479" s="34"/>
      <c r="AK479" s="34"/>
      <c r="AL479" s="34"/>
      <c r="AM479" s="34"/>
      <c r="AN479" s="34"/>
      <c r="AO479" s="34"/>
      <c r="AP479" s="34"/>
      <c r="AQ479" s="34"/>
      <c r="AR479" s="34"/>
      <c r="AS479" s="34"/>
      <c r="AT479" s="34"/>
      <c r="AU479" s="34"/>
    </row>
    <row r="480" spans="3:47" x14ac:dyDescent="0.2">
      <c r="C480" s="34"/>
      <c r="D480" s="34"/>
      <c r="E480" s="34"/>
      <c r="F480" s="34"/>
      <c r="G480" s="34"/>
      <c r="H480" s="34"/>
      <c r="I480" s="34"/>
      <c r="J480" s="34"/>
      <c r="K480" s="34"/>
      <c r="L480" s="34"/>
      <c r="M480" s="34"/>
      <c r="N480" s="34"/>
      <c r="O480" s="34"/>
      <c r="P480" s="34"/>
      <c r="Q480" s="34"/>
      <c r="R480" s="34"/>
      <c r="S480" s="34"/>
      <c r="T480" s="34"/>
      <c r="U480" s="34"/>
      <c r="V480" s="34"/>
      <c r="W480" s="34"/>
      <c r="X480" s="34"/>
      <c r="Y480" s="34"/>
      <c r="Z480" s="34"/>
      <c r="AA480" s="34"/>
      <c r="AB480" s="34"/>
      <c r="AC480" s="34"/>
      <c r="AD480" s="34"/>
      <c r="AE480" s="34"/>
      <c r="AF480" s="34"/>
      <c r="AG480" s="34"/>
      <c r="AH480" s="34"/>
      <c r="AI480" s="34"/>
      <c r="AJ480" s="34"/>
      <c r="AK480" s="34"/>
      <c r="AL480" s="34"/>
      <c r="AM480" s="34"/>
      <c r="AN480" s="34"/>
      <c r="AO480" s="34"/>
      <c r="AP480" s="34"/>
      <c r="AQ480" s="34"/>
      <c r="AR480" s="34"/>
      <c r="AS480" s="34"/>
      <c r="AT480" s="34"/>
      <c r="AU480" s="34"/>
    </row>
    <row r="481" spans="3:47" x14ac:dyDescent="0.2">
      <c r="C481" s="34"/>
      <c r="D481" s="34"/>
      <c r="E481" s="34"/>
      <c r="F481" s="34"/>
      <c r="G481" s="34"/>
      <c r="H481" s="34"/>
      <c r="I481" s="34"/>
      <c r="J481" s="34"/>
      <c r="K481" s="34"/>
      <c r="L481" s="34"/>
      <c r="M481" s="34"/>
      <c r="N481" s="34"/>
      <c r="O481" s="34"/>
      <c r="P481" s="34"/>
      <c r="Q481" s="34"/>
      <c r="R481" s="34"/>
      <c r="S481" s="34"/>
      <c r="T481" s="34"/>
      <c r="U481" s="34"/>
      <c r="V481" s="34"/>
      <c r="W481" s="34"/>
      <c r="X481" s="34"/>
      <c r="Y481" s="34"/>
      <c r="Z481" s="34"/>
      <c r="AA481" s="34"/>
      <c r="AB481" s="34"/>
      <c r="AC481" s="34"/>
      <c r="AD481" s="34"/>
      <c r="AE481" s="34"/>
      <c r="AF481" s="34"/>
      <c r="AG481" s="34"/>
      <c r="AH481" s="34"/>
      <c r="AI481" s="34"/>
      <c r="AJ481" s="34"/>
      <c r="AK481" s="34"/>
      <c r="AL481" s="34"/>
      <c r="AM481" s="34"/>
      <c r="AN481" s="34"/>
      <c r="AO481" s="34"/>
      <c r="AP481" s="34"/>
      <c r="AQ481" s="34"/>
      <c r="AR481" s="34"/>
      <c r="AS481" s="34"/>
      <c r="AT481" s="34"/>
      <c r="AU481" s="34"/>
    </row>
    <row r="482" spans="3:47" x14ac:dyDescent="0.2">
      <c r="C482" s="34"/>
      <c r="D482" s="34"/>
      <c r="E482" s="34"/>
      <c r="F482" s="34"/>
      <c r="G482" s="34"/>
      <c r="H482" s="34"/>
      <c r="I482" s="34"/>
      <c r="J482" s="34"/>
      <c r="K482" s="34"/>
      <c r="L482" s="34"/>
      <c r="M482" s="34"/>
      <c r="N482" s="34"/>
      <c r="O482" s="34"/>
      <c r="P482" s="34"/>
      <c r="Q482" s="34"/>
      <c r="R482" s="34"/>
      <c r="S482" s="34"/>
      <c r="T482" s="34"/>
      <c r="U482" s="34"/>
      <c r="V482" s="34"/>
      <c r="W482" s="34"/>
      <c r="X482" s="34"/>
      <c r="Y482" s="34"/>
      <c r="Z482" s="34"/>
      <c r="AA482" s="34"/>
      <c r="AB482" s="34"/>
      <c r="AC482" s="34"/>
      <c r="AD482" s="34"/>
      <c r="AE482" s="34"/>
      <c r="AF482" s="34"/>
      <c r="AG482" s="34"/>
      <c r="AH482" s="34"/>
      <c r="AI482" s="34"/>
      <c r="AJ482" s="34"/>
      <c r="AK482" s="34"/>
      <c r="AL482" s="34"/>
      <c r="AM482" s="34"/>
      <c r="AN482" s="34"/>
      <c r="AO482" s="34"/>
      <c r="AP482" s="34"/>
      <c r="AQ482" s="34"/>
      <c r="AR482" s="34"/>
      <c r="AS482" s="34"/>
      <c r="AT482" s="34"/>
      <c r="AU482" s="34"/>
    </row>
    <row r="483" spans="3:47" x14ac:dyDescent="0.2">
      <c r="C483" s="34"/>
      <c r="D483" s="34"/>
      <c r="E483" s="34"/>
      <c r="F483" s="34"/>
      <c r="G483" s="34"/>
      <c r="H483" s="34"/>
      <c r="I483" s="34"/>
      <c r="J483" s="34"/>
      <c r="K483" s="34"/>
      <c r="L483" s="34"/>
      <c r="M483" s="34"/>
      <c r="N483" s="34"/>
      <c r="O483" s="34"/>
      <c r="P483" s="34"/>
      <c r="Q483" s="34"/>
      <c r="R483" s="34"/>
      <c r="S483" s="34"/>
      <c r="T483" s="34"/>
      <c r="U483" s="34"/>
      <c r="V483" s="34"/>
      <c r="W483" s="34"/>
      <c r="X483" s="34"/>
      <c r="Y483" s="34"/>
      <c r="Z483" s="34"/>
      <c r="AA483" s="34"/>
      <c r="AB483" s="34"/>
      <c r="AC483" s="34"/>
      <c r="AD483" s="34"/>
      <c r="AE483" s="34"/>
      <c r="AF483" s="34"/>
      <c r="AG483" s="34"/>
      <c r="AH483" s="34"/>
      <c r="AI483" s="34"/>
      <c r="AJ483" s="34"/>
      <c r="AK483" s="34"/>
      <c r="AL483" s="34"/>
      <c r="AM483" s="34"/>
      <c r="AN483" s="34"/>
      <c r="AO483" s="34"/>
      <c r="AP483" s="34"/>
      <c r="AQ483" s="34"/>
      <c r="AR483" s="34"/>
      <c r="AS483" s="34"/>
      <c r="AT483" s="34"/>
      <c r="AU483" s="34"/>
    </row>
    <row r="484" spans="3:47" x14ac:dyDescent="0.2">
      <c r="C484" s="34"/>
      <c r="D484" s="34"/>
      <c r="E484" s="34"/>
      <c r="F484" s="34"/>
      <c r="G484" s="34"/>
      <c r="H484" s="34"/>
      <c r="I484" s="34"/>
      <c r="J484" s="34"/>
      <c r="K484" s="34"/>
      <c r="L484" s="34"/>
      <c r="M484" s="34"/>
      <c r="N484" s="34"/>
      <c r="O484" s="34"/>
      <c r="P484" s="34"/>
      <c r="Q484" s="34"/>
      <c r="R484" s="34"/>
      <c r="S484" s="34"/>
      <c r="T484" s="34"/>
      <c r="U484" s="34"/>
      <c r="V484" s="34"/>
      <c r="W484" s="34"/>
      <c r="X484" s="34"/>
      <c r="Y484" s="34"/>
      <c r="Z484" s="34"/>
      <c r="AA484" s="34"/>
      <c r="AB484" s="34"/>
      <c r="AC484" s="34"/>
      <c r="AD484" s="34"/>
      <c r="AE484" s="34"/>
      <c r="AF484" s="34"/>
      <c r="AG484" s="34"/>
      <c r="AH484" s="34"/>
      <c r="AI484" s="34"/>
      <c r="AJ484" s="34"/>
      <c r="AK484" s="34"/>
      <c r="AL484" s="34"/>
      <c r="AM484" s="34"/>
      <c r="AN484" s="34"/>
      <c r="AO484" s="34"/>
      <c r="AP484" s="34"/>
      <c r="AQ484" s="34"/>
      <c r="AR484" s="34"/>
      <c r="AS484" s="34"/>
      <c r="AT484" s="34"/>
      <c r="AU484" s="34"/>
    </row>
    <row r="485" spans="3:47" x14ac:dyDescent="0.2">
      <c r="C485" s="34"/>
      <c r="D485" s="34"/>
      <c r="E485" s="34"/>
      <c r="F485" s="34"/>
      <c r="G485" s="34"/>
      <c r="H485" s="34"/>
      <c r="I485" s="34"/>
      <c r="J485" s="34"/>
      <c r="K485" s="34"/>
      <c r="L485" s="34"/>
      <c r="M485" s="34"/>
      <c r="N485" s="34"/>
      <c r="O485" s="34"/>
      <c r="P485" s="34"/>
      <c r="Q485" s="34"/>
      <c r="R485" s="34"/>
      <c r="S485" s="34"/>
      <c r="T485" s="34"/>
      <c r="U485" s="34"/>
      <c r="V485" s="34"/>
      <c r="W485" s="34"/>
      <c r="X485" s="34"/>
      <c r="Y485" s="34"/>
      <c r="Z485" s="34"/>
      <c r="AA485" s="34"/>
      <c r="AB485" s="34"/>
      <c r="AC485" s="34"/>
      <c r="AD485" s="34"/>
      <c r="AE485" s="34"/>
      <c r="AF485" s="34"/>
      <c r="AG485" s="34"/>
      <c r="AH485" s="34"/>
      <c r="AI485" s="34"/>
      <c r="AJ485" s="34"/>
      <c r="AK485" s="34"/>
      <c r="AL485" s="34"/>
      <c r="AM485" s="34"/>
      <c r="AN485" s="34"/>
      <c r="AO485" s="34"/>
      <c r="AP485" s="34"/>
      <c r="AQ485" s="34"/>
      <c r="AR485" s="34"/>
      <c r="AS485" s="34"/>
      <c r="AT485" s="34"/>
      <c r="AU485" s="34"/>
    </row>
    <row r="486" spans="3:47" x14ac:dyDescent="0.2">
      <c r="C486" s="34"/>
      <c r="D486" s="34"/>
      <c r="E486" s="34"/>
      <c r="F486" s="34"/>
      <c r="G486" s="34"/>
      <c r="H486" s="34"/>
      <c r="I486" s="34"/>
      <c r="J486" s="34"/>
      <c r="K486" s="34"/>
      <c r="L486" s="34"/>
      <c r="M486" s="34"/>
      <c r="N486" s="34"/>
      <c r="O486" s="34"/>
      <c r="P486" s="34"/>
      <c r="Q486" s="34"/>
      <c r="R486" s="34"/>
      <c r="S486" s="34"/>
      <c r="T486" s="34"/>
      <c r="U486" s="34"/>
      <c r="V486" s="34"/>
      <c r="W486" s="34"/>
      <c r="X486" s="34"/>
      <c r="Y486" s="34"/>
      <c r="Z486" s="34"/>
      <c r="AA486" s="34"/>
      <c r="AB486" s="34"/>
      <c r="AC486" s="34"/>
      <c r="AD486" s="34"/>
      <c r="AE486" s="34"/>
      <c r="AF486" s="34"/>
      <c r="AG486" s="34"/>
      <c r="AH486" s="34"/>
      <c r="AI486" s="34"/>
      <c r="AJ486" s="34"/>
      <c r="AK486" s="34"/>
      <c r="AL486" s="34"/>
      <c r="AM486" s="34"/>
      <c r="AN486" s="34"/>
      <c r="AO486" s="34"/>
      <c r="AP486" s="34"/>
      <c r="AQ486" s="34"/>
      <c r="AR486" s="34"/>
      <c r="AS486" s="34"/>
      <c r="AT486" s="34"/>
      <c r="AU486" s="34"/>
    </row>
    <row r="487" spans="3:47" x14ac:dyDescent="0.2">
      <c r="C487" s="34"/>
      <c r="D487" s="34"/>
      <c r="E487" s="34"/>
      <c r="F487" s="34"/>
      <c r="G487" s="34"/>
      <c r="H487" s="34"/>
      <c r="I487" s="34"/>
      <c r="J487" s="34"/>
      <c r="K487" s="34"/>
      <c r="L487" s="34"/>
      <c r="M487" s="34"/>
      <c r="N487" s="34"/>
      <c r="O487" s="34"/>
      <c r="P487" s="34"/>
      <c r="Q487" s="34"/>
      <c r="R487" s="34"/>
      <c r="S487" s="34"/>
      <c r="T487" s="34"/>
      <c r="U487" s="34"/>
      <c r="V487" s="34"/>
      <c r="W487" s="34"/>
      <c r="X487" s="34"/>
      <c r="Y487" s="34"/>
      <c r="Z487" s="34"/>
      <c r="AA487" s="34"/>
      <c r="AB487" s="34"/>
      <c r="AC487" s="34"/>
      <c r="AD487" s="34"/>
      <c r="AE487" s="34"/>
      <c r="AF487" s="34"/>
      <c r="AG487" s="34"/>
      <c r="AH487" s="34"/>
      <c r="AI487" s="34"/>
      <c r="AJ487" s="34"/>
      <c r="AK487" s="34"/>
      <c r="AL487" s="34"/>
      <c r="AM487" s="34"/>
      <c r="AN487" s="34"/>
      <c r="AO487" s="34"/>
      <c r="AP487" s="34"/>
      <c r="AQ487" s="34"/>
      <c r="AR487" s="34"/>
      <c r="AS487" s="34"/>
      <c r="AT487" s="34"/>
      <c r="AU487" s="34"/>
    </row>
    <row r="488" spans="3:47" x14ac:dyDescent="0.2">
      <c r="C488" s="34"/>
      <c r="D488" s="34"/>
      <c r="E488" s="34"/>
      <c r="F488" s="34"/>
      <c r="G488" s="34"/>
      <c r="H488" s="34"/>
      <c r="I488" s="34"/>
      <c r="J488" s="34"/>
      <c r="K488" s="34"/>
      <c r="L488" s="34"/>
      <c r="M488" s="34"/>
      <c r="N488" s="34"/>
      <c r="O488" s="34"/>
      <c r="P488" s="34"/>
      <c r="Q488" s="34"/>
      <c r="R488" s="34"/>
      <c r="S488" s="34"/>
      <c r="T488" s="34"/>
      <c r="U488" s="34"/>
      <c r="V488" s="34"/>
      <c r="W488" s="34"/>
      <c r="X488" s="34"/>
      <c r="Y488" s="34"/>
      <c r="Z488" s="34"/>
      <c r="AA488" s="34"/>
      <c r="AB488" s="34"/>
      <c r="AC488" s="34"/>
      <c r="AD488" s="34"/>
      <c r="AE488" s="34"/>
      <c r="AF488" s="34"/>
      <c r="AG488" s="34"/>
      <c r="AH488" s="34"/>
      <c r="AI488" s="34"/>
      <c r="AJ488" s="34"/>
      <c r="AK488" s="34"/>
      <c r="AL488" s="34"/>
      <c r="AM488" s="34"/>
      <c r="AN488" s="34"/>
      <c r="AO488" s="34"/>
      <c r="AP488" s="34"/>
      <c r="AQ488" s="34"/>
      <c r="AR488" s="34"/>
      <c r="AS488" s="34"/>
      <c r="AT488" s="34"/>
      <c r="AU488" s="34"/>
    </row>
    <row r="489" spans="3:47" x14ac:dyDescent="0.2">
      <c r="C489" s="34"/>
      <c r="D489" s="34"/>
      <c r="E489" s="34"/>
      <c r="F489" s="34"/>
      <c r="G489" s="34"/>
      <c r="H489" s="34"/>
      <c r="I489" s="34"/>
      <c r="J489" s="34"/>
      <c r="K489" s="34"/>
      <c r="L489" s="34"/>
      <c r="M489" s="34"/>
      <c r="N489" s="34"/>
      <c r="O489" s="34"/>
      <c r="P489" s="34"/>
      <c r="Q489" s="34"/>
      <c r="R489" s="34"/>
      <c r="S489" s="34"/>
      <c r="T489" s="34"/>
      <c r="U489" s="34"/>
      <c r="V489" s="34"/>
      <c r="W489" s="34"/>
      <c r="X489" s="34"/>
      <c r="Y489" s="34"/>
      <c r="Z489" s="34"/>
      <c r="AA489" s="34"/>
      <c r="AB489" s="34"/>
      <c r="AC489" s="34"/>
      <c r="AD489" s="34"/>
      <c r="AE489" s="34"/>
      <c r="AF489" s="34"/>
      <c r="AG489" s="34"/>
      <c r="AH489" s="34"/>
      <c r="AI489" s="34"/>
      <c r="AJ489" s="34"/>
      <c r="AK489" s="34"/>
      <c r="AL489" s="34"/>
      <c r="AM489" s="34"/>
      <c r="AN489" s="34"/>
      <c r="AO489" s="34"/>
      <c r="AP489" s="34"/>
      <c r="AQ489" s="34"/>
      <c r="AR489" s="34"/>
      <c r="AS489" s="34"/>
      <c r="AT489" s="34"/>
      <c r="AU489" s="34"/>
    </row>
    <row r="490" spans="3:47" x14ac:dyDescent="0.2">
      <c r="C490" s="34"/>
      <c r="D490" s="34"/>
      <c r="E490" s="34"/>
      <c r="F490" s="34"/>
      <c r="G490" s="34"/>
      <c r="H490" s="34"/>
      <c r="I490" s="34"/>
      <c r="J490" s="34"/>
      <c r="K490" s="34"/>
      <c r="L490" s="34"/>
      <c r="M490" s="34"/>
      <c r="N490" s="34"/>
      <c r="O490" s="34"/>
      <c r="P490" s="34"/>
      <c r="Q490" s="34"/>
      <c r="R490" s="34"/>
      <c r="S490" s="34"/>
      <c r="T490" s="34"/>
      <c r="U490" s="34"/>
      <c r="V490" s="34"/>
      <c r="W490" s="34"/>
      <c r="X490" s="34"/>
      <c r="Y490" s="34"/>
      <c r="Z490" s="34"/>
      <c r="AA490" s="34"/>
      <c r="AB490" s="34"/>
      <c r="AC490" s="34"/>
      <c r="AD490" s="34"/>
      <c r="AE490" s="34"/>
      <c r="AF490" s="34"/>
      <c r="AG490" s="34"/>
      <c r="AH490" s="34"/>
      <c r="AI490" s="34"/>
      <c r="AJ490" s="34"/>
      <c r="AK490" s="34"/>
      <c r="AL490" s="34"/>
      <c r="AM490" s="34"/>
      <c r="AN490" s="34"/>
      <c r="AO490" s="34"/>
      <c r="AP490" s="34"/>
      <c r="AQ490" s="34"/>
      <c r="AR490" s="34"/>
      <c r="AS490" s="34"/>
      <c r="AT490" s="34"/>
      <c r="AU490" s="34"/>
    </row>
    <row r="491" spans="3:47" x14ac:dyDescent="0.2">
      <c r="C491" s="34"/>
      <c r="D491" s="34"/>
      <c r="E491" s="34"/>
      <c r="F491" s="34"/>
      <c r="G491" s="34"/>
      <c r="H491" s="34"/>
      <c r="I491" s="34"/>
      <c r="J491" s="34"/>
      <c r="K491" s="34"/>
      <c r="L491" s="34"/>
      <c r="M491" s="34"/>
      <c r="N491" s="34"/>
      <c r="O491" s="34"/>
      <c r="P491" s="34"/>
      <c r="Q491" s="34"/>
      <c r="R491" s="34"/>
      <c r="S491" s="34"/>
      <c r="T491" s="34"/>
      <c r="U491" s="34"/>
      <c r="V491" s="34"/>
      <c r="W491" s="34"/>
      <c r="X491" s="34"/>
      <c r="Y491" s="34"/>
      <c r="Z491" s="34"/>
      <c r="AA491" s="34"/>
      <c r="AB491" s="34"/>
      <c r="AC491" s="34"/>
      <c r="AD491" s="34"/>
      <c r="AE491" s="34"/>
      <c r="AF491" s="34"/>
      <c r="AG491" s="34"/>
      <c r="AH491" s="34"/>
      <c r="AI491" s="34"/>
      <c r="AJ491" s="34"/>
      <c r="AK491" s="34"/>
      <c r="AL491" s="34"/>
      <c r="AM491" s="34"/>
      <c r="AN491" s="34"/>
      <c r="AO491" s="34"/>
      <c r="AP491" s="34"/>
      <c r="AQ491" s="34"/>
      <c r="AR491" s="34"/>
      <c r="AS491" s="34"/>
      <c r="AT491" s="34"/>
      <c r="AU491" s="34"/>
    </row>
    <row r="492" spans="3:47" x14ac:dyDescent="0.2">
      <c r="C492" s="34"/>
      <c r="D492" s="34"/>
      <c r="E492" s="34"/>
      <c r="F492" s="34"/>
      <c r="G492" s="34"/>
      <c r="H492" s="34"/>
      <c r="I492" s="34"/>
      <c r="J492" s="34"/>
      <c r="K492" s="34"/>
      <c r="L492" s="34"/>
      <c r="M492" s="34"/>
      <c r="N492" s="34"/>
      <c r="O492" s="34"/>
      <c r="P492" s="34"/>
      <c r="Q492" s="34"/>
      <c r="R492" s="34"/>
      <c r="S492" s="34"/>
      <c r="T492" s="34"/>
      <c r="U492" s="34"/>
      <c r="V492" s="34"/>
      <c r="W492" s="34"/>
      <c r="X492" s="34"/>
      <c r="Y492" s="34"/>
      <c r="Z492" s="34"/>
      <c r="AA492" s="34"/>
      <c r="AB492" s="34"/>
      <c r="AC492" s="34"/>
      <c r="AD492" s="34"/>
      <c r="AE492" s="34"/>
      <c r="AF492" s="34"/>
      <c r="AG492" s="34"/>
      <c r="AH492" s="34"/>
      <c r="AI492" s="34"/>
      <c r="AJ492" s="34"/>
      <c r="AK492" s="34"/>
      <c r="AL492" s="34"/>
      <c r="AM492" s="34"/>
      <c r="AN492" s="34"/>
      <c r="AO492" s="34"/>
      <c r="AP492" s="34"/>
      <c r="AQ492" s="34"/>
      <c r="AR492" s="34"/>
      <c r="AS492" s="34"/>
      <c r="AT492" s="34"/>
      <c r="AU492" s="34"/>
    </row>
    <row r="493" spans="3:47" x14ac:dyDescent="0.2">
      <c r="C493" s="34"/>
      <c r="D493" s="34"/>
      <c r="E493" s="34"/>
      <c r="F493" s="34"/>
      <c r="G493" s="34"/>
      <c r="H493" s="34"/>
      <c r="I493" s="34"/>
      <c r="J493" s="34"/>
      <c r="K493" s="34"/>
      <c r="L493" s="34"/>
      <c r="M493" s="34"/>
      <c r="N493" s="34"/>
      <c r="O493" s="34"/>
      <c r="P493" s="34"/>
      <c r="Q493" s="34"/>
      <c r="R493" s="34"/>
      <c r="S493" s="34"/>
      <c r="T493" s="34"/>
      <c r="U493" s="34"/>
      <c r="V493" s="34"/>
      <c r="W493" s="34"/>
      <c r="X493" s="34"/>
      <c r="Y493" s="34"/>
      <c r="Z493" s="34"/>
      <c r="AA493" s="34"/>
      <c r="AB493" s="34"/>
      <c r="AC493" s="34"/>
      <c r="AD493" s="34"/>
      <c r="AE493" s="34"/>
      <c r="AF493" s="34"/>
      <c r="AG493" s="34"/>
      <c r="AH493" s="34"/>
      <c r="AI493" s="34"/>
      <c r="AJ493" s="34"/>
      <c r="AK493" s="34"/>
      <c r="AL493" s="34"/>
      <c r="AM493" s="34"/>
      <c r="AN493" s="34"/>
      <c r="AO493" s="34"/>
      <c r="AP493" s="34"/>
      <c r="AQ493" s="34"/>
      <c r="AR493" s="34"/>
      <c r="AS493" s="34"/>
      <c r="AT493" s="34"/>
      <c r="AU493" s="34"/>
    </row>
    <row r="494" spans="3:47" x14ac:dyDescent="0.2">
      <c r="C494" s="34"/>
      <c r="D494" s="34"/>
      <c r="E494" s="34"/>
      <c r="F494" s="34"/>
      <c r="G494" s="34"/>
      <c r="H494" s="34"/>
      <c r="I494" s="34"/>
      <c r="J494" s="34"/>
      <c r="K494" s="34"/>
      <c r="L494" s="34"/>
      <c r="M494" s="34"/>
      <c r="N494" s="34"/>
      <c r="O494" s="34"/>
      <c r="P494" s="34"/>
      <c r="Q494" s="34"/>
      <c r="R494" s="34"/>
      <c r="S494" s="34"/>
      <c r="T494" s="34"/>
      <c r="U494" s="34"/>
      <c r="V494" s="34"/>
      <c r="W494" s="34"/>
      <c r="X494" s="34"/>
      <c r="Y494" s="34"/>
      <c r="Z494" s="34"/>
      <c r="AA494" s="34"/>
      <c r="AB494" s="34"/>
      <c r="AC494" s="34"/>
      <c r="AD494" s="34"/>
      <c r="AE494" s="34"/>
      <c r="AF494" s="34"/>
      <c r="AG494" s="34"/>
      <c r="AH494" s="34"/>
      <c r="AI494" s="34"/>
      <c r="AJ494" s="34"/>
      <c r="AK494" s="34"/>
      <c r="AL494" s="34"/>
      <c r="AM494" s="34"/>
      <c r="AN494" s="34"/>
      <c r="AO494" s="34"/>
      <c r="AP494" s="34"/>
      <c r="AQ494" s="34"/>
      <c r="AR494" s="34"/>
      <c r="AS494" s="34"/>
      <c r="AT494" s="34"/>
      <c r="AU494" s="34"/>
    </row>
    <row r="495" spans="3:47" x14ac:dyDescent="0.2">
      <c r="C495" s="34"/>
      <c r="D495" s="34"/>
      <c r="E495" s="34"/>
      <c r="F495" s="34"/>
      <c r="G495" s="34"/>
      <c r="H495" s="34"/>
      <c r="I495" s="34"/>
      <c r="J495" s="34"/>
      <c r="K495" s="34"/>
      <c r="L495" s="34"/>
      <c r="M495" s="34"/>
      <c r="N495" s="34"/>
      <c r="O495" s="34"/>
      <c r="P495" s="34"/>
      <c r="Q495" s="34"/>
      <c r="R495" s="34"/>
      <c r="S495" s="34"/>
      <c r="T495" s="34"/>
      <c r="U495" s="34"/>
      <c r="V495" s="34"/>
      <c r="W495" s="34"/>
      <c r="X495" s="34"/>
      <c r="Y495" s="34"/>
      <c r="Z495" s="34"/>
      <c r="AA495" s="34"/>
      <c r="AB495" s="34"/>
      <c r="AC495" s="34"/>
      <c r="AD495" s="34"/>
      <c r="AE495" s="34"/>
      <c r="AF495" s="34"/>
      <c r="AG495" s="34"/>
      <c r="AH495" s="34"/>
      <c r="AI495" s="34"/>
      <c r="AJ495" s="34"/>
      <c r="AK495" s="34"/>
      <c r="AL495" s="34"/>
      <c r="AM495" s="34"/>
      <c r="AN495" s="34"/>
      <c r="AO495" s="34"/>
      <c r="AP495" s="34"/>
      <c r="AQ495" s="34"/>
      <c r="AR495" s="34"/>
      <c r="AS495" s="34"/>
      <c r="AT495" s="34"/>
      <c r="AU495" s="34"/>
    </row>
    <row r="496" spans="3:47" x14ac:dyDescent="0.2">
      <c r="C496" s="34"/>
      <c r="D496" s="34"/>
      <c r="E496" s="34"/>
      <c r="F496" s="34"/>
      <c r="G496" s="34"/>
      <c r="H496" s="34"/>
      <c r="I496" s="34"/>
      <c r="J496" s="34"/>
      <c r="K496" s="34"/>
      <c r="L496" s="34"/>
      <c r="M496" s="34"/>
      <c r="N496" s="34"/>
      <c r="O496" s="34"/>
      <c r="P496" s="34"/>
      <c r="Q496" s="34"/>
      <c r="R496" s="34"/>
      <c r="S496" s="34"/>
      <c r="T496" s="34"/>
      <c r="U496" s="34"/>
      <c r="V496" s="34"/>
      <c r="W496" s="34"/>
      <c r="X496" s="34"/>
      <c r="Y496" s="34"/>
      <c r="Z496" s="34"/>
      <c r="AA496" s="34"/>
      <c r="AB496" s="34"/>
      <c r="AC496" s="34"/>
      <c r="AD496" s="34"/>
      <c r="AE496" s="34"/>
      <c r="AF496" s="34"/>
      <c r="AG496" s="34"/>
      <c r="AH496" s="34"/>
      <c r="AI496" s="34"/>
      <c r="AJ496" s="34"/>
      <c r="AK496" s="34"/>
      <c r="AL496" s="34"/>
      <c r="AM496" s="34"/>
      <c r="AN496" s="34"/>
      <c r="AO496" s="34"/>
      <c r="AP496" s="34"/>
      <c r="AQ496" s="34"/>
      <c r="AR496" s="34"/>
      <c r="AS496" s="34"/>
      <c r="AT496" s="34"/>
      <c r="AU496" s="34"/>
    </row>
    <row r="497" spans="3:47" x14ac:dyDescent="0.2">
      <c r="C497" s="34"/>
      <c r="D497" s="34"/>
      <c r="E497" s="34"/>
      <c r="F497" s="34"/>
      <c r="G497" s="34"/>
      <c r="H497" s="34"/>
      <c r="I497" s="34"/>
      <c r="J497" s="34"/>
      <c r="K497" s="34"/>
      <c r="L497" s="34"/>
      <c r="M497" s="34"/>
      <c r="N497" s="34"/>
      <c r="O497" s="34"/>
      <c r="P497" s="34"/>
      <c r="Q497" s="34"/>
      <c r="R497" s="34"/>
      <c r="S497" s="34"/>
      <c r="T497" s="34"/>
      <c r="U497" s="34"/>
      <c r="V497" s="34"/>
      <c r="W497" s="34"/>
      <c r="X497" s="34"/>
      <c r="Y497" s="34"/>
      <c r="Z497" s="34"/>
      <c r="AA497" s="34"/>
      <c r="AB497" s="34"/>
      <c r="AC497" s="34"/>
      <c r="AD497" s="34"/>
      <c r="AE497" s="34"/>
      <c r="AF497" s="34"/>
      <c r="AG497" s="34"/>
      <c r="AH497" s="34"/>
      <c r="AI497" s="34"/>
      <c r="AJ497" s="34"/>
      <c r="AK497" s="34"/>
      <c r="AL497" s="34"/>
      <c r="AM497" s="34"/>
      <c r="AN497" s="34"/>
      <c r="AO497" s="34"/>
      <c r="AP497" s="34"/>
      <c r="AQ497" s="34"/>
      <c r="AR497" s="34"/>
      <c r="AS497" s="34"/>
      <c r="AT497" s="34"/>
      <c r="AU497" s="34"/>
    </row>
    <row r="498" spans="3:47" x14ac:dyDescent="0.2">
      <c r="C498" s="34"/>
      <c r="D498" s="34"/>
      <c r="E498" s="34"/>
      <c r="F498" s="34"/>
      <c r="G498" s="34"/>
      <c r="H498" s="34"/>
      <c r="I498" s="34"/>
      <c r="J498" s="34"/>
      <c r="K498" s="34"/>
      <c r="L498" s="34"/>
      <c r="M498" s="34"/>
      <c r="N498" s="34"/>
      <c r="O498" s="34"/>
      <c r="P498" s="34"/>
      <c r="Q498" s="34"/>
      <c r="R498" s="34"/>
      <c r="S498" s="34"/>
      <c r="T498" s="34"/>
      <c r="U498" s="34"/>
      <c r="V498" s="34"/>
      <c r="W498" s="34"/>
      <c r="X498" s="34"/>
      <c r="Y498" s="34"/>
      <c r="Z498" s="34"/>
      <c r="AA498" s="34"/>
      <c r="AB498" s="34"/>
      <c r="AC498" s="34"/>
      <c r="AD498" s="34"/>
      <c r="AE498" s="34"/>
      <c r="AF498" s="34"/>
      <c r="AG498" s="34"/>
      <c r="AH498" s="34"/>
      <c r="AI498" s="34"/>
      <c r="AJ498" s="34"/>
      <c r="AK498" s="34"/>
      <c r="AL498" s="34"/>
      <c r="AM498" s="34"/>
      <c r="AN498" s="34"/>
      <c r="AO498" s="34"/>
      <c r="AP498" s="34"/>
      <c r="AQ498" s="34"/>
      <c r="AR498" s="34"/>
      <c r="AS498" s="34"/>
      <c r="AT498" s="34"/>
      <c r="AU498" s="34"/>
    </row>
    <row r="499" spans="3:47" x14ac:dyDescent="0.2">
      <c r="C499" s="34"/>
      <c r="D499" s="34"/>
      <c r="E499" s="34"/>
      <c r="F499" s="34"/>
      <c r="G499" s="34"/>
      <c r="H499" s="34"/>
      <c r="I499" s="34"/>
      <c r="J499" s="34"/>
      <c r="K499" s="34"/>
      <c r="L499" s="34"/>
      <c r="M499" s="34"/>
      <c r="N499" s="34"/>
      <c r="O499" s="34"/>
      <c r="P499" s="34"/>
      <c r="Q499" s="34"/>
      <c r="R499" s="34"/>
      <c r="S499" s="34"/>
      <c r="T499" s="34"/>
      <c r="U499" s="34"/>
      <c r="V499" s="34"/>
      <c r="W499" s="34"/>
      <c r="X499" s="34"/>
      <c r="Y499" s="34"/>
      <c r="Z499" s="34"/>
      <c r="AA499" s="34"/>
      <c r="AB499" s="34"/>
      <c r="AC499" s="34"/>
      <c r="AD499" s="34"/>
      <c r="AE499" s="34"/>
      <c r="AF499" s="34"/>
      <c r="AG499" s="34"/>
      <c r="AH499" s="34"/>
      <c r="AI499" s="34"/>
      <c r="AJ499" s="34"/>
      <c r="AK499" s="34"/>
      <c r="AL499" s="34"/>
      <c r="AM499" s="34"/>
      <c r="AN499" s="34"/>
      <c r="AO499" s="34"/>
      <c r="AP499" s="34"/>
      <c r="AQ499" s="34"/>
      <c r="AR499" s="34"/>
      <c r="AS499" s="34"/>
      <c r="AT499" s="34"/>
      <c r="AU499" s="34"/>
    </row>
    <row r="500" spans="3:47" x14ac:dyDescent="0.2">
      <c r="C500" s="34"/>
      <c r="D500" s="34"/>
      <c r="E500" s="34"/>
      <c r="F500" s="34"/>
      <c r="G500" s="34"/>
      <c r="H500" s="34"/>
      <c r="I500" s="34"/>
      <c r="J500" s="34"/>
      <c r="K500" s="34"/>
      <c r="L500" s="34"/>
      <c r="M500" s="34"/>
      <c r="N500" s="34"/>
      <c r="O500" s="34"/>
      <c r="P500" s="34"/>
      <c r="Q500" s="34"/>
      <c r="R500" s="34"/>
      <c r="S500" s="34"/>
      <c r="T500" s="34"/>
      <c r="U500" s="34"/>
      <c r="V500" s="34"/>
      <c r="W500" s="34"/>
      <c r="X500" s="34"/>
      <c r="Y500" s="34"/>
      <c r="Z500" s="34"/>
      <c r="AA500" s="34"/>
      <c r="AB500" s="34"/>
      <c r="AC500" s="34"/>
      <c r="AD500" s="34"/>
      <c r="AE500" s="34"/>
      <c r="AF500" s="34"/>
      <c r="AG500" s="34"/>
      <c r="AH500" s="34"/>
      <c r="AI500" s="34"/>
      <c r="AJ500" s="34"/>
      <c r="AK500" s="34"/>
      <c r="AL500" s="34"/>
      <c r="AM500" s="34"/>
      <c r="AN500" s="34"/>
      <c r="AO500" s="34"/>
      <c r="AP500" s="34"/>
      <c r="AQ500" s="34"/>
      <c r="AR500" s="34"/>
      <c r="AS500" s="34"/>
      <c r="AT500" s="34"/>
      <c r="AU500" s="34"/>
    </row>
    <row r="501" spans="3:47" x14ac:dyDescent="0.2">
      <c r="C501" s="34"/>
      <c r="D501" s="34"/>
      <c r="E501" s="34"/>
      <c r="F501" s="34"/>
      <c r="G501" s="34"/>
      <c r="H501" s="34"/>
      <c r="I501" s="34"/>
      <c r="J501" s="34"/>
      <c r="K501" s="34"/>
      <c r="L501" s="34"/>
      <c r="M501" s="34"/>
      <c r="N501" s="34"/>
      <c r="O501" s="34"/>
      <c r="P501" s="34"/>
      <c r="Q501" s="34"/>
      <c r="R501" s="34"/>
      <c r="S501" s="34"/>
      <c r="T501" s="34"/>
      <c r="U501" s="34"/>
      <c r="V501" s="34"/>
      <c r="W501" s="34"/>
      <c r="X501" s="34"/>
      <c r="Y501" s="34"/>
      <c r="Z501" s="34"/>
      <c r="AA501" s="34"/>
      <c r="AB501" s="34"/>
      <c r="AC501" s="34"/>
      <c r="AD501" s="34"/>
      <c r="AE501" s="34"/>
      <c r="AF501" s="34"/>
      <c r="AG501" s="34"/>
      <c r="AH501" s="34"/>
      <c r="AI501" s="34"/>
      <c r="AJ501" s="34"/>
      <c r="AK501" s="34"/>
      <c r="AL501" s="34"/>
      <c r="AM501" s="34"/>
      <c r="AN501" s="34"/>
      <c r="AO501" s="34"/>
      <c r="AP501" s="34"/>
      <c r="AQ501" s="34"/>
      <c r="AR501" s="34"/>
      <c r="AS501" s="34"/>
      <c r="AT501" s="34"/>
      <c r="AU501" s="34"/>
    </row>
    <row r="502" spans="3:47" x14ac:dyDescent="0.2">
      <c r="C502" s="34"/>
      <c r="D502" s="34"/>
      <c r="E502" s="34"/>
      <c r="F502" s="34"/>
      <c r="G502" s="34"/>
      <c r="H502" s="34"/>
      <c r="I502" s="34"/>
      <c r="J502" s="34"/>
      <c r="K502" s="34"/>
      <c r="L502" s="34"/>
      <c r="M502" s="34"/>
      <c r="N502" s="34"/>
      <c r="O502" s="34"/>
      <c r="P502" s="34"/>
      <c r="Q502" s="34"/>
      <c r="R502" s="34"/>
      <c r="S502" s="34"/>
      <c r="T502" s="34"/>
      <c r="U502" s="34"/>
      <c r="V502" s="34"/>
      <c r="W502" s="34"/>
      <c r="X502" s="34"/>
      <c r="Y502" s="34"/>
      <c r="Z502" s="34"/>
      <c r="AA502" s="34"/>
      <c r="AB502" s="34"/>
      <c r="AC502" s="34"/>
      <c r="AD502" s="34"/>
      <c r="AE502" s="34"/>
      <c r="AF502" s="34"/>
      <c r="AG502" s="34"/>
      <c r="AH502" s="34"/>
      <c r="AI502" s="34"/>
      <c r="AJ502" s="34"/>
      <c r="AK502" s="34"/>
      <c r="AL502" s="34"/>
      <c r="AM502" s="34"/>
      <c r="AN502" s="34"/>
      <c r="AO502" s="34"/>
      <c r="AP502" s="34"/>
      <c r="AQ502" s="34"/>
      <c r="AR502" s="34"/>
      <c r="AS502" s="34"/>
      <c r="AT502" s="34"/>
      <c r="AU502" s="34"/>
    </row>
    <row r="503" spans="3:47" x14ac:dyDescent="0.2">
      <c r="C503" s="34"/>
      <c r="D503" s="34"/>
      <c r="E503" s="34"/>
      <c r="F503" s="34"/>
      <c r="G503" s="34"/>
      <c r="H503" s="34"/>
      <c r="I503" s="34"/>
      <c r="J503" s="34"/>
      <c r="K503" s="34"/>
      <c r="L503" s="34"/>
      <c r="M503" s="34"/>
      <c r="N503" s="34"/>
      <c r="O503" s="34"/>
      <c r="P503" s="34"/>
      <c r="Q503" s="34"/>
      <c r="R503" s="34"/>
      <c r="S503" s="34"/>
      <c r="T503" s="34"/>
      <c r="U503" s="34"/>
      <c r="V503" s="34"/>
      <c r="W503" s="34"/>
      <c r="X503" s="34"/>
      <c r="Y503" s="34"/>
      <c r="Z503" s="34"/>
      <c r="AA503" s="34"/>
      <c r="AB503" s="34"/>
      <c r="AC503" s="34"/>
      <c r="AD503" s="34"/>
      <c r="AE503" s="34"/>
      <c r="AF503" s="34"/>
      <c r="AG503" s="34"/>
      <c r="AH503" s="34"/>
      <c r="AI503" s="34"/>
      <c r="AJ503" s="34"/>
      <c r="AK503" s="34"/>
      <c r="AL503" s="34"/>
      <c r="AM503" s="34"/>
      <c r="AN503" s="34"/>
      <c r="AO503" s="34"/>
      <c r="AP503" s="34"/>
      <c r="AQ503" s="34"/>
      <c r="AR503" s="34"/>
      <c r="AS503" s="34"/>
      <c r="AT503" s="34"/>
      <c r="AU503" s="34"/>
    </row>
    <row r="504" spans="3:47" x14ac:dyDescent="0.2">
      <c r="C504" s="34"/>
      <c r="D504" s="34"/>
      <c r="E504" s="34"/>
      <c r="F504" s="34"/>
      <c r="G504" s="34"/>
      <c r="H504" s="34"/>
      <c r="I504" s="34"/>
      <c r="J504" s="34"/>
      <c r="K504" s="34"/>
      <c r="L504" s="34"/>
      <c r="M504" s="34"/>
      <c r="N504" s="34"/>
      <c r="O504" s="34"/>
      <c r="P504" s="34"/>
      <c r="Q504" s="34"/>
      <c r="R504" s="34"/>
      <c r="S504" s="34"/>
      <c r="T504" s="34"/>
      <c r="U504" s="34"/>
      <c r="V504" s="34"/>
      <c r="W504" s="34"/>
      <c r="X504" s="34"/>
      <c r="Y504" s="34"/>
      <c r="Z504" s="34"/>
      <c r="AA504" s="34"/>
      <c r="AB504" s="34"/>
      <c r="AC504" s="34"/>
      <c r="AD504" s="34"/>
      <c r="AE504" s="34"/>
      <c r="AF504" s="34"/>
      <c r="AG504" s="34"/>
      <c r="AH504" s="34"/>
      <c r="AI504" s="34"/>
      <c r="AJ504" s="34"/>
      <c r="AK504" s="34"/>
      <c r="AL504" s="34"/>
      <c r="AM504" s="34"/>
      <c r="AN504" s="34"/>
      <c r="AO504" s="34"/>
      <c r="AP504" s="34"/>
      <c r="AQ504" s="34"/>
      <c r="AR504" s="34"/>
      <c r="AS504" s="34"/>
      <c r="AT504" s="34"/>
      <c r="AU504" s="34"/>
    </row>
    <row r="505" spans="3:47" x14ac:dyDescent="0.2">
      <c r="C505" s="34"/>
      <c r="D505" s="34"/>
      <c r="E505" s="34"/>
      <c r="F505" s="34"/>
      <c r="G505" s="34"/>
      <c r="H505" s="34"/>
      <c r="I505" s="34"/>
      <c r="J505" s="34"/>
      <c r="K505" s="34"/>
      <c r="L505" s="34"/>
      <c r="M505" s="34"/>
      <c r="N505" s="34"/>
      <c r="O505" s="34"/>
      <c r="P505" s="34"/>
      <c r="Q505" s="34"/>
      <c r="R505" s="34"/>
      <c r="S505" s="34"/>
      <c r="T505" s="34"/>
      <c r="U505" s="34"/>
      <c r="V505" s="34"/>
      <c r="W505" s="34"/>
      <c r="X505" s="34"/>
      <c r="Y505" s="34"/>
      <c r="Z505" s="34"/>
      <c r="AA505" s="34"/>
      <c r="AB505" s="34"/>
      <c r="AC505" s="34"/>
      <c r="AD505" s="34"/>
      <c r="AE505" s="34"/>
      <c r="AF505" s="34"/>
      <c r="AG505" s="34"/>
      <c r="AH505" s="34"/>
      <c r="AI505" s="34"/>
      <c r="AJ505" s="34"/>
      <c r="AK505" s="34"/>
      <c r="AL505" s="34"/>
      <c r="AM505" s="34"/>
      <c r="AN505" s="34"/>
      <c r="AO505" s="34"/>
      <c r="AP505" s="34"/>
      <c r="AQ505" s="34"/>
      <c r="AR505" s="34"/>
      <c r="AS505" s="34"/>
      <c r="AT505" s="34"/>
      <c r="AU505" s="34"/>
    </row>
    <row r="506" spans="3:47" x14ac:dyDescent="0.2">
      <c r="C506" s="34"/>
      <c r="D506" s="34"/>
      <c r="E506" s="34"/>
      <c r="F506" s="34"/>
      <c r="G506" s="34"/>
      <c r="H506" s="34"/>
      <c r="I506" s="34"/>
      <c r="J506" s="34"/>
      <c r="K506" s="34"/>
      <c r="L506" s="34"/>
      <c r="M506" s="34"/>
      <c r="N506" s="34"/>
      <c r="O506" s="34"/>
      <c r="P506" s="34"/>
      <c r="Q506" s="34"/>
      <c r="R506" s="34"/>
      <c r="S506" s="34"/>
      <c r="T506" s="34"/>
      <c r="U506" s="34"/>
      <c r="V506" s="34"/>
      <c r="W506" s="34"/>
      <c r="X506" s="34"/>
      <c r="Y506" s="34"/>
      <c r="Z506" s="34"/>
      <c r="AA506" s="34"/>
      <c r="AB506" s="34"/>
      <c r="AC506" s="34"/>
      <c r="AD506" s="34"/>
      <c r="AE506" s="34"/>
      <c r="AF506" s="34"/>
      <c r="AG506" s="34"/>
      <c r="AH506" s="34"/>
      <c r="AI506" s="34"/>
      <c r="AJ506" s="34"/>
      <c r="AK506" s="34"/>
      <c r="AL506" s="34"/>
      <c r="AM506" s="34"/>
      <c r="AN506" s="34"/>
      <c r="AO506" s="34"/>
      <c r="AP506" s="34"/>
      <c r="AQ506" s="34"/>
      <c r="AR506" s="34"/>
      <c r="AS506" s="34"/>
      <c r="AT506" s="34"/>
      <c r="AU506" s="34"/>
    </row>
    <row r="507" spans="3:47" x14ac:dyDescent="0.2">
      <c r="C507" s="34"/>
      <c r="D507" s="34"/>
      <c r="E507" s="34"/>
      <c r="F507" s="34"/>
      <c r="G507" s="34"/>
      <c r="H507" s="34"/>
      <c r="I507" s="34"/>
      <c r="J507" s="34"/>
      <c r="K507" s="34"/>
      <c r="L507" s="34"/>
      <c r="M507" s="34"/>
      <c r="N507" s="34"/>
      <c r="O507" s="34"/>
      <c r="P507" s="34"/>
      <c r="Q507" s="34"/>
      <c r="R507" s="34"/>
      <c r="S507" s="34"/>
      <c r="T507" s="34"/>
      <c r="U507" s="34"/>
      <c r="V507" s="34"/>
      <c r="W507" s="34"/>
      <c r="X507" s="34"/>
      <c r="Y507" s="34"/>
      <c r="Z507" s="34"/>
      <c r="AA507" s="34"/>
      <c r="AB507" s="34"/>
      <c r="AC507" s="34"/>
      <c r="AD507" s="34"/>
      <c r="AE507" s="34"/>
      <c r="AF507" s="34"/>
      <c r="AG507" s="34"/>
      <c r="AH507" s="34"/>
      <c r="AI507" s="34"/>
      <c r="AJ507" s="34"/>
      <c r="AK507" s="34"/>
      <c r="AL507" s="34"/>
      <c r="AM507" s="34"/>
      <c r="AN507" s="34"/>
      <c r="AO507" s="34"/>
      <c r="AP507" s="34"/>
      <c r="AQ507" s="34"/>
      <c r="AR507" s="34"/>
      <c r="AS507" s="34"/>
      <c r="AT507" s="34"/>
      <c r="AU507" s="34"/>
    </row>
    <row r="508" spans="3:47" x14ac:dyDescent="0.2">
      <c r="C508" s="34"/>
      <c r="D508" s="34"/>
      <c r="E508" s="34"/>
      <c r="F508" s="34"/>
      <c r="G508" s="34"/>
      <c r="H508" s="34"/>
      <c r="I508" s="34"/>
      <c r="J508" s="34"/>
      <c r="K508" s="34"/>
      <c r="L508" s="34"/>
      <c r="M508" s="34"/>
      <c r="N508" s="34"/>
      <c r="O508" s="34"/>
      <c r="P508" s="34"/>
      <c r="Q508" s="34"/>
      <c r="R508" s="34"/>
      <c r="S508" s="34"/>
      <c r="T508" s="34"/>
      <c r="U508" s="34"/>
      <c r="V508" s="34"/>
      <c r="W508" s="34"/>
      <c r="X508" s="34"/>
      <c r="Y508" s="34"/>
      <c r="Z508" s="34"/>
      <c r="AA508" s="34"/>
      <c r="AB508" s="34"/>
      <c r="AC508" s="34"/>
      <c r="AD508" s="34"/>
      <c r="AE508" s="34"/>
      <c r="AF508" s="34"/>
      <c r="AG508" s="34"/>
      <c r="AH508" s="34"/>
      <c r="AI508" s="34"/>
      <c r="AJ508" s="34"/>
      <c r="AK508" s="34"/>
      <c r="AL508" s="34"/>
      <c r="AM508" s="34"/>
      <c r="AN508" s="34"/>
      <c r="AO508" s="34"/>
      <c r="AP508" s="34"/>
      <c r="AQ508" s="34"/>
      <c r="AR508" s="34"/>
      <c r="AS508" s="34"/>
      <c r="AT508" s="34"/>
      <c r="AU508" s="34"/>
    </row>
    <row r="509" spans="3:47" x14ac:dyDescent="0.2">
      <c r="C509" s="34"/>
      <c r="D509" s="34"/>
      <c r="E509" s="34"/>
      <c r="F509" s="34"/>
      <c r="G509" s="34"/>
      <c r="H509" s="34"/>
      <c r="I509" s="34"/>
      <c r="J509" s="34"/>
      <c r="K509" s="34"/>
      <c r="L509" s="34"/>
      <c r="M509" s="34"/>
      <c r="N509" s="34"/>
      <c r="O509" s="34"/>
      <c r="P509" s="34"/>
      <c r="Q509" s="34"/>
      <c r="R509" s="34"/>
      <c r="S509" s="34"/>
      <c r="T509" s="34"/>
      <c r="U509" s="34"/>
      <c r="V509" s="34"/>
      <c r="W509" s="34"/>
      <c r="X509" s="34"/>
      <c r="Y509" s="34"/>
      <c r="Z509" s="34"/>
      <c r="AA509" s="34"/>
      <c r="AB509" s="34"/>
      <c r="AC509" s="34"/>
      <c r="AD509" s="34"/>
      <c r="AE509" s="34"/>
      <c r="AF509" s="34"/>
      <c r="AG509" s="34"/>
      <c r="AH509" s="34"/>
      <c r="AI509" s="34"/>
      <c r="AJ509" s="34"/>
      <c r="AK509" s="34"/>
      <c r="AL509" s="34"/>
      <c r="AM509" s="34"/>
      <c r="AN509" s="34"/>
      <c r="AO509" s="34"/>
      <c r="AP509" s="34"/>
      <c r="AQ509" s="34"/>
      <c r="AR509" s="34"/>
      <c r="AS509" s="34"/>
      <c r="AT509" s="34"/>
      <c r="AU509" s="34"/>
    </row>
    <row r="510" spans="3:47" x14ac:dyDescent="0.2">
      <c r="C510" s="34"/>
      <c r="D510" s="34"/>
      <c r="E510" s="34"/>
      <c r="F510" s="34"/>
      <c r="G510" s="34"/>
      <c r="H510" s="34"/>
      <c r="I510" s="34"/>
      <c r="J510" s="34"/>
      <c r="K510" s="34"/>
      <c r="L510" s="34"/>
      <c r="M510" s="34"/>
      <c r="N510" s="34"/>
      <c r="O510" s="34"/>
      <c r="P510" s="34"/>
      <c r="Q510" s="34"/>
      <c r="R510" s="34"/>
      <c r="S510" s="34"/>
      <c r="T510" s="34"/>
      <c r="U510" s="34"/>
      <c r="V510" s="34"/>
      <c r="W510" s="34"/>
      <c r="X510" s="34"/>
      <c r="Y510" s="34"/>
      <c r="Z510" s="34"/>
      <c r="AA510" s="34"/>
      <c r="AB510" s="34"/>
      <c r="AC510" s="34"/>
      <c r="AD510" s="34"/>
      <c r="AE510" s="34"/>
      <c r="AF510" s="34"/>
      <c r="AG510" s="34"/>
      <c r="AH510" s="34"/>
      <c r="AI510" s="34"/>
      <c r="AJ510" s="34"/>
      <c r="AK510" s="34"/>
      <c r="AL510" s="34"/>
      <c r="AM510" s="34"/>
      <c r="AN510" s="34"/>
      <c r="AO510" s="34"/>
      <c r="AP510" s="34"/>
      <c r="AQ510" s="34"/>
      <c r="AR510" s="34"/>
      <c r="AS510" s="34"/>
      <c r="AT510" s="34"/>
      <c r="AU510" s="34"/>
    </row>
    <row r="511" spans="3:47" x14ac:dyDescent="0.2">
      <c r="C511" s="34"/>
      <c r="D511" s="34"/>
      <c r="E511" s="34"/>
      <c r="F511" s="34"/>
      <c r="G511" s="34"/>
      <c r="H511" s="34"/>
      <c r="I511" s="34"/>
      <c r="J511" s="34"/>
      <c r="K511" s="34"/>
      <c r="L511" s="34"/>
      <c r="M511" s="34"/>
      <c r="N511" s="34"/>
      <c r="O511" s="34"/>
      <c r="P511" s="34"/>
      <c r="Q511" s="34"/>
      <c r="R511" s="34"/>
      <c r="S511" s="34"/>
      <c r="T511" s="34"/>
      <c r="U511" s="34"/>
      <c r="V511" s="34"/>
      <c r="W511" s="34"/>
      <c r="X511" s="34"/>
      <c r="Y511" s="34"/>
      <c r="Z511" s="34"/>
      <c r="AA511" s="34"/>
      <c r="AB511" s="34"/>
      <c r="AC511" s="34"/>
      <c r="AD511" s="34"/>
      <c r="AE511" s="34"/>
      <c r="AF511" s="34"/>
      <c r="AG511" s="34"/>
      <c r="AH511" s="34"/>
      <c r="AI511" s="34"/>
      <c r="AJ511" s="34"/>
      <c r="AK511" s="34"/>
      <c r="AL511" s="34"/>
      <c r="AM511" s="34"/>
      <c r="AN511" s="34"/>
      <c r="AO511" s="34"/>
      <c r="AP511" s="34"/>
      <c r="AQ511" s="34"/>
      <c r="AR511" s="34"/>
      <c r="AS511" s="34"/>
      <c r="AT511" s="34"/>
      <c r="AU511" s="34"/>
    </row>
    <row r="512" spans="3:47" x14ac:dyDescent="0.2">
      <c r="C512" s="34"/>
      <c r="D512" s="34"/>
      <c r="E512" s="34"/>
      <c r="F512" s="34"/>
      <c r="G512" s="34"/>
      <c r="H512" s="34"/>
      <c r="I512" s="34"/>
      <c r="J512" s="34"/>
      <c r="K512" s="34"/>
      <c r="L512" s="34"/>
      <c r="M512" s="34"/>
      <c r="N512" s="34"/>
      <c r="O512" s="34"/>
      <c r="P512" s="34"/>
      <c r="Q512" s="34"/>
      <c r="R512" s="34"/>
      <c r="S512" s="34"/>
      <c r="T512" s="34"/>
      <c r="U512" s="34"/>
      <c r="V512" s="34"/>
      <c r="W512" s="34"/>
      <c r="X512" s="34"/>
      <c r="Y512" s="34"/>
      <c r="Z512" s="34"/>
      <c r="AA512" s="34"/>
      <c r="AB512" s="34"/>
      <c r="AC512" s="34"/>
      <c r="AD512" s="34"/>
      <c r="AE512" s="34"/>
      <c r="AF512" s="34"/>
      <c r="AG512" s="34"/>
      <c r="AH512" s="34"/>
      <c r="AI512" s="34"/>
      <c r="AJ512" s="34"/>
      <c r="AK512" s="34"/>
      <c r="AL512" s="34"/>
      <c r="AM512" s="34"/>
      <c r="AN512" s="34"/>
      <c r="AO512" s="34"/>
      <c r="AP512" s="34"/>
      <c r="AQ512" s="34"/>
      <c r="AR512" s="34"/>
      <c r="AS512" s="34"/>
      <c r="AT512" s="34"/>
      <c r="AU512" s="34"/>
    </row>
    <row r="513" spans="3:47" x14ac:dyDescent="0.2">
      <c r="C513" s="34"/>
      <c r="D513" s="34"/>
      <c r="E513" s="34"/>
      <c r="F513" s="34"/>
      <c r="G513" s="34"/>
      <c r="H513" s="34"/>
      <c r="I513" s="34"/>
      <c r="J513" s="34"/>
      <c r="K513" s="34"/>
      <c r="L513" s="34"/>
      <c r="M513" s="34"/>
      <c r="N513" s="34"/>
      <c r="O513" s="34"/>
      <c r="P513" s="34"/>
      <c r="Q513" s="34"/>
      <c r="R513" s="34"/>
      <c r="S513" s="34"/>
      <c r="T513" s="34"/>
      <c r="U513" s="34"/>
      <c r="V513" s="34"/>
      <c r="W513" s="34"/>
      <c r="X513" s="34"/>
      <c r="Y513" s="34"/>
      <c r="Z513" s="34"/>
      <c r="AA513" s="34"/>
      <c r="AB513" s="34"/>
      <c r="AC513" s="34"/>
      <c r="AD513" s="34"/>
      <c r="AE513" s="34"/>
      <c r="AF513" s="34"/>
      <c r="AG513" s="34"/>
      <c r="AH513" s="34"/>
      <c r="AI513" s="34"/>
      <c r="AJ513" s="34"/>
      <c r="AK513" s="34"/>
      <c r="AL513" s="34"/>
      <c r="AM513" s="34"/>
      <c r="AN513" s="34"/>
      <c r="AO513" s="34"/>
      <c r="AP513" s="34"/>
      <c r="AQ513" s="34"/>
      <c r="AR513" s="34"/>
      <c r="AS513" s="34"/>
      <c r="AT513" s="34"/>
      <c r="AU513" s="34"/>
    </row>
    <row r="514" spans="3:47" x14ac:dyDescent="0.2">
      <c r="C514" s="34"/>
      <c r="D514" s="34"/>
      <c r="E514" s="34"/>
      <c r="F514" s="34"/>
      <c r="G514" s="34"/>
      <c r="H514" s="34"/>
      <c r="I514" s="34"/>
      <c r="J514" s="34"/>
      <c r="K514" s="34"/>
      <c r="L514" s="34"/>
      <c r="M514" s="34"/>
      <c r="N514" s="34"/>
      <c r="O514" s="34"/>
      <c r="P514" s="34"/>
      <c r="Q514" s="34"/>
      <c r="R514" s="34"/>
      <c r="S514" s="34"/>
      <c r="T514" s="34"/>
      <c r="U514" s="34"/>
      <c r="V514" s="34"/>
      <c r="W514" s="34"/>
      <c r="X514" s="34"/>
      <c r="Y514" s="34"/>
      <c r="Z514" s="34"/>
      <c r="AA514" s="34"/>
      <c r="AB514" s="34"/>
      <c r="AC514" s="34"/>
      <c r="AD514" s="34"/>
      <c r="AE514" s="34"/>
      <c r="AF514" s="34"/>
      <c r="AG514" s="34"/>
      <c r="AH514" s="34"/>
      <c r="AI514" s="34"/>
      <c r="AJ514" s="34"/>
      <c r="AK514" s="34"/>
      <c r="AL514" s="34"/>
      <c r="AM514" s="34"/>
      <c r="AN514" s="34"/>
      <c r="AO514" s="34"/>
      <c r="AP514" s="34"/>
      <c r="AQ514" s="34"/>
      <c r="AR514" s="34"/>
      <c r="AS514" s="34"/>
      <c r="AT514" s="34"/>
      <c r="AU514" s="34"/>
    </row>
    <row r="515" spans="3:47" x14ac:dyDescent="0.2">
      <c r="C515" s="34"/>
      <c r="D515" s="34"/>
      <c r="E515" s="34"/>
      <c r="F515" s="34"/>
      <c r="G515" s="34"/>
      <c r="H515" s="34"/>
      <c r="I515" s="34"/>
      <c r="J515" s="34"/>
      <c r="K515" s="34"/>
      <c r="L515" s="34"/>
      <c r="M515" s="34"/>
      <c r="N515" s="34"/>
      <c r="O515" s="34"/>
      <c r="P515" s="34"/>
      <c r="Q515" s="34"/>
      <c r="R515" s="34"/>
      <c r="S515" s="34"/>
      <c r="T515" s="34"/>
      <c r="U515" s="34"/>
      <c r="V515" s="34"/>
      <c r="W515" s="34"/>
      <c r="X515" s="34"/>
      <c r="Y515" s="34"/>
      <c r="Z515" s="34"/>
      <c r="AA515" s="34"/>
      <c r="AB515" s="34"/>
      <c r="AC515" s="34"/>
      <c r="AD515" s="34"/>
      <c r="AE515" s="34"/>
      <c r="AF515" s="34"/>
      <c r="AG515" s="34"/>
      <c r="AH515" s="34"/>
      <c r="AI515" s="34"/>
      <c r="AJ515" s="34"/>
      <c r="AK515" s="34"/>
      <c r="AL515" s="34"/>
      <c r="AM515" s="34"/>
      <c r="AN515" s="34"/>
      <c r="AO515" s="34"/>
      <c r="AP515" s="34"/>
      <c r="AQ515" s="34"/>
      <c r="AR515" s="34"/>
      <c r="AS515" s="34"/>
      <c r="AT515" s="34"/>
      <c r="AU515" s="34"/>
    </row>
    <row r="516" spans="3:47" x14ac:dyDescent="0.2">
      <c r="C516" s="34"/>
      <c r="D516" s="34"/>
      <c r="E516" s="34"/>
      <c r="F516" s="34"/>
      <c r="G516" s="34"/>
      <c r="H516" s="34"/>
      <c r="I516" s="34"/>
      <c r="J516" s="34"/>
      <c r="K516" s="34"/>
      <c r="L516" s="34"/>
      <c r="M516" s="34"/>
      <c r="N516" s="34"/>
      <c r="O516" s="34"/>
      <c r="P516" s="34"/>
      <c r="Q516" s="34"/>
      <c r="R516" s="34"/>
      <c r="S516" s="34"/>
      <c r="T516" s="34"/>
      <c r="U516" s="34"/>
      <c r="V516" s="34"/>
      <c r="W516" s="34"/>
      <c r="X516" s="34"/>
      <c r="Y516" s="34"/>
      <c r="Z516" s="34"/>
      <c r="AA516" s="34"/>
      <c r="AB516" s="34"/>
      <c r="AC516" s="34"/>
      <c r="AD516" s="34"/>
      <c r="AE516" s="34"/>
      <c r="AF516" s="34"/>
      <c r="AG516" s="34"/>
      <c r="AH516" s="34"/>
      <c r="AI516" s="34"/>
      <c r="AJ516" s="34"/>
      <c r="AK516" s="34"/>
      <c r="AL516" s="34"/>
      <c r="AM516" s="34"/>
      <c r="AN516" s="34"/>
      <c r="AO516" s="34"/>
      <c r="AP516" s="34"/>
      <c r="AQ516" s="34"/>
      <c r="AR516" s="34"/>
      <c r="AS516" s="34"/>
      <c r="AT516" s="34"/>
      <c r="AU516" s="34"/>
    </row>
    <row r="517" spans="3:47" x14ac:dyDescent="0.2">
      <c r="C517" s="34"/>
      <c r="D517" s="34"/>
      <c r="E517" s="34"/>
      <c r="F517" s="34"/>
      <c r="G517" s="34"/>
      <c r="H517" s="34"/>
      <c r="I517" s="34"/>
      <c r="J517" s="34"/>
      <c r="K517" s="34"/>
      <c r="L517" s="34"/>
      <c r="M517" s="34"/>
      <c r="N517" s="34"/>
      <c r="O517" s="34"/>
      <c r="P517" s="34"/>
      <c r="Q517" s="34"/>
      <c r="R517" s="34"/>
      <c r="S517" s="34"/>
      <c r="T517" s="34"/>
      <c r="U517" s="34"/>
      <c r="V517" s="34"/>
      <c r="W517" s="34"/>
      <c r="X517" s="34"/>
      <c r="Y517" s="34"/>
      <c r="Z517" s="34"/>
      <c r="AA517" s="34"/>
      <c r="AB517" s="34"/>
      <c r="AC517" s="34"/>
      <c r="AD517" s="34"/>
      <c r="AE517" s="34"/>
      <c r="AF517" s="34"/>
      <c r="AG517" s="34"/>
      <c r="AH517" s="34"/>
      <c r="AI517" s="34"/>
      <c r="AJ517" s="34"/>
      <c r="AK517" s="34"/>
      <c r="AL517" s="34"/>
      <c r="AM517" s="34"/>
      <c r="AN517" s="34"/>
      <c r="AO517" s="34"/>
      <c r="AP517" s="34"/>
      <c r="AQ517" s="34"/>
      <c r="AR517" s="34"/>
      <c r="AS517" s="34"/>
      <c r="AT517" s="34"/>
      <c r="AU517" s="34"/>
    </row>
    <row r="518" spans="3:47" x14ac:dyDescent="0.2">
      <c r="C518" s="34"/>
      <c r="D518" s="34"/>
      <c r="E518" s="34"/>
      <c r="F518" s="34"/>
      <c r="G518" s="34"/>
      <c r="H518" s="34"/>
      <c r="I518" s="34"/>
      <c r="J518" s="34"/>
      <c r="K518" s="34"/>
      <c r="L518" s="34"/>
      <c r="M518" s="34"/>
      <c r="N518" s="34"/>
      <c r="O518" s="34"/>
      <c r="P518" s="34"/>
      <c r="Q518" s="34"/>
      <c r="R518" s="34"/>
      <c r="S518" s="34"/>
      <c r="T518" s="34"/>
      <c r="U518" s="34"/>
      <c r="V518" s="34"/>
      <c r="W518" s="34"/>
      <c r="X518" s="34"/>
      <c r="Y518" s="34"/>
      <c r="Z518" s="34"/>
      <c r="AA518" s="34"/>
      <c r="AB518" s="34"/>
      <c r="AC518" s="34"/>
      <c r="AD518" s="34"/>
      <c r="AE518" s="34"/>
      <c r="AF518" s="34"/>
      <c r="AG518" s="34"/>
      <c r="AH518" s="34"/>
      <c r="AI518" s="34"/>
      <c r="AJ518" s="34"/>
      <c r="AK518" s="34"/>
      <c r="AL518" s="34"/>
      <c r="AM518" s="34"/>
      <c r="AN518" s="34"/>
      <c r="AO518" s="34"/>
      <c r="AP518" s="34"/>
      <c r="AQ518" s="34"/>
      <c r="AR518" s="34"/>
      <c r="AS518" s="34"/>
      <c r="AT518" s="34"/>
      <c r="AU518" s="34"/>
    </row>
    <row r="519" spans="3:47" x14ac:dyDescent="0.2">
      <c r="C519" s="34"/>
      <c r="D519" s="34"/>
      <c r="E519" s="34"/>
      <c r="F519" s="34"/>
      <c r="G519" s="34"/>
      <c r="H519" s="34"/>
      <c r="I519" s="34"/>
      <c r="J519" s="34"/>
      <c r="K519" s="34"/>
      <c r="L519" s="34"/>
      <c r="M519" s="34"/>
      <c r="N519" s="34"/>
      <c r="O519" s="34"/>
      <c r="P519" s="34"/>
      <c r="Q519" s="34"/>
      <c r="R519" s="34"/>
      <c r="S519" s="34"/>
      <c r="T519" s="34"/>
      <c r="U519" s="34"/>
      <c r="V519" s="34"/>
      <c r="W519" s="34"/>
      <c r="X519" s="34"/>
      <c r="Y519" s="34"/>
      <c r="Z519" s="34"/>
      <c r="AA519" s="34"/>
      <c r="AB519" s="34"/>
      <c r="AC519" s="34"/>
      <c r="AD519" s="34"/>
      <c r="AE519" s="34"/>
      <c r="AF519" s="34"/>
      <c r="AG519" s="34"/>
      <c r="AH519" s="34"/>
      <c r="AI519" s="34"/>
      <c r="AJ519" s="34"/>
      <c r="AK519" s="34"/>
      <c r="AL519" s="34"/>
      <c r="AM519" s="34"/>
      <c r="AN519" s="34"/>
      <c r="AO519" s="34"/>
      <c r="AP519" s="34"/>
      <c r="AQ519" s="34"/>
      <c r="AR519" s="34"/>
      <c r="AS519" s="34"/>
      <c r="AT519" s="34"/>
      <c r="AU519" s="34"/>
    </row>
    <row r="520" spans="3:47" x14ac:dyDescent="0.2">
      <c r="C520" s="34"/>
      <c r="D520" s="34"/>
      <c r="E520" s="34"/>
      <c r="F520" s="34"/>
      <c r="G520" s="34"/>
      <c r="H520" s="34"/>
      <c r="I520" s="34"/>
      <c r="J520" s="34"/>
      <c r="K520" s="34"/>
      <c r="L520" s="34"/>
      <c r="M520" s="34"/>
      <c r="N520" s="34"/>
      <c r="O520" s="34"/>
      <c r="P520" s="34"/>
      <c r="Q520" s="34"/>
      <c r="R520" s="34"/>
      <c r="S520" s="34"/>
      <c r="T520" s="34"/>
      <c r="U520" s="34"/>
      <c r="V520" s="34"/>
      <c r="W520" s="34"/>
      <c r="X520" s="34"/>
      <c r="Y520" s="34"/>
      <c r="Z520" s="34"/>
      <c r="AA520" s="34"/>
      <c r="AB520" s="34"/>
      <c r="AC520" s="34"/>
      <c r="AD520" s="34"/>
      <c r="AE520" s="34"/>
      <c r="AF520" s="34"/>
      <c r="AG520" s="34"/>
      <c r="AH520" s="34"/>
      <c r="AI520" s="34"/>
      <c r="AJ520" s="34"/>
      <c r="AK520" s="34"/>
      <c r="AL520" s="34"/>
      <c r="AM520" s="34"/>
      <c r="AN520" s="34"/>
      <c r="AO520" s="34"/>
      <c r="AP520" s="34"/>
      <c r="AQ520" s="34"/>
      <c r="AR520" s="34"/>
      <c r="AS520" s="34"/>
      <c r="AT520" s="34"/>
      <c r="AU520" s="34"/>
    </row>
    <row r="521" spans="3:47" x14ac:dyDescent="0.2">
      <c r="C521" s="34"/>
      <c r="D521" s="34"/>
      <c r="E521" s="34"/>
      <c r="F521" s="34"/>
      <c r="G521" s="34"/>
      <c r="H521" s="34"/>
      <c r="I521" s="34"/>
      <c r="J521" s="34"/>
      <c r="K521" s="34"/>
      <c r="L521" s="34"/>
      <c r="M521" s="34"/>
      <c r="N521" s="34"/>
      <c r="O521" s="34"/>
      <c r="P521" s="34"/>
      <c r="Q521" s="34"/>
      <c r="R521" s="34"/>
      <c r="S521" s="34"/>
      <c r="T521" s="34"/>
      <c r="U521" s="34"/>
      <c r="V521" s="34"/>
      <c r="W521" s="34"/>
      <c r="X521" s="34"/>
      <c r="Y521" s="34"/>
      <c r="Z521" s="34"/>
      <c r="AA521" s="34"/>
      <c r="AB521" s="34"/>
      <c r="AC521" s="34"/>
      <c r="AD521" s="34"/>
      <c r="AE521" s="34"/>
      <c r="AF521" s="34"/>
      <c r="AG521" s="34"/>
      <c r="AH521" s="34"/>
      <c r="AI521" s="34"/>
      <c r="AJ521" s="34"/>
      <c r="AK521" s="34"/>
      <c r="AL521" s="34"/>
      <c r="AM521" s="34"/>
      <c r="AN521" s="34"/>
      <c r="AO521" s="34"/>
      <c r="AP521" s="34"/>
      <c r="AQ521" s="34"/>
      <c r="AR521" s="34"/>
      <c r="AS521" s="34"/>
      <c r="AT521" s="34"/>
      <c r="AU521" s="34"/>
    </row>
    <row r="522" spans="3:47" x14ac:dyDescent="0.2">
      <c r="C522" s="34"/>
      <c r="D522" s="34"/>
      <c r="E522" s="34"/>
      <c r="F522" s="34"/>
      <c r="G522" s="34"/>
      <c r="H522" s="34"/>
      <c r="I522" s="34"/>
      <c r="J522" s="34"/>
      <c r="K522" s="34"/>
      <c r="L522" s="34"/>
      <c r="M522" s="34"/>
      <c r="N522" s="34"/>
      <c r="O522" s="34"/>
      <c r="P522" s="34"/>
      <c r="Q522" s="34"/>
      <c r="R522" s="34"/>
      <c r="S522" s="34"/>
      <c r="T522" s="34"/>
      <c r="U522" s="34"/>
      <c r="V522" s="34"/>
      <c r="W522" s="34"/>
      <c r="X522" s="34"/>
      <c r="Y522" s="34"/>
      <c r="Z522" s="34"/>
      <c r="AA522" s="34"/>
      <c r="AB522" s="34"/>
      <c r="AC522" s="34"/>
      <c r="AD522" s="34"/>
      <c r="AE522" s="34"/>
      <c r="AF522" s="34"/>
      <c r="AG522" s="34"/>
      <c r="AH522" s="34"/>
      <c r="AI522" s="34"/>
      <c r="AJ522" s="34"/>
      <c r="AK522" s="34"/>
      <c r="AL522" s="34"/>
      <c r="AM522" s="34"/>
      <c r="AN522" s="34"/>
      <c r="AO522" s="34"/>
      <c r="AP522" s="34"/>
      <c r="AQ522" s="34"/>
      <c r="AR522" s="34"/>
      <c r="AS522" s="34"/>
      <c r="AT522" s="34"/>
      <c r="AU522" s="34"/>
    </row>
    <row r="523" spans="3:47" x14ac:dyDescent="0.2">
      <c r="C523" s="34"/>
      <c r="D523" s="34"/>
      <c r="E523" s="34"/>
      <c r="F523" s="34"/>
      <c r="G523" s="34"/>
      <c r="H523" s="34"/>
      <c r="I523" s="34"/>
      <c r="J523" s="34"/>
      <c r="K523" s="34"/>
      <c r="L523" s="34"/>
      <c r="M523" s="34"/>
      <c r="N523" s="34"/>
      <c r="O523" s="34"/>
      <c r="P523" s="34"/>
      <c r="Q523" s="34"/>
      <c r="R523" s="34"/>
      <c r="S523" s="34"/>
      <c r="T523" s="34"/>
      <c r="U523" s="34"/>
      <c r="V523" s="34"/>
      <c r="W523" s="34"/>
      <c r="X523" s="34"/>
      <c r="Y523" s="34"/>
      <c r="Z523" s="34"/>
      <c r="AA523" s="34"/>
      <c r="AB523" s="34"/>
      <c r="AC523" s="34"/>
      <c r="AD523" s="34"/>
      <c r="AE523" s="34"/>
      <c r="AF523" s="34"/>
      <c r="AG523" s="34"/>
      <c r="AH523" s="34"/>
      <c r="AI523" s="34"/>
      <c r="AJ523" s="34"/>
      <c r="AK523" s="34"/>
      <c r="AL523" s="34"/>
      <c r="AM523" s="34"/>
      <c r="AN523" s="34"/>
      <c r="AO523" s="34"/>
      <c r="AP523" s="34"/>
      <c r="AQ523" s="34"/>
      <c r="AR523" s="34"/>
      <c r="AS523" s="34"/>
      <c r="AT523" s="34"/>
      <c r="AU523" s="34"/>
    </row>
    <row r="524" spans="3:47" x14ac:dyDescent="0.2">
      <c r="C524" s="34"/>
      <c r="D524" s="34"/>
      <c r="E524" s="34"/>
      <c r="F524" s="34"/>
      <c r="G524" s="34"/>
      <c r="H524" s="34"/>
      <c r="I524" s="34"/>
      <c r="J524" s="34"/>
      <c r="K524" s="34"/>
      <c r="L524" s="34"/>
      <c r="M524" s="34"/>
      <c r="N524" s="34"/>
      <c r="O524" s="34"/>
      <c r="P524" s="34"/>
      <c r="Q524" s="34"/>
      <c r="R524" s="34"/>
      <c r="S524" s="34"/>
      <c r="T524" s="34"/>
      <c r="U524" s="34"/>
      <c r="V524" s="34"/>
      <c r="W524" s="34"/>
      <c r="X524" s="34"/>
      <c r="Y524" s="34"/>
      <c r="Z524" s="34"/>
      <c r="AA524" s="34"/>
      <c r="AB524" s="34"/>
      <c r="AC524" s="34"/>
      <c r="AD524" s="34"/>
      <c r="AE524" s="34"/>
      <c r="AF524" s="34"/>
      <c r="AG524" s="34"/>
      <c r="AH524" s="34"/>
      <c r="AI524" s="34"/>
      <c r="AJ524" s="34"/>
      <c r="AK524" s="34"/>
      <c r="AL524" s="34"/>
      <c r="AM524" s="34"/>
      <c r="AN524" s="34"/>
      <c r="AO524" s="34"/>
      <c r="AP524" s="34"/>
      <c r="AQ524" s="34"/>
      <c r="AR524" s="34"/>
      <c r="AS524" s="34"/>
      <c r="AT524" s="34"/>
      <c r="AU524" s="34"/>
    </row>
    <row r="525" spans="3:47" x14ac:dyDescent="0.2">
      <c r="C525" s="34"/>
      <c r="D525" s="34"/>
      <c r="E525" s="34"/>
      <c r="F525" s="34"/>
      <c r="G525" s="34"/>
      <c r="H525" s="34"/>
      <c r="I525" s="34"/>
      <c r="J525" s="34"/>
      <c r="K525" s="34"/>
      <c r="L525" s="34"/>
      <c r="M525" s="34"/>
      <c r="N525" s="34"/>
      <c r="O525" s="34"/>
      <c r="P525" s="34"/>
      <c r="Q525" s="34"/>
      <c r="R525" s="34"/>
      <c r="S525" s="34"/>
      <c r="T525" s="34"/>
      <c r="U525" s="34"/>
      <c r="V525" s="34"/>
      <c r="W525" s="34"/>
      <c r="X525" s="34"/>
      <c r="Y525" s="34"/>
      <c r="Z525" s="34"/>
      <c r="AA525" s="34"/>
      <c r="AB525" s="34"/>
      <c r="AC525" s="34"/>
      <c r="AD525" s="34"/>
      <c r="AE525" s="34"/>
      <c r="AF525" s="34"/>
      <c r="AG525" s="34"/>
      <c r="AH525" s="34"/>
      <c r="AI525" s="34"/>
      <c r="AJ525" s="34"/>
      <c r="AK525" s="34"/>
      <c r="AL525" s="34"/>
      <c r="AM525" s="34"/>
      <c r="AN525" s="34"/>
      <c r="AO525" s="34"/>
      <c r="AP525" s="34"/>
      <c r="AQ525" s="34"/>
      <c r="AR525" s="34"/>
      <c r="AS525" s="34"/>
      <c r="AT525" s="34"/>
      <c r="AU525" s="34"/>
    </row>
    <row r="526" spans="3:47" x14ac:dyDescent="0.2">
      <c r="C526" s="34"/>
      <c r="D526" s="34"/>
      <c r="E526" s="34"/>
      <c r="F526" s="34"/>
      <c r="G526" s="34"/>
      <c r="H526" s="34"/>
      <c r="I526" s="34"/>
      <c r="J526" s="34"/>
      <c r="K526" s="34"/>
      <c r="L526" s="34"/>
      <c r="M526" s="34"/>
      <c r="N526" s="34"/>
      <c r="O526" s="34"/>
      <c r="P526" s="34"/>
      <c r="Q526" s="34"/>
      <c r="R526" s="34"/>
      <c r="S526" s="34"/>
      <c r="T526" s="34"/>
      <c r="U526" s="34"/>
      <c r="V526" s="34"/>
      <c r="W526" s="34"/>
      <c r="X526" s="34"/>
      <c r="Y526" s="34"/>
      <c r="Z526" s="34"/>
      <c r="AA526" s="34"/>
      <c r="AB526" s="34"/>
      <c r="AC526" s="34"/>
      <c r="AD526" s="34"/>
      <c r="AE526" s="34"/>
      <c r="AF526" s="34"/>
      <c r="AG526" s="34"/>
      <c r="AH526" s="34"/>
      <c r="AI526" s="34"/>
      <c r="AJ526" s="34"/>
      <c r="AK526" s="34"/>
      <c r="AL526" s="34"/>
      <c r="AM526" s="34"/>
      <c r="AN526" s="34"/>
      <c r="AO526" s="34"/>
      <c r="AP526" s="34"/>
      <c r="AQ526" s="34"/>
      <c r="AR526" s="34"/>
      <c r="AS526" s="34"/>
      <c r="AT526" s="34"/>
      <c r="AU526" s="34"/>
    </row>
    <row r="527" spans="3:47" x14ac:dyDescent="0.2">
      <c r="C527" s="34"/>
      <c r="D527" s="34"/>
      <c r="E527" s="34"/>
      <c r="F527" s="34"/>
      <c r="G527" s="34"/>
      <c r="H527" s="34"/>
      <c r="I527" s="34"/>
      <c r="J527" s="34"/>
      <c r="K527" s="34"/>
      <c r="L527" s="34"/>
      <c r="M527" s="34"/>
      <c r="N527" s="34"/>
      <c r="O527" s="34"/>
      <c r="P527" s="34"/>
      <c r="Q527" s="34"/>
      <c r="R527" s="34"/>
      <c r="S527" s="34"/>
      <c r="T527" s="34"/>
      <c r="U527" s="34"/>
      <c r="V527" s="34"/>
      <c r="W527" s="34"/>
      <c r="X527" s="34"/>
      <c r="Y527" s="34"/>
      <c r="Z527" s="34"/>
      <c r="AA527" s="34"/>
      <c r="AB527" s="34"/>
      <c r="AC527" s="34"/>
      <c r="AD527" s="34"/>
      <c r="AE527" s="34"/>
      <c r="AF527" s="34"/>
      <c r="AG527" s="34"/>
      <c r="AH527" s="34"/>
      <c r="AI527" s="34"/>
      <c r="AJ527" s="34"/>
      <c r="AK527" s="34"/>
      <c r="AL527" s="34"/>
      <c r="AM527" s="34"/>
      <c r="AN527" s="34"/>
      <c r="AO527" s="34"/>
      <c r="AP527" s="34"/>
      <c r="AQ527" s="34"/>
      <c r="AR527" s="34"/>
      <c r="AS527" s="34"/>
      <c r="AT527" s="34"/>
      <c r="AU527" s="34"/>
    </row>
    <row r="528" spans="3:47" x14ac:dyDescent="0.2">
      <c r="C528" s="34"/>
      <c r="D528" s="34"/>
      <c r="E528" s="34"/>
      <c r="F528" s="34"/>
      <c r="G528" s="34"/>
      <c r="H528" s="34"/>
      <c r="I528" s="34"/>
      <c r="J528" s="34"/>
      <c r="K528" s="34"/>
      <c r="L528" s="34"/>
      <c r="M528" s="34"/>
      <c r="N528" s="34"/>
      <c r="O528" s="34"/>
      <c r="P528" s="34"/>
      <c r="Q528" s="34"/>
      <c r="R528" s="34"/>
      <c r="S528" s="34"/>
      <c r="T528" s="34"/>
      <c r="U528" s="34"/>
      <c r="V528" s="34"/>
      <c r="W528" s="34"/>
      <c r="X528" s="34"/>
      <c r="Y528" s="34"/>
      <c r="Z528" s="34"/>
      <c r="AA528" s="34"/>
      <c r="AB528" s="34"/>
      <c r="AC528" s="34"/>
      <c r="AD528" s="34"/>
      <c r="AE528" s="34"/>
      <c r="AF528" s="34"/>
      <c r="AG528" s="34"/>
      <c r="AH528" s="34"/>
      <c r="AI528" s="34"/>
      <c r="AJ528" s="34"/>
      <c r="AK528" s="34"/>
      <c r="AL528" s="34"/>
      <c r="AM528" s="34"/>
      <c r="AN528" s="34"/>
      <c r="AO528" s="34"/>
      <c r="AP528" s="34"/>
      <c r="AQ528" s="34"/>
      <c r="AR528" s="34"/>
      <c r="AS528" s="34"/>
      <c r="AT528" s="34"/>
      <c r="AU528" s="34"/>
    </row>
    <row r="529" spans="3:47" x14ac:dyDescent="0.2">
      <c r="C529" s="34"/>
      <c r="D529" s="34"/>
      <c r="E529" s="34"/>
      <c r="F529" s="34"/>
      <c r="G529" s="34"/>
      <c r="H529" s="34"/>
      <c r="I529" s="34"/>
      <c r="J529" s="34"/>
      <c r="K529" s="34"/>
      <c r="L529" s="34"/>
      <c r="M529" s="34"/>
      <c r="N529" s="34"/>
      <c r="O529" s="34"/>
      <c r="P529" s="34"/>
      <c r="Q529" s="34"/>
      <c r="R529" s="34"/>
      <c r="S529" s="34"/>
      <c r="T529" s="34"/>
      <c r="U529" s="34"/>
      <c r="V529" s="34"/>
      <c r="W529" s="34"/>
      <c r="X529" s="34"/>
      <c r="Y529" s="34"/>
      <c r="Z529" s="34"/>
      <c r="AA529" s="34"/>
      <c r="AB529" s="34"/>
      <c r="AC529" s="34"/>
      <c r="AD529" s="34"/>
      <c r="AE529" s="34"/>
      <c r="AF529" s="34"/>
      <c r="AG529" s="34"/>
      <c r="AH529" s="34"/>
      <c r="AI529" s="34"/>
      <c r="AJ529" s="34"/>
      <c r="AK529" s="34"/>
      <c r="AL529" s="34"/>
      <c r="AM529" s="34"/>
      <c r="AN529" s="34"/>
      <c r="AO529" s="34"/>
      <c r="AP529" s="34"/>
      <c r="AQ529" s="34"/>
      <c r="AR529" s="34"/>
      <c r="AS529" s="34"/>
      <c r="AT529" s="34"/>
      <c r="AU529" s="34"/>
    </row>
    <row r="530" spans="3:47" x14ac:dyDescent="0.2">
      <c r="C530" s="34"/>
      <c r="D530" s="34"/>
      <c r="E530" s="34"/>
      <c r="F530" s="34"/>
      <c r="G530" s="34"/>
      <c r="H530" s="34"/>
      <c r="I530" s="34"/>
      <c r="J530" s="34"/>
      <c r="K530" s="34"/>
      <c r="L530" s="34"/>
      <c r="M530" s="34"/>
      <c r="N530" s="34"/>
      <c r="O530" s="34"/>
      <c r="P530" s="34"/>
      <c r="Q530" s="34"/>
      <c r="R530" s="34"/>
      <c r="S530" s="34"/>
      <c r="T530" s="34"/>
      <c r="U530" s="34"/>
      <c r="V530" s="34"/>
      <c r="W530" s="34"/>
      <c r="X530" s="34"/>
      <c r="Y530" s="34"/>
      <c r="Z530" s="34"/>
      <c r="AA530" s="34"/>
      <c r="AB530" s="34"/>
      <c r="AC530" s="34"/>
      <c r="AD530" s="34"/>
      <c r="AE530" s="34"/>
      <c r="AF530" s="34"/>
      <c r="AG530" s="34"/>
      <c r="AH530" s="34"/>
      <c r="AI530" s="34"/>
      <c r="AJ530" s="34"/>
      <c r="AK530" s="34"/>
      <c r="AL530" s="34"/>
      <c r="AM530" s="34"/>
      <c r="AN530" s="34"/>
      <c r="AO530" s="34"/>
      <c r="AP530" s="34"/>
      <c r="AQ530" s="34"/>
      <c r="AR530" s="34"/>
      <c r="AS530" s="34"/>
      <c r="AT530" s="34"/>
      <c r="AU530" s="34"/>
    </row>
    <row r="531" spans="3:47" x14ac:dyDescent="0.2">
      <c r="C531" s="34"/>
      <c r="D531" s="34"/>
      <c r="E531" s="34"/>
      <c r="F531" s="34"/>
      <c r="G531" s="34"/>
      <c r="H531" s="34"/>
      <c r="I531" s="34"/>
      <c r="J531" s="34"/>
      <c r="K531" s="34"/>
      <c r="L531" s="34"/>
      <c r="M531" s="34"/>
      <c r="N531" s="34"/>
      <c r="O531" s="34"/>
      <c r="P531" s="34"/>
      <c r="Q531" s="34"/>
      <c r="R531" s="34"/>
      <c r="S531" s="34"/>
      <c r="T531" s="34"/>
      <c r="U531" s="34"/>
      <c r="V531" s="34"/>
      <c r="W531" s="34"/>
      <c r="X531" s="34"/>
      <c r="Y531" s="34"/>
      <c r="Z531" s="34"/>
      <c r="AA531" s="34"/>
      <c r="AB531" s="34"/>
      <c r="AC531" s="34"/>
      <c r="AD531" s="34"/>
      <c r="AE531" s="34"/>
      <c r="AF531" s="34"/>
      <c r="AG531" s="34"/>
      <c r="AH531" s="34"/>
      <c r="AI531" s="34"/>
      <c r="AJ531" s="34"/>
      <c r="AK531" s="34"/>
      <c r="AL531" s="34"/>
      <c r="AM531" s="34"/>
      <c r="AN531" s="34"/>
      <c r="AO531" s="34"/>
      <c r="AP531" s="34"/>
      <c r="AQ531" s="34"/>
      <c r="AR531" s="34"/>
      <c r="AS531" s="34"/>
      <c r="AT531" s="34"/>
      <c r="AU531" s="34"/>
    </row>
    <row r="532" spans="3:47" x14ac:dyDescent="0.2">
      <c r="C532" s="34"/>
      <c r="D532" s="34"/>
      <c r="E532" s="34"/>
      <c r="F532" s="34"/>
      <c r="G532" s="34"/>
      <c r="H532" s="34"/>
      <c r="I532" s="34"/>
      <c r="J532" s="34"/>
      <c r="K532" s="34"/>
      <c r="L532" s="34"/>
      <c r="M532" s="34"/>
      <c r="N532" s="34"/>
      <c r="O532" s="34"/>
      <c r="P532" s="34"/>
      <c r="Q532" s="34"/>
      <c r="R532" s="34"/>
      <c r="S532" s="34"/>
      <c r="T532" s="34"/>
      <c r="U532" s="34"/>
      <c r="V532" s="34"/>
      <c r="W532" s="34"/>
      <c r="X532" s="34"/>
      <c r="Y532" s="34"/>
      <c r="Z532" s="34"/>
      <c r="AA532" s="34"/>
      <c r="AB532" s="34"/>
      <c r="AC532" s="34"/>
      <c r="AD532" s="34"/>
      <c r="AE532" s="34"/>
      <c r="AF532" s="34"/>
      <c r="AG532" s="34"/>
      <c r="AH532" s="34"/>
      <c r="AI532" s="34"/>
      <c r="AJ532" s="34"/>
      <c r="AK532" s="34"/>
      <c r="AL532" s="34"/>
      <c r="AM532" s="34"/>
      <c r="AN532" s="34"/>
      <c r="AO532" s="34"/>
      <c r="AP532" s="34"/>
      <c r="AQ532" s="34"/>
      <c r="AR532" s="34"/>
      <c r="AS532" s="34"/>
      <c r="AT532" s="34"/>
      <c r="AU532" s="34"/>
    </row>
    <row r="533" spans="3:47" x14ac:dyDescent="0.2">
      <c r="C533" s="34"/>
      <c r="D533" s="34"/>
      <c r="E533" s="34"/>
      <c r="F533" s="34"/>
      <c r="G533" s="34"/>
      <c r="H533" s="34"/>
      <c r="I533" s="34"/>
      <c r="J533" s="34"/>
      <c r="K533" s="34"/>
      <c r="L533" s="34"/>
      <c r="M533" s="34"/>
      <c r="N533" s="34"/>
      <c r="O533" s="34"/>
      <c r="P533" s="34"/>
      <c r="Q533" s="34"/>
      <c r="R533" s="34"/>
      <c r="S533" s="34"/>
      <c r="T533" s="34"/>
      <c r="U533" s="34"/>
      <c r="V533" s="34"/>
      <c r="W533" s="34"/>
      <c r="X533" s="34"/>
      <c r="Y533" s="34"/>
      <c r="Z533" s="34"/>
      <c r="AA533" s="34"/>
      <c r="AB533" s="34"/>
      <c r="AC533" s="34"/>
      <c r="AD533" s="34"/>
      <c r="AE533" s="34"/>
      <c r="AF533" s="34"/>
      <c r="AG533" s="34"/>
      <c r="AH533" s="34"/>
      <c r="AI533" s="34"/>
      <c r="AJ533" s="34"/>
      <c r="AK533" s="34"/>
      <c r="AL533" s="34"/>
      <c r="AM533" s="34"/>
      <c r="AN533" s="34"/>
      <c r="AO533" s="34"/>
      <c r="AP533" s="34"/>
      <c r="AQ533" s="34"/>
      <c r="AR533" s="34"/>
      <c r="AS533" s="34"/>
      <c r="AT533" s="34"/>
      <c r="AU533" s="34"/>
    </row>
    <row r="534" spans="3:47" x14ac:dyDescent="0.2">
      <c r="C534" s="34"/>
      <c r="D534" s="34"/>
      <c r="E534" s="34"/>
      <c r="F534" s="34"/>
      <c r="G534" s="34"/>
      <c r="H534" s="34"/>
      <c r="I534" s="34"/>
      <c r="J534" s="34"/>
      <c r="K534" s="34"/>
      <c r="L534" s="34"/>
      <c r="M534" s="34"/>
      <c r="N534" s="34"/>
      <c r="O534" s="34"/>
      <c r="P534" s="34"/>
      <c r="Q534" s="34"/>
      <c r="R534" s="34"/>
      <c r="S534" s="34"/>
      <c r="T534" s="34"/>
      <c r="U534" s="34"/>
      <c r="V534" s="34"/>
      <c r="W534" s="34"/>
      <c r="X534" s="34"/>
      <c r="Y534" s="34"/>
      <c r="Z534" s="34"/>
      <c r="AA534" s="34"/>
      <c r="AB534" s="34"/>
      <c r="AC534" s="34"/>
      <c r="AD534" s="34"/>
      <c r="AE534" s="34"/>
      <c r="AF534" s="34"/>
      <c r="AG534" s="34"/>
      <c r="AH534" s="34"/>
      <c r="AI534" s="34"/>
      <c r="AJ534" s="34"/>
      <c r="AK534" s="34"/>
      <c r="AL534" s="34"/>
      <c r="AM534" s="34"/>
      <c r="AN534" s="34"/>
      <c r="AO534" s="34"/>
      <c r="AP534" s="34"/>
      <c r="AQ534" s="34"/>
      <c r="AR534" s="34"/>
      <c r="AS534" s="34"/>
      <c r="AT534" s="34"/>
      <c r="AU534" s="34"/>
    </row>
    <row r="535" spans="3:47" x14ac:dyDescent="0.2">
      <c r="C535" s="34"/>
      <c r="D535" s="34"/>
      <c r="E535" s="34"/>
      <c r="F535" s="34"/>
      <c r="G535" s="34"/>
      <c r="H535" s="34"/>
      <c r="I535" s="34"/>
      <c r="J535" s="34"/>
      <c r="K535" s="34"/>
      <c r="L535" s="34"/>
      <c r="M535" s="34"/>
      <c r="N535" s="34"/>
      <c r="O535" s="34"/>
      <c r="P535" s="34"/>
      <c r="Q535" s="34"/>
      <c r="R535" s="34"/>
      <c r="S535" s="34"/>
      <c r="T535" s="34"/>
      <c r="U535" s="34"/>
      <c r="V535" s="34"/>
      <c r="W535" s="34"/>
      <c r="X535" s="34"/>
      <c r="Y535" s="34"/>
      <c r="Z535" s="34"/>
      <c r="AA535" s="34"/>
      <c r="AB535" s="34"/>
      <c r="AC535" s="34"/>
      <c r="AD535" s="34"/>
      <c r="AE535" s="34"/>
      <c r="AF535" s="34"/>
      <c r="AG535" s="34"/>
      <c r="AH535" s="34"/>
      <c r="AI535" s="34"/>
      <c r="AJ535" s="34"/>
      <c r="AK535" s="34"/>
      <c r="AL535" s="34"/>
      <c r="AM535" s="34"/>
      <c r="AN535" s="34"/>
      <c r="AO535" s="34"/>
      <c r="AP535" s="34"/>
      <c r="AQ535" s="34"/>
      <c r="AR535" s="34"/>
      <c r="AS535" s="34"/>
      <c r="AT535" s="34"/>
      <c r="AU535" s="34"/>
    </row>
    <row r="536" spans="3:47" x14ac:dyDescent="0.2">
      <c r="C536" s="34"/>
      <c r="D536" s="34"/>
      <c r="E536" s="34"/>
      <c r="F536" s="34"/>
      <c r="G536" s="34"/>
      <c r="H536" s="34"/>
      <c r="I536" s="34"/>
      <c r="J536" s="34"/>
      <c r="K536" s="34"/>
      <c r="L536" s="34"/>
      <c r="M536" s="34"/>
      <c r="N536" s="34"/>
      <c r="O536" s="34"/>
      <c r="P536" s="34"/>
      <c r="Q536" s="34"/>
      <c r="R536" s="34"/>
      <c r="S536" s="34"/>
      <c r="T536" s="34"/>
      <c r="U536" s="34"/>
      <c r="V536" s="34"/>
      <c r="W536" s="34"/>
      <c r="X536" s="34"/>
      <c r="Y536" s="34"/>
      <c r="Z536" s="34"/>
      <c r="AA536" s="34"/>
      <c r="AB536" s="34"/>
      <c r="AC536" s="34"/>
      <c r="AD536" s="34"/>
      <c r="AE536" s="34"/>
      <c r="AF536" s="34"/>
      <c r="AG536" s="34"/>
      <c r="AH536" s="34"/>
      <c r="AI536" s="34"/>
      <c r="AJ536" s="34"/>
      <c r="AK536" s="34"/>
      <c r="AL536" s="34"/>
      <c r="AM536" s="34"/>
      <c r="AN536" s="34"/>
      <c r="AO536" s="34"/>
      <c r="AP536" s="34"/>
      <c r="AQ536" s="34"/>
      <c r="AR536" s="34"/>
      <c r="AS536" s="34"/>
      <c r="AT536" s="34"/>
      <c r="AU536" s="34"/>
    </row>
    <row r="537" spans="3:47" x14ac:dyDescent="0.2">
      <c r="C537" s="34"/>
      <c r="D537" s="34"/>
      <c r="E537" s="34"/>
      <c r="F537" s="34"/>
      <c r="G537" s="34"/>
      <c r="H537" s="34"/>
      <c r="I537" s="34"/>
      <c r="J537" s="34"/>
      <c r="K537" s="34"/>
      <c r="L537" s="34"/>
      <c r="M537" s="34"/>
      <c r="N537" s="34"/>
      <c r="O537" s="34"/>
      <c r="P537" s="34"/>
      <c r="Q537" s="34"/>
      <c r="R537" s="34"/>
      <c r="S537" s="34"/>
      <c r="T537" s="34"/>
      <c r="U537" s="34"/>
      <c r="V537" s="34"/>
      <c r="W537" s="34"/>
      <c r="X537" s="34"/>
      <c r="Y537" s="34"/>
      <c r="Z537" s="34"/>
      <c r="AA537" s="34"/>
      <c r="AB537" s="34"/>
      <c r="AC537" s="34"/>
      <c r="AD537" s="34"/>
      <c r="AE537" s="34"/>
      <c r="AF537" s="34"/>
      <c r="AG537" s="34"/>
      <c r="AH537" s="34"/>
      <c r="AI537" s="34"/>
      <c r="AJ537" s="34"/>
      <c r="AK537" s="34"/>
      <c r="AL537" s="34"/>
      <c r="AM537" s="34"/>
      <c r="AN537" s="34"/>
      <c r="AO537" s="34"/>
      <c r="AP537" s="34"/>
      <c r="AQ537" s="34"/>
      <c r="AR537" s="34"/>
      <c r="AS537" s="34"/>
      <c r="AT537" s="34"/>
      <c r="AU537" s="34"/>
    </row>
    <row r="538" spans="3:47" x14ac:dyDescent="0.2">
      <c r="C538" s="34"/>
      <c r="D538" s="34"/>
      <c r="E538" s="34"/>
      <c r="F538" s="34"/>
      <c r="G538" s="34"/>
      <c r="H538" s="34"/>
      <c r="I538" s="34"/>
      <c r="J538" s="34"/>
      <c r="K538" s="34"/>
      <c r="L538" s="34"/>
      <c r="M538" s="34"/>
      <c r="N538" s="34"/>
      <c r="O538" s="34"/>
      <c r="P538" s="34"/>
      <c r="Q538" s="34"/>
      <c r="R538" s="34"/>
      <c r="S538" s="34"/>
      <c r="T538" s="34"/>
      <c r="U538" s="34"/>
      <c r="V538" s="34"/>
      <c r="W538" s="34"/>
      <c r="X538" s="34"/>
      <c r="Y538" s="34"/>
      <c r="Z538" s="34"/>
      <c r="AA538" s="34"/>
      <c r="AB538" s="34"/>
      <c r="AC538" s="34"/>
      <c r="AD538" s="34"/>
      <c r="AE538" s="34"/>
      <c r="AF538" s="34"/>
      <c r="AG538" s="34"/>
      <c r="AH538" s="34"/>
      <c r="AI538" s="34"/>
      <c r="AJ538" s="34"/>
      <c r="AK538" s="34"/>
      <c r="AL538" s="34"/>
      <c r="AM538" s="34"/>
      <c r="AN538" s="34"/>
      <c r="AO538" s="34"/>
      <c r="AP538" s="34"/>
      <c r="AQ538" s="34"/>
      <c r="AR538" s="34"/>
      <c r="AS538" s="34"/>
      <c r="AT538" s="34"/>
      <c r="AU538" s="34"/>
    </row>
  </sheetData>
  <mergeCells count="3">
    <mergeCell ref="A1:AI1"/>
    <mergeCell ref="A2:AI2"/>
    <mergeCell ref="A3:AI3"/>
  </mergeCells>
  <dataValidations count="1">
    <dataValidation type="list" allowBlank="1" showInputMessage="1" showErrorMessage="1" sqref="C9 AC9 G9 I9 K9 M9 O9 Q9 E9 AA9 U9 S9 AE9:AG9 W9">
      <formula1>$AU$1:$AU$4</formula1>
    </dataValidation>
  </dataValidations>
  <printOptions horizontalCentered="1"/>
  <pageMargins left="0.75" right="0.75" top="1" bottom="1" header="0.5" footer="0.5"/>
  <pageSetup scale="67" fitToHeight="0" orientation="landscape" r:id="rId1"/>
  <headerFooter alignWithMargins="0">
    <oddFooter>&amp;R&amp;"Times New Roman,Bold"&amp;12Case No. 2018-00295
Attachment 6 to Response to US DOD-2 Question No. 7   
Page &amp;P of &amp;N
Garrett</oddFooter>
  </headerFooter>
  <rowBreaks count="1" manualBreakCount="1">
    <brk id="272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33"/>
  <sheetViews>
    <sheetView zoomScale="80" zoomScaleNormal="80" workbookViewId="0">
      <pane xSplit="2" ySplit="7" topLeftCell="C8" activePane="bottomRight" state="frozen"/>
      <selection sqref="A1:R1"/>
      <selection pane="topRight" sqref="A1:R1"/>
      <selection pane="bottomLeft" sqref="A1:R1"/>
      <selection pane="bottomRight" sqref="A1:R1"/>
    </sheetView>
  </sheetViews>
  <sheetFormatPr defaultRowHeight="12.75" x14ac:dyDescent="0.2"/>
  <cols>
    <col min="1" max="1" width="15.5703125" style="3" customWidth="1"/>
    <col min="2" max="2" width="36" style="3" bestFit="1" customWidth="1"/>
    <col min="3" max="3" width="17.7109375" style="3" customWidth="1"/>
    <col min="4" max="4" width="1.5703125" style="3" customWidth="1"/>
    <col min="5" max="5" width="17.7109375" style="3" customWidth="1"/>
    <col min="6" max="6" width="1.5703125" style="3" customWidth="1"/>
    <col min="7" max="7" width="17.7109375" style="3" customWidth="1"/>
    <col min="8" max="8" width="1.5703125" style="3" customWidth="1"/>
    <col min="9" max="9" width="17.7109375" style="3" customWidth="1"/>
    <col min="10" max="10" width="1.5703125" style="3" customWidth="1"/>
    <col min="11" max="11" width="17.7109375" style="3" customWidth="1"/>
    <col min="12" max="12" width="1.5703125" style="3" customWidth="1"/>
    <col min="13" max="13" width="17.7109375" style="3" customWidth="1"/>
    <col min="14" max="14" width="1.5703125" style="3" customWidth="1"/>
    <col min="15" max="15" width="17.7109375" style="3" customWidth="1"/>
    <col min="16" max="16" width="1.5703125" style="3" customWidth="1"/>
    <col min="17" max="17" width="17.7109375" style="3" customWidth="1"/>
    <col min="18" max="18" width="9.140625" style="3"/>
    <col min="19" max="19" width="17.7109375" style="3" customWidth="1"/>
    <col min="20" max="20" width="1.5703125" style="3" customWidth="1"/>
    <col min="21" max="21" width="17.7109375" style="3" customWidth="1"/>
    <col min="22" max="22" width="1.5703125" style="3" customWidth="1"/>
    <col min="23" max="23" width="17.7109375" style="3" customWidth="1"/>
    <col min="24" max="24" width="1.5703125" style="3" customWidth="1"/>
    <col min="25" max="25" width="17.7109375" style="3" customWidth="1"/>
    <col min="26" max="26" width="1.5703125" style="3" customWidth="1"/>
    <col min="27" max="27" width="17.7109375" style="3" customWidth="1"/>
    <col min="28" max="28" width="1.5703125" style="3" customWidth="1"/>
    <col min="29" max="29" width="17.7109375" style="3" customWidth="1"/>
    <col min="30" max="16384" width="9.140625" style="3"/>
  </cols>
  <sheetData>
    <row r="1" spans="1:29" x14ac:dyDescent="0.2">
      <c r="A1" s="142" t="s">
        <v>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AC1" s="127" t="s">
        <v>127</v>
      </c>
    </row>
    <row r="2" spans="1:29" x14ac:dyDescent="0.2">
      <c r="A2" s="142" t="s">
        <v>270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AC2" s="128" t="s">
        <v>129</v>
      </c>
    </row>
    <row r="3" spans="1:29" x14ac:dyDescent="0.2">
      <c r="A3" s="144" t="str">
        <f>'KU_Summary - Cost - P1 (REG)'!A3:N3</f>
        <v>DECEMBER 2016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AC3" s="128" t="s">
        <v>130</v>
      </c>
    </row>
    <row r="4" spans="1:29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79"/>
      <c r="P4" s="4"/>
      <c r="Q4" s="4"/>
      <c r="R4" s="4"/>
      <c r="S4" s="79"/>
      <c r="T4" s="4"/>
      <c r="U4" s="79"/>
      <c r="V4" s="4"/>
      <c r="W4" s="79"/>
      <c r="X4" s="4"/>
      <c r="Y4" s="79"/>
      <c r="Z4" s="4"/>
      <c r="AA4" s="79"/>
      <c r="AB4" s="4"/>
      <c r="AC4" s="129" t="s">
        <v>131</v>
      </c>
    </row>
    <row r="5" spans="1:29" x14ac:dyDescent="0.2">
      <c r="A5" s="4"/>
      <c r="B5" s="4"/>
      <c r="C5" s="79">
        <v>42430</v>
      </c>
      <c r="D5" s="4"/>
      <c r="E5" s="79">
        <v>42461</v>
      </c>
      <c r="F5" s="4"/>
      <c r="G5" s="79">
        <v>42491</v>
      </c>
      <c r="H5" s="4"/>
      <c r="I5" s="79">
        <v>42552</v>
      </c>
      <c r="J5" s="4"/>
      <c r="K5" s="4" t="s">
        <v>143</v>
      </c>
      <c r="L5" s="4"/>
      <c r="M5" s="4"/>
      <c r="N5" s="4"/>
      <c r="O5" s="79"/>
      <c r="P5" s="4"/>
      <c r="Q5" s="4"/>
      <c r="R5" s="4"/>
      <c r="S5" s="79"/>
      <c r="T5" s="4"/>
      <c r="U5" s="79"/>
      <c r="V5" s="4"/>
      <c r="W5" s="79"/>
      <c r="X5" s="4"/>
      <c r="Y5" s="79"/>
      <c r="Z5" s="4"/>
      <c r="AA5" s="79"/>
      <c r="AB5" s="4"/>
      <c r="AC5" s="79"/>
    </row>
    <row r="6" spans="1:29" x14ac:dyDescent="0.2">
      <c r="A6" s="6"/>
      <c r="B6" s="5"/>
      <c r="C6" s="25" t="s">
        <v>3</v>
      </c>
      <c r="D6" s="7"/>
      <c r="E6" s="25" t="s">
        <v>3</v>
      </c>
      <c r="F6" s="7"/>
      <c r="G6" s="25" t="s">
        <v>3</v>
      </c>
      <c r="H6" s="7"/>
      <c r="I6" s="25" t="s">
        <v>3</v>
      </c>
      <c r="J6" s="7"/>
      <c r="K6" s="25" t="s">
        <v>3</v>
      </c>
      <c r="L6" s="7"/>
      <c r="M6" s="25" t="s">
        <v>3</v>
      </c>
      <c r="N6" s="7"/>
      <c r="O6" s="25" t="s">
        <v>3</v>
      </c>
      <c r="P6" s="7"/>
      <c r="Q6" s="25" t="s">
        <v>4</v>
      </c>
      <c r="R6" s="4"/>
      <c r="S6" s="25" t="s">
        <v>149</v>
      </c>
      <c r="T6" s="7"/>
      <c r="U6" s="25" t="s">
        <v>149</v>
      </c>
      <c r="V6" s="7"/>
      <c r="W6" s="25" t="s">
        <v>149</v>
      </c>
      <c r="X6" s="7"/>
      <c r="Y6" s="25" t="s">
        <v>149</v>
      </c>
      <c r="Z6" s="7"/>
      <c r="AA6" s="25" t="s">
        <v>150</v>
      </c>
      <c r="AB6" s="7"/>
      <c r="AC6" s="25"/>
    </row>
    <row r="7" spans="1:29" x14ac:dyDescent="0.2">
      <c r="A7" s="8"/>
      <c r="C7" s="10" t="s">
        <v>8</v>
      </c>
      <c r="D7" s="9"/>
      <c r="E7" s="10" t="s">
        <v>8</v>
      </c>
      <c r="F7" s="9"/>
      <c r="G7" s="10" t="s">
        <v>8</v>
      </c>
      <c r="H7" s="9"/>
      <c r="I7" s="10" t="s">
        <v>8</v>
      </c>
      <c r="J7" s="9"/>
      <c r="K7" s="10" t="s">
        <v>8</v>
      </c>
      <c r="L7" s="9"/>
      <c r="M7" s="10" t="s">
        <v>8</v>
      </c>
      <c r="N7" s="9"/>
      <c r="O7" s="10" t="s">
        <v>8</v>
      </c>
      <c r="P7" s="9"/>
      <c r="Q7" s="10" t="s">
        <v>5</v>
      </c>
      <c r="R7" s="4"/>
      <c r="S7" s="10" t="s">
        <v>6</v>
      </c>
      <c r="T7" s="9"/>
      <c r="U7" s="10" t="s">
        <v>8</v>
      </c>
      <c r="V7" s="9"/>
      <c r="W7" s="10" t="s">
        <v>151</v>
      </c>
      <c r="X7" s="9"/>
      <c r="Y7" s="10" t="s">
        <v>131</v>
      </c>
      <c r="Z7" s="9"/>
      <c r="AA7" s="10" t="s">
        <v>149</v>
      </c>
      <c r="AB7" s="9"/>
      <c r="AC7" s="10" t="s">
        <v>102</v>
      </c>
    </row>
    <row r="8" spans="1:29" x14ac:dyDescent="0.2">
      <c r="A8" s="8"/>
      <c r="C8" s="11"/>
      <c r="D8" s="9"/>
      <c r="E8" s="11"/>
      <c r="F8" s="9"/>
      <c r="G8" s="11"/>
      <c r="H8" s="9"/>
      <c r="I8" s="11"/>
      <c r="J8" s="9"/>
      <c r="K8" s="11"/>
      <c r="L8" s="9"/>
      <c r="M8" s="11"/>
      <c r="N8" s="9"/>
      <c r="O8" s="11"/>
      <c r="P8" s="9"/>
      <c r="Q8" s="11"/>
      <c r="R8" s="4"/>
      <c r="S8" s="11"/>
      <c r="T8" s="9"/>
      <c r="U8" s="11"/>
      <c r="V8" s="9"/>
      <c r="W8" s="11"/>
      <c r="X8" s="9"/>
      <c r="Y8" s="11"/>
      <c r="Z8" s="9"/>
      <c r="AA8" s="11"/>
      <c r="AB8" s="9"/>
      <c r="AC8" s="11"/>
    </row>
    <row r="9" spans="1:29" x14ac:dyDescent="0.2">
      <c r="A9" s="71" t="s">
        <v>152</v>
      </c>
      <c r="C9" s="9" t="s">
        <v>130</v>
      </c>
      <c r="D9" s="11"/>
      <c r="E9" s="9" t="s">
        <v>130</v>
      </c>
      <c r="F9" s="11"/>
      <c r="G9" s="9" t="s">
        <v>130</v>
      </c>
      <c r="H9" s="11"/>
      <c r="I9" s="9" t="s">
        <v>130</v>
      </c>
      <c r="J9" s="11"/>
      <c r="K9" s="9" t="s">
        <v>130</v>
      </c>
      <c r="L9" s="11"/>
      <c r="M9" s="9"/>
      <c r="N9" s="11"/>
      <c r="O9" s="9"/>
      <c r="P9" s="11"/>
      <c r="Q9" s="9"/>
      <c r="R9" s="11"/>
      <c r="S9" s="9"/>
      <c r="T9" s="11"/>
      <c r="U9" s="9"/>
      <c r="V9" s="11"/>
      <c r="W9" s="9"/>
      <c r="X9" s="11"/>
      <c r="Y9" s="9"/>
      <c r="Z9" s="11"/>
      <c r="AA9" s="9"/>
      <c r="AB9" s="11"/>
      <c r="AC9" s="9"/>
    </row>
    <row r="10" spans="1:29" x14ac:dyDescent="0.2">
      <c r="A10" s="8"/>
    </row>
    <row r="11" spans="1:29" x14ac:dyDescent="0.2">
      <c r="A11" s="8">
        <v>101</v>
      </c>
      <c r="B11" s="12" t="s">
        <v>10</v>
      </c>
    </row>
    <row r="12" spans="1:29" x14ac:dyDescent="0.2">
      <c r="A12" s="8"/>
      <c r="B12" s="12"/>
    </row>
    <row r="13" spans="1:29" x14ac:dyDescent="0.2">
      <c r="A13" s="71" t="s">
        <v>11</v>
      </c>
      <c r="B13" s="12"/>
    </row>
    <row r="14" spans="1:29" x14ac:dyDescent="0.2">
      <c r="A14" s="71"/>
      <c r="B14" s="12" t="s">
        <v>12</v>
      </c>
    </row>
    <row r="15" spans="1:29" x14ac:dyDescent="0.2">
      <c r="A15" s="71"/>
      <c r="B15" s="3" t="s">
        <v>153</v>
      </c>
      <c r="C15" s="14">
        <v>0</v>
      </c>
      <c r="E15" s="14">
        <v>0</v>
      </c>
      <c r="G15" s="14">
        <v>0</v>
      </c>
      <c r="I15" s="14">
        <v>0</v>
      </c>
      <c r="K15" s="14">
        <v>0</v>
      </c>
      <c r="M15" s="14">
        <v>0</v>
      </c>
      <c r="O15" s="14">
        <v>0</v>
      </c>
      <c r="Q15" s="14">
        <f t="shared" ref="Q15:Q29" si="0">SUM(C15:P15)</f>
        <v>0</v>
      </c>
      <c r="S15" s="14">
        <f t="shared" ref="S15:S29" si="1">SUMIF($C$9:$P$9,"=Addition",$C15:$P15)</f>
        <v>0</v>
      </c>
      <c r="U15" s="14">
        <f t="shared" ref="U15:U29" si="2">SUMIF($C$9:$P$9,"=Adjustment",$C15:$P15)</f>
        <v>0</v>
      </c>
      <c r="W15" s="14">
        <f t="shared" ref="W15:W29" si="3">SUMIF($C$9:$P$9,"=Transfer",$C15:$P15)</f>
        <v>0</v>
      </c>
      <c r="Y15" s="14">
        <f t="shared" ref="Y15:Y29" si="4">SUMIF($C$9:$P$9,"=Addition",$C15:$P15)</f>
        <v>0</v>
      </c>
      <c r="AA15" s="14">
        <f t="shared" ref="AA15:AA29" si="5">SUM(S15:Y15)</f>
        <v>0</v>
      </c>
      <c r="AC15" s="14">
        <f>+Q15-AA15</f>
        <v>0</v>
      </c>
    </row>
    <row r="16" spans="1:29" x14ac:dyDescent="0.2">
      <c r="A16" s="71"/>
      <c r="B16" s="3" t="s">
        <v>154</v>
      </c>
      <c r="C16" s="14">
        <v>0</v>
      </c>
      <c r="E16" s="14">
        <v>0</v>
      </c>
      <c r="G16" s="14">
        <v>0</v>
      </c>
      <c r="I16" s="14">
        <v>0</v>
      </c>
      <c r="K16" s="14">
        <v>0</v>
      </c>
      <c r="M16" s="14">
        <v>0</v>
      </c>
      <c r="O16" s="14">
        <v>0</v>
      </c>
      <c r="Q16" s="14">
        <f t="shared" si="0"/>
        <v>0</v>
      </c>
      <c r="S16" s="14">
        <f t="shared" si="1"/>
        <v>0</v>
      </c>
      <c r="U16" s="14">
        <f t="shared" si="2"/>
        <v>0</v>
      </c>
      <c r="W16" s="14">
        <f t="shared" si="3"/>
        <v>0</v>
      </c>
      <c r="Y16" s="14">
        <f t="shared" si="4"/>
        <v>0</v>
      </c>
      <c r="AA16" s="14">
        <f t="shared" si="5"/>
        <v>0</v>
      </c>
      <c r="AC16" s="14">
        <f t="shared" ref="AC16:AC29" si="6">+Q16-AA16</f>
        <v>0</v>
      </c>
    </row>
    <row r="17" spans="1:29" x14ac:dyDescent="0.2">
      <c r="A17" s="71"/>
      <c r="B17" s="3" t="s">
        <v>155</v>
      </c>
      <c r="C17" s="14">
        <v>0</v>
      </c>
      <c r="E17" s="14">
        <v>0</v>
      </c>
      <c r="G17" s="14">
        <v>0</v>
      </c>
      <c r="I17" s="14">
        <v>0</v>
      </c>
      <c r="K17" s="14">
        <v>0</v>
      </c>
      <c r="M17" s="14">
        <v>0</v>
      </c>
      <c r="O17" s="14">
        <v>0</v>
      </c>
      <c r="Q17" s="14">
        <f t="shared" si="0"/>
        <v>0</v>
      </c>
      <c r="S17" s="14">
        <f t="shared" si="1"/>
        <v>0</v>
      </c>
      <c r="U17" s="14">
        <f t="shared" si="2"/>
        <v>0</v>
      </c>
      <c r="W17" s="14">
        <f t="shared" si="3"/>
        <v>0</v>
      </c>
      <c r="Y17" s="14">
        <f t="shared" si="4"/>
        <v>0</v>
      </c>
      <c r="AA17" s="14">
        <f t="shared" si="5"/>
        <v>0</v>
      </c>
      <c r="AC17" s="14">
        <f t="shared" si="6"/>
        <v>0</v>
      </c>
    </row>
    <row r="18" spans="1:29" x14ac:dyDescent="0.2">
      <c r="A18" s="71"/>
      <c r="B18" s="3" t="s">
        <v>156</v>
      </c>
      <c r="C18" s="14">
        <v>-38373.74</v>
      </c>
      <c r="E18" s="14">
        <f>-49700.28+23709.72</f>
        <v>-25990.559999999998</v>
      </c>
      <c r="G18" s="14">
        <v>0</v>
      </c>
      <c r="I18" s="14">
        <v>0</v>
      </c>
      <c r="K18" s="14">
        <v>4183.9399999999996</v>
      </c>
      <c r="M18" s="14">
        <v>0</v>
      </c>
      <c r="O18" s="14">
        <v>0</v>
      </c>
      <c r="Q18" s="14">
        <f t="shared" si="0"/>
        <v>-60180.359999999993</v>
      </c>
      <c r="S18" s="14">
        <f t="shared" si="1"/>
        <v>0</v>
      </c>
      <c r="U18" s="14">
        <f t="shared" si="2"/>
        <v>0</v>
      </c>
      <c r="W18" s="14">
        <f t="shared" si="3"/>
        <v>-60180.359999999993</v>
      </c>
      <c r="Y18" s="14">
        <f t="shared" si="4"/>
        <v>0</v>
      </c>
      <c r="AA18" s="14">
        <f t="shared" si="5"/>
        <v>-60180.359999999993</v>
      </c>
      <c r="AC18" s="14">
        <f t="shared" si="6"/>
        <v>0</v>
      </c>
    </row>
    <row r="19" spans="1:29" x14ac:dyDescent="0.2">
      <c r="A19" s="71"/>
      <c r="B19" s="3" t="s">
        <v>157</v>
      </c>
      <c r="C19" s="14">
        <v>0</v>
      </c>
      <c r="E19" s="14">
        <v>0</v>
      </c>
      <c r="G19" s="14">
        <v>0</v>
      </c>
      <c r="I19" s="14">
        <v>0</v>
      </c>
      <c r="K19" s="14">
        <v>0</v>
      </c>
      <c r="M19" s="14">
        <v>0</v>
      </c>
      <c r="O19" s="14">
        <v>0</v>
      </c>
      <c r="Q19" s="14">
        <f t="shared" si="0"/>
        <v>0</v>
      </c>
      <c r="S19" s="14">
        <f t="shared" si="1"/>
        <v>0</v>
      </c>
      <c r="U19" s="14">
        <f t="shared" si="2"/>
        <v>0</v>
      </c>
      <c r="W19" s="14">
        <f t="shared" si="3"/>
        <v>0</v>
      </c>
      <c r="Y19" s="14">
        <f t="shared" si="4"/>
        <v>0</v>
      </c>
      <c r="AA19" s="14">
        <f t="shared" si="5"/>
        <v>0</v>
      </c>
      <c r="AC19" s="14">
        <f t="shared" si="6"/>
        <v>0</v>
      </c>
    </row>
    <row r="20" spans="1:29" x14ac:dyDescent="0.2">
      <c r="A20" s="71"/>
      <c r="B20" s="3" t="s">
        <v>158</v>
      </c>
      <c r="C20" s="14">
        <v>0</v>
      </c>
      <c r="E20" s="14">
        <v>0</v>
      </c>
      <c r="G20" s="14">
        <v>0</v>
      </c>
      <c r="I20" s="14">
        <v>0</v>
      </c>
      <c r="K20" s="14">
        <v>0</v>
      </c>
      <c r="M20" s="14">
        <v>0</v>
      </c>
      <c r="O20" s="14">
        <v>0</v>
      </c>
      <c r="Q20" s="14">
        <f t="shared" si="0"/>
        <v>0</v>
      </c>
      <c r="S20" s="14">
        <f t="shared" si="1"/>
        <v>0</v>
      </c>
      <c r="U20" s="14">
        <f t="shared" si="2"/>
        <v>0</v>
      </c>
      <c r="W20" s="14">
        <f t="shared" si="3"/>
        <v>0</v>
      </c>
      <c r="Y20" s="14">
        <f t="shared" si="4"/>
        <v>0</v>
      </c>
      <c r="AA20" s="14">
        <f t="shared" si="5"/>
        <v>0</v>
      </c>
      <c r="AC20" s="14">
        <f t="shared" si="6"/>
        <v>0</v>
      </c>
    </row>
    <row r="21" spans="1:29" x14ac:dyDescent="0.2">
      <c r="A21" s="71"/>
      <c r="B21" s="3" t="s">
        <v>159</v>
      </c>
      <c r="C21" s="14">
        <v>0</v>
      </c>
      <c r="E21" s="14">
        <v>0</v>
      </c>
      <c r="G21" s="14">
        <v>0</v>
      </c>
      <c r="I21" s="14">
        <v>0</v>
      </c>
      <c r="K21" s="14">
        <v>0</v>
      </c>
      <c r="M21" s="14">
        <v>0</v>
      </c>
      <c r="O21" s="14">
        <v>0</v>
      </c>
      <c r="Q21" s="14">
        <f t="shared" si="0"/>
        <v>0</v>
      </c>
      <c r="S21" s="14">
        <f t="shared" si="1"/>
        <v>0</v>
      </c>
      <c r="U21" s="14">
        <f t="shared" si="2"/>
        <v>0</v>
      </c>
      <c r="W21" s="14">
        <f t="shared" si="3"/>
        <v>0</v>
      </c>
      <c r="Y21" s="14">
        <f t="shared" si="4"/>
        <v>0</v>
      </c>
      <c r="AA21" s="14">
        <f t="shared" si="5"/>
        <v>0</v>
      </c>
      <c r="AC21" s="14">
        <f t="shared" si="6"/>
        <v>0</v>
      </c>
    </row>
    <row r="22" spans="1:29" x14ac:dyDescent="0.2">
      <c r="A22" s="71"/>
      <c r="B22" s="3" t="s">
        <v>160</v>
      </c>
      <c r="C22" s="14">
        <v>0</v>
      </c>
      <c r="E22" s="14">
        <v>0</v>
      </c>
      <c r="G22" s="14">
        <v>0</v>
      </c>
      <c r="I22" s="14">
        <v>0</v>
      </c>
      <c r="K22" s="14">
        <v>0</v>
      </c>
      <c r="M22" s="14">
        <v>0</v>
      </c>
      <c r="O22" s="14">
        <v>0</v>
      </c>
      <c r="Q22" s="14">
        <f t="shared" si="0"/>
        <v>0</v>
      </c>
      <c r="S22" s="14">
        <f t="shared" si="1"/>
        <v>0</v>
      </c>
      <c r="U22" s="14">
        <f t="shared" si="2"/>
        <v>0</v>
      </c>
      <c r="W22" s="14">
        <f t="shared" si="3"/>
        <v>0</v>
      </c>
      <c r="Y22" s="14">
        <f t="shared" si="4"/>
        <v>0</v>
      </c>
      <c r="AA22" s="14">
        <f t="shared" si="5"/>
        <v>0</v>
      </c>
      <c r="AC22" s="14">
        <f t="shared" si="6"/>
        <v>0</v>
      </c>
    </row>
    <row r="23" spans="1:29" x14ac:dyDescent="0.2">
      <c r="A23" s="71"/>
      <c r="B23" s="3" t="s">
        <v>161</v>
      </c>
      <c r="C23" s="14">
        <v>0</v>
      </c>
      <c r="E23" s="14">
        <v>0</v>
      </c>
      <c r="G23" s="14">
        <v>0</v>
      </c>
      <c r="I23" s="14">
        <v>0</v>
      </c>
      <c r="K23" s="14">
        <v>0</v>
      </c>
      <c r="M23" s="14">
        <v>0</v>
      </c>
      <c r="O23" s="14">
        <v>0</v>
      </c>
      <c r="Q23" s="14">
        <f t="shared" si="0"/>
        <v>0</v>
      </c>
      <c r="S23" s="14">
        <f t="shared" si="1"/>
        <v>0</v>
      </c>
      <c r="U23" s="14">
        <f t="shared" si="2"/>
        <v>0</v>
      </c>
      <c r="W23" s="14">
        <f t="shared" si="3"/>
        <v>0</v>
      </c>
      <c r="Y23" s="14">
        <f t="shared" si="4"/>
        <v>0</v>
      </c>
      <c r="AA23" s="14">
        <f t="shared" si="5"/>
        <v>0</v>
      </c>
      <c r="AC23" s="14">
        <f t="shared" si="6"/>
        <v>0</v>
      </c>
    </row>
    <row r="24" spans="1:29" x14ac:dyDescent="0.2">
      <c r="A24" s="71"/>
      <c r="B24" s="3" t="s">
        <v>162</v>
      </c>
      <c r="C24" s="14">
        <v>0</v>
      </c>
      <c r="E24" s="14">
        <v>0</v>
      </c>
      <c r="G24" s="14">
        <v>0</v>
      </c>
      <c r="I24" s="14">
        <v>0</v>
      </c>
      <c r="K24" s="14">
        <v>0</v>
      </c>
      <c r="M24" s="14">
        <v>0</v>
      </c>
      <c r="O24" s="14">
        <v>0</v>
      </c>
      <c r="Q24" s="14">
        <f t="shared" si="0"/>
        <v>0</v>
      </c>
      <c r="S24" s="14">
        <f t="shared" si="1"/>
        <v>0</v>
      </c>
      <c r="U24" s="14">
        <f t="shared" si="2"/>
        <v>0</v>
      </c>
      <c r="W24" s="14">
        <f t="shared" si="3"/>
        <v>0</v>
      </c>
      <c r="Y24" s="14">
        <f t="shared" si="4"/>
        <v>0</v>
      </c>
      <c r="AA24" s="14">
        <f t="shared" si="5"/>
        <v>0</v>
      </c>
      <c r="AC24" s="14">
        <f t="shared" si="6"/>
        <v>0</v>
      </c>
    </row>
    <row r="25" spans="1:29" x14ac:dyDescent="0.2">
      <c r="A25" s="71"/>
      <c r="B25" s="3" t="s">
        <v>163</v>
      </c>
      <c r="C25" s="14">
        <v>0</v>
      </c>
      <c r="E25" s="14">
        <v>0</v>
      </c>
      <c r="G25" s="14">
        <v>0</v>
      </c>
      <c r="I25" s="14">
        <v>0</v>
      </c>
      <c r="K25" s="14">
        <v>0</v>
      </c>
      <c r="M25" s="14">
        <v>0</v>
      </c>
      <c r="O25" s="14">
        <v>0</v>
      </c>
      <c r="Q25" s="14">
        <f t="shared" si="0"/>
        <v>0</v>
      </c>
      <c r="S25" s="14">
        <f t="shared" si="1"/>
        <v>0</v>
      </c>
      <c r="U25" s="14">
        <f t="shared" si="2"/>
        <v>0</v>
      </c>
      <c r="W25" s="14">
        <f t="shared" si="3"/>
        <v>0</v>
      </c>
      <c r="Y25" s="14">
        <f t="shared" si="4"/>
        <v>0</v>
      </c>
      <c r="AA25" s="14">
        <f t="shared" si="5"/>
        <v>0</v>
      </c>
      <c r="AC25" s="14">
        <f t="shared" si="6"/>
        <v>0</v>
      </c>
    </row>
    <row r="26" spans="1:29" x14ac:dyDescent="0.2">
      <c r="A26" s="71"/>
      <c r="B26" s="3" t="s">
        <v>165</v>
      </c>
      <c r="C26" s="14">
        <v>0</v>
      </c>
      <c r="E26" s="14">
        <v>0</v>
      </c>
      <c r="G26" s="14">
        <v>-855168.89</v>
      </c>
      <c r="I26" s="14">
        <v>0</v>
      </c>
      <c r="K26" s="14">
        <v>0</v>
      </c>
      <c r="M26" s="14">
        <v>0</v>
      </c>
      <c r="O26" s="14">
        <v>0</v>
      </c>
      <c r="Q26" s="14">
        <f t="shared" si="0"/>
        <v>-855168.89</v>
      </c>
      <c r="S26" s="14">
        <f t="shared" si="1"/>
        <v>0</v>
      </c>
      <c r="U26" s="14">
        <f t="shared" si="2"/>
        <v>0</v>
      </c>
      <c r="W26" s="14">
        <f t="shared" si="3"/>
        <v>-855168.89</v>
      </c>
      <c r="Y26" s="14">
        <f t="shared" si="4"/>
        <v>0</v>
      </c>
      <c r="AA26" s="14">
        <f t="shared" si="5"/>
        <v>-855168.89</v>
      </c>
      <c r="AC26" s="14">
        <f t="shared" si="6"/>
        <v>0</v>
      </c>
    </row>
    <row r="27" spans="1:29" x14ac:dyDescent="0.2">
      <c r="A27" s="71"/>
      <c r="B27" s="3" t="s">
        <v>166</v>
      </c>
      <c r="C27" s="14">
        <v>0</v>
      </c>
      <c r="E27" s="14">
        <v>0</v>
      </c>
      <c r="G27" s="14">
        <f>855168.89</f>
        <v>855168.89</v>
      </c>
      <c r="I27" s="14">
        <v>0</v>
      </c>
      <c r="K27" s="14">
        <v>0</v>
      </c>
      <c r="M27" s="14">
        <v>0</v>
      </c>
      <c r="O27" s="14">
        <v>0</v>
      </c>
      <c r="Q27" s="14">
        <f t="shared" si="0"/>
        <v>855168.89</v>
      </c>
      <c r="S27" s="14">
        <f t="shared" si="1"/>
        <v>0</v>
      </c>
      <c r="U27" s="14">
        <f t="shared" si="2"/>
        <v>0</v>
      </c>
      <c r="W27" s="14">
        <f t="shared" si="3"/>
        <v>855168.89</v>
      </c>
      <c r="Y27" s="14">
        <f t="shared" si="4"/>
        <v>0</v>
      </c>
      <c r="AA27" s="14">
        <f t="shared" si="5"/>
        <v>855168.89</v>
      </c>
      <c r="AC27" s="14">
        <f t="shared" si="6"/>
        <v>0</v>
      </c>
    </row>
    <row r="28" spans="1:29" x14ac:dyDescent="0.2">
      <c r="A28" s="71"/>
      <c r="B28" s="3" t="s">
        <v>167</v>
      </c>
      <c r="C28" s="14">
        <v>0</v>
      </c>
      <c r="E28" s="14">
        <v>0</v>
      </c>
      <c r="G28" s="14">
        <v>0</v>
      </c>
      <c r="I28" s="14">
        <v>0</v>
      </c>
      <c r="K28" s="14">
        <v>0</v>
      </c>
      <c r="M28" s="14">
        <v>0</v>
      </c>
      <c r="O28" s="14">
        <v>0</v>
      </c>
      <c r="Q28" s="14">
        <f t="shared" si="0"/>
        <v>0</v>
      </c>
      <c r="S28" s="14">
        <f t="shared" si="1"/>
        <v>0</v>
      </c>
      <c r="U28" s="14">
        <f t="shared" si="2"/>
        <v>0</v>
      </c>
      <c r="W28" s="14">
        <f t="shared" si="3"/>
        <v>0</v>
      </c>
      <c r="Y28" s="14">
        <f t="shared" si="4"/>
        <v>0</v>
      </c>
      <c r="AA28" s="14">
        <f t="shared" si="5"/>
        <v>0</v>
      </c>
      <c r="AC28" s="14">
        <f t="shared" si="6"/>
        <v>0</v>
      </c>
    </row>
    <row r="29" spans="1:29" x14ac:dyDescent="0.2">
      <c r="A29" s="71"/>
      <c r="B29" s="73" t="s">
        <v>168</v>
      </c>
      <c r="C29" s="14">
        <v>0</v>
      </c>
      <c r="E29" s="14">
        <v>0</v>
      </c>
      <c r="G29" s="14">
        <v>0</v>
      </c>
      <c r="I29" s="14">
        <v>0</v>
      </c>
      <c r="K29" s="14">
        <v>0</v>
      </c>
      <c r="M29" s="14">
        <v>0</v>
      </c>
      <c r="O29" s="14">
        <v>0</v>
      </c>
      <c r="Q29" s="14">
        <f t="shared" si="0"/>
        <v>0</v>
      </c>
      <c r="S29" s="14">
        <f t="shared" si="1"/>
        <v>0</v>
      </c>
      <c r="U29" s="14">
        <f t="shared" si="2"/>
        <v>0</v>
      </c>
      <c r="W29" s="14">
        <f t="shared" si="3"/>
        <v>0</v>
      </c>
      <c r="Y29" s="14">
        <f t="shared" si="4"/>
        <v>0</v>
      </c>
      <c r="AA29" s="14">
        <f t="shared" si="5"/>
        <v>0</v>
      </c>
      <c r="AC29" s="14">
        <f t="shared" si="6"/>
        <v>0</v>
      </c>
    </row>
    <row r="30" spans="1:29" x14ac:dyDescent="0.2">
      <c r="A30" s="71"/>
      <c r="B30" s="12" t="s">
        <v>169</v>
      </c>
      <c r="C30" s="18">
        <f>SUM(C15:C29)</f>
        <v>-38373.74</v>
      </c>
      <c r="E30" s="18">
        <f>SUM(E15:E29)</f>
        <v>-25990.559999999998</v>
      </c>
      <c r="G30" s="18">
        <f>SUM(G15:G29)</f>
        <v>0</v>
      </c>
      <c r="I30" s="18">
        <f>SUM(I15:I29)</f>
        <v>0</v>
      </c>
      <c r="K30" s="18">
        <f>SUM(K15:K29)</f>
        <v>4183.9399999999996</v>
      </c>
      <c r="M30" s="18">
        <f>SUM(M15:M29)</f>
        <v>0</v>
      </c>
      <c r="O30" s="18">
        <f>SUM(O15:O29)</f>
        <v>0</v>
      </c>
      <c r="Q30" s="18">
        <f>SUM(Q15:Q29)</f>
        <v>-60180.359999999986</v>
      </c>
      <c r="S30" s="18">
        <f>SUM(S15:S29)</f>
        <v>0</v>
      </c>
      <c r="U30" s="18">
        <f>SUM(U15:U29)</f>
        <v>0</v>
      </c>
      <c r="W30" s="18">
        <f>SUM(W15:W29)</f>
        <v>-60180.359999999986</v>
      </c>
      <c r="Y30" s="18">
        <f>SUM(Y15:Y29)</f>
        <v>0</v>
      </c>
      <c r="AA30" s="18">
        <f>SUM(AA15:AA29)</f>
        <v>-60180.359999999986</v>
      </c>
      <c r="AC30" s="18">
        <f>+Q30-AA30</f>
        <v>0</v>
      </c>
    </row>
    <row r="31" spans="1:29" x14ac:dyDescent="0.2">
      <c r="A31" s="71"/>
      <c r="C31" s="14"/>
      <c r="E31" s="14"/>
      <c r="G31" s="14"/>
      <c r="I31" s="14"/>
      <c r="K31" s="14"/>
      <c r="M31" s="14"/>
      <c r="O31" s="14"/>
      <c r="Q31" s="14"/>
      <c r="S31" s="14"/>
      <c r="U31" s="14"/>
      <c r="W31" s="14"/>
      <c r="Y31" s="14"/>
      <c r="AA31" s="14"/>
      <c r="AC31" s="14"/>
    </row>
    <row r="32" spans="1:29" x14ac:dyDescent="0.2">
      <c r="A32" s="71"/>
      <c r="B32" s="12" t="s">
        <v>13</v>
      </c>
      <c r="C32" s="14"/>
      <c r="E32" s="14"/>
      <c r="G32" s="14"/>
      <c r="I32" s="14"/>
      <c r="K32" s="14"/>
      <c r="M32" s="14"/>
      <c r="O32" s="14"/>
      <c r="Q32" s="14"/>
      <c r="S32" s="14"/>
      <c r="U32" s="14"/>
      <c r="W32" s="14"/>
      <c r="Y32" s="14"/>
      <c r="AA32" s="14"/>
      <c r="AC32" s="14"/>
    </row>
    <row r="33" spans="1:29" x14ac:dyDescent="0.2">
      <c r="A33" s="71"/>
      <c r="B33" s="43" t="s">
        <v>170</v>
      </c>
      <c r="C33" s="14">
        <v>0</v>
      </c>
      <c r="E33" s="14">
        <v>0</v>
      </c>
      <c r="G33" s="14">
        <v>0</v>
      </c>
      <c r="I33" s="14">
        <v>0</v>
      </c>
      <c r="K33" s="14">
        <v>0</v>
      </c>
      <c r="M33" s="14">
        <v>0</v>
      </c>
      <c r="O33" s="14">
        <v>0</v>
      </c>
      <c r="Q33" s="14">
        <f t="shared" ref="Q33:Q48" si="7">SUM(C33:P33)</f>
        <v>0</v>
      </c>
      <c r="S33" s="14">
        <f t="shared" ref="S33:S48" si="8">SUMIF($C$9:$P$9,"=Addition",$C33:$P33)</f>
        <v>0</v>
      </c>
      <c r="U33" s="14">
        <f t="shared" ref="U33:U48" si="9">SUMIF($C$9:$P$9,"=Adjustment",$C33:$P33)</f>
        <v>0</v>
      </c>
      <c r="W33" s="14">
        <f t="shared" ref="W33:W48" si="10">SUMIF($C$9:$P$9,"=Transfer",$C33:$P33)</f>
        <v>0</v>
      </c>
      <c r="Y33" s="14">
        <f t="shared" ref="Y33:Y48" si="11">SUMIF($C$9:$P$9,"=Addition",$C33:$P33)</f>
        <v>0</v>
      </c>
      <c r="AA33" s="14">
        <f t="shared" ref="AA33:AA48" si="12">SUM(S33:Y33)</f>
        <v>0</v>
      </c>
      <c r="AC33" s="14">
        <f>+Q33-AA33</f>
        <v>0</v>
      </c>
    </row>
    <row r="34" spans="1:29" x14ac:dyDescent="0.2">
      <c r="A34" s="71"/>
      <c r="B34" s="3" t="s">
        <v>171</v>
      </c>
      <c r="C34" s="14">
        <v>0</v>
      </c>
      <c r="E34" s="14">
        <v>0</v>
      </c>
      <c r="G34" s="14">
        <v>0</v>
      </c>
      <c r="I34" s="14">
        <v>0</v>
      </c>
      <c r="K34" s="14">
        <v>0</v>
      </c>
      <c r="M34" s="14">
        <v>0</v>
      </c>
      <c r="O34" s="14">
        <v>0</v>
      </c>
      <c r="Q34" s="14">
        <f t="shared" si="7"/>
        <v>0</v>
      </c>
      <c r="S34" s="14">
        <f t="shared" si="8"/>
        <v>0</v>
      </c>
      <c r="U34" s="14">
        <f t="shared" si="9"/>
        <v>0</v>
      </c>
      <c r="W34" s="14">
        <f t="shared" si="10"/>
        <v>0</v>
      </c>
      <c r="Y34" s="14">
        <f t="shared" si="11"/>
        <v>0</v>
      </c>
      <c r="AA34" s="14">
        <f t="shared" si="12"/>
        <v>0</v>
      </c>
      <c r="AC34" s="14">
        <f t="shared" ref="AC34:AC48" si="13">+Q34-AA34</f>
        <v>0</v>
      </c>
    </row>
    <row r="35" spans="1:29" x14ac:dyDescent="0.2">
      <c r="A35" s="71"/>
      <c r="B35" s="3" t="s">
        <v>172</v>
      </c>
      <c r="C35" s="14">
        <v>0</v>
      </c>
      <c r="E35" s="14">
        <v>0</v>
      </c>
      <c r="G35" s="14">
        <v>0</v>
      </c>
      <c r="I35" s="14">
        <v>0</v>
      </c>
      <c r="K35" s="14">
        <v>0</v>
      </c>
      <c r="M35" s="14">
        <v>0</v>
      </c>
      <c r="O35" s="14">
        <v>0</v>
      </c>
      <c r="Q35" s="14">
        <f t="shared" si="7"/>
        <v>0</v>
      </c>
      <c r="S35" s="14">
        <f t="shared" si="8"/>
        <v>0</v>
      </c>
      <c r="U35" s="14">
        <f t="shared" si="9"/>
        <v>0</v>
      </c>
      <c r="W35" s="14">
        <f t="shared" si="10"/>
        <v>0</v>
      </c>
      <c r="Y35" s="14">
        <f t="shared" si="11"/>
        <v>0</v>
      </c>
      <c r="AA35" s="14">
        <f t="shared" si="12"/>
        <v>0</v>
      </c>
      <c r="AC35" s="14">
        <f t="shared" si="13"/>
        <v>0</v>
      </c>
    </row>
    <row r="36" spans="1:29" x14ac:dyDescent="0.2">
      <c r="A36" s="71"/>
      <c r="B36" s="3" t="s">
        <v>173</v>
      </c>
      <c r="C36" s="14">
        <v>0</v>
      </c>
      <c r="E36" s="14">
        <v>0</v>
      </c>
      <c r="G36" s="14">
        <v>0</v>
      </c>
      <c r="I36" s="14">
        <v>0</v>
      </c>
      <c r="K36" s="14">
        <v>0</v>
      </c>
      <c r="M36" s="14">
        <v>0</v>
      </c>
      <c r="O36" s="14">
        <v>0</v>
      </c>
      <c r="Q36" s="14">
        <f t="shared" si="7"/>
        <v>0</v>
      </c>
      <c r="S36" s="14">
        <f t="shared" si="8"/>
        <v>0</v>
      </c>
      <c r="U36" s="14">
        <f t="shared" si="9"/>
        <v>0</v>
      </c>
      <c r="W36" s="14">
        <f t="shared" si="10"/>
        <v>0</v>
      </c>
      <c r="Y36" s="14">
        <f t="shared" si="11"/>
        <v>0</v>
      </c>
      <c r="AA36" s="14">
        <f t="shared" si="12"/>
        <v>0</v>
      </c>
      <c r="AC36" s="14">
        <f t="shared" si="13"/>
        <v>0</v>
      </c>
    </row>
    <row r="37" spans="1:29" x14ac:dyDescent="0.2">
      <c r="A37" s="71"/>
      <c r="B37" s="3" t="s">
        <v>174</v>
      </c>
      <c r="C37" s="14">
        <v>0</v>
      </c>
      <c r="E37" s="14">
        <v>0</v>
      </c>
      <c r="G37" s="14">
        <v>0</v>
      </c>
      <c r="I37" s="14">
        <v>0</v>
      </c>
      <c r="K37" s="14">
        <v>0</v>
      </c>
      <c r="M37" s="14">
        <v>0</v>
      </c>
      <c r="O37" s="14">
        <v>0</v>
      </c>
      <c r="Q37" s="14">
        <f t="shared" si="7"/>
        <v>0</v>
      </c>
      <c r="S37" s="14">
        <f t="shared" si="8"/>
        <v>0</v>
      </c>
      <c r="U37" s="14">
        <f t="shared" si="9"/>
        <v>0</v>
      </c>
      <c r="W37" s="14">
        <f t="shared" si="10"/>
        <v>0</v>
      </c>
      <c r="Y37" s="14">
        <f t="shared" si="11"/>
        <v>0</v>
      </c>
      <c r="AA37" s="14">
        <f t="shared" si="12"/>
        <v>0</v>
      </c>
      <c r="AC37" s="14">
        <f t="shared" si="13"/>
        <v>0</v>
      </c>
    </row>
    <row r="38" spans="1:29" x14ac:dyDescent="0.2">
      <c r="A38" s="71"/>
      <c r="B38" s="3" t="s">
        <v>175</v>
      </c>
      <c r="C38" s="14">
        <v>0</v>
      </c>
      <c r="E38" s="14">
        <v>0</v>
      </c>
      <c r="G38" s="14">
        <v>0</v>
      </c>
      <c r="I38" s="14">
        <v>0</v>
      </c>
      <c r="K38" s="14">
        <v>0</v>
      </c>
      <c r="M38" s="14">
        <v>0</v>
      </c>
      <c r="O38" s="14">
        <v>0</v>
      </c>
      <c r="Q38" s="14">
        <f t="shared" si="7"/>
        <v>0</v>
      </c>
      <c r="S38" s="14">
        <f t="shared" si="8"/>
        <v>0</v>
      </c>
      <c r="U38" s="14">
        <f t="shared" si="9"/>
        <v>0</v>
      </c>
      <c r="W38" s="14">
        <f t="shared" si="10"/>
        <v>0</v>
      </c>
      <c r="Y38" s="14">
        <f t="shared" si="11"/>
        <v>0</v>
      </c>
      <c r="AA38" s="14">
        <f t="shared" si="12"/>
        <v>0</v>
      </c>
      <c r="AC38" s="14">
        <f t="shared" si="13"/>
        <v>0</v>
      </c>
    </row>
    <row r="39" spans="1:29" x14ac:dyDescent="0.2">
      <c r="A39" s="71"/>
      <c r="B39" s="3" t="s">
        <v>176</v>
      </c>
      <c r="C39" s="14">
        <v>0</v>
      </c>
      <c r="E39" s="14">
        <v>0</v>
      </c>
      <c r="G39" s="14">
        <v>0</v>
      </c>
      <c r="I39" s="14">
        <v>0</v>
      </c>
      <c r="K39" s="14">
        <v>0</v>
      </c>
      <c r="M39" s="14">
        <v>0</v>
      </c>
      <c r="O39" s="14">
        <v>0</v>
      </c>
      <c r="Q39" s="14">
        <f t="shared" si="7"/>
        <v>0</v>
      </c>
      <c r="S39" s="14">
        <f t="shared" si="8"/>
        <v>0</v>
      </c>
      <c r="U39" s="14">
        <f t="shared" si="9"/>
        <v>0</v>
      </c>
      <c r="W39" s="14">
        <f t="shared" si="10"/>
        <v>0</v>
      </c>
      <c r="Y39" s="14">
        <f t="shared" si="11"/>
        <v>0</v>
      </c>
      <c r="AA39" s="14">
        <f t="shared" si="12"/>
        <v>0</v>
      </c>
      <c r="AC39" s="14">
        <f t="shared" si="13"/>
        <v>0</v>
      </c>
    </row>
    <row r="40" spans="1:29" x14ac:dyDescent="0.2">
      <c r="A40" s="71"/>
      <c r="B40" s="3" t="s">
        <v>177</v>
      </c>
      <c r="C40" s="14">
        <v>0</v>
      </c>
      <c r="E40" s="14">
        <v>0</v>
      </c>
      <c r="G40" s="14">
        <v>0</v>
      </c>
      <c r="I40" s="14">
        <v>0</v>
      </c>
      <c r="K40" s="14">
        <v>0</v>
      </c>
      <c r="M40" s="14">
        <v>0</v>
      </c>
      <c r="O40" s="14">
        <v>0</v>
      </c>
      <c r="Q40" s="14">
        <f t="shared" si="7"/>
        <v>0</v>
      </c>
      <c r="S40" s="14">
        <f t="shared" si="8"/>
        <v>0</v>
      </c>
      <c r="U40" s="14">
        <f t="shared" si="9"/>
        <v>0</v>
      </c>
      <c r="W40" s="14">
        <f t="shared" si="10"/>
        <v>0</v>
      </c>
      <c r="Y40" s="14">
        <f t="shared" si="11"/>
        <v>0</v>
      </c>
      <c r="AA40" s="14">
        <f t="shared" si="12"/>
        <v>0</v>
      </c>
      <c r="AC40" s="14">
        <f t="shared" si="13"/>
        <v>0</v>
      </c>
    </row>
    <row r="41" spans="1:29" x14ac:dyDescent="0.2">
      <c r="A41" s="71"/>
      <c r="B41" s="3" t="s">
        <v>179</v>
      </c>
      <c r="C41" s="14">
        <v>0</v>
      </c>
      <c r="E41" s="14">
        <v>0</v>
      </c>
      <c r="G41" s="14">
        <v>0</v>
      </c>
      <c r="I41" s="14">
        <v>0</v>
      </c>
      <c r="K41" s="14">
        <v>0</v>
      </c>
      <c r="M41" s="14">
        <v>0</v>
      </c>
      <c r="O41" s="14">
        <v>0</v>
      </c>
      <c r="Q41" s="14">
        <f t="shared" si="7"/>
        <v>0</v>
      </c>
      <c r="S41" s="14">
        <f t="shared" si="8"/>
        <v>0</v>
      </c>
      <c r="U41" s="14">
        <f t="shared" si="9"/>
        <v>0</v>
      </c>
      <c r="W41" s="14">
        <f t="shared" si="10"/>
        <v>0</v>
      </c>
      <c r="Y41" s="14">
        <f t="shared" si="11"/>
        <v>0</v>
      </c>
      <c r="AA41" s="14">
        <f t="shared" si="12"/>
        <v>0</v>
      </c>
      <c r="AC41" s="14">
        <f t="shared" si="13"/>
        <v>0</v>
      </c>
    </row>
    <row r="42" spans="1:29" x14ac:dyDescent="0.2">
      <c r="A42" s="71"/>
      <c r="B42" s="3" t="s">
        <v>180</v>
      </c>
      <c r="C42" s="14">
        <v>0</v>
      </c>
      <c r="E42" s="14">
        <v>0</v>
      </c>
      <c r="G42" s="14">
        <v>0</v>
      </c>
      <c r="I42" s="14">
        <v>0</v>
      </c>
      <c r="K42" s="14">
        <v>0</v>
      </c>
      <c r="M42" s="14">
        <v>0</v>
      </c>
      <c r="O42" s="14">
        <v>0</v>
      </c>
      <c r="Q42" s="14">
        <f t="shared" si="7"/>
        <v>0</v>
      </c>
      <c r="S42" s="14">
        <f t="shared" si="8"/>
        <v>0</v>
      </c>
      <c r="U42" s="14">
        <f t="shared" si="9"/>
        <v>0</v>
      </c>
      <c r="W42" s="14">
        <f t="shared" si="10"/>
        <v>0</v>
      </c>
      <c r="Y42" s="14">
        <f t="shared" si="11"/>
        <v>0</v>
      </c>
      <c r="AA42" s="14">
        <f t="shared" si="12"/>
        <v>0</v>
      </c>
      <c r="AC42" s="14">
        <f t="shared" si="13"/>
        <v>0</v>
      </c>
    </row>
    <row r="43" spans="1:29" x14ac:dyDescent="0.2">
      <c r="A43" s="71"/>
      <c r="B43" s="3" t="s">
        <v>181</v>
      </c>
      <c r="C43" s="14">
        <v>0</v>
      </c>
      <c r="E43" s="14">
        <v>0</v>
      </c>
      <c r="G43" s="14">
        <v>0</v>
      </c>
      <c r="I43" s="14">
        <v>0</v>
      </c>
      <c r="K43" s="14">
        <v>0</v>
      </c>
      <c r="M43" s="14">
        <v>0</v>
      </c>
      <c r="O43" s="14">
        <v>0</v>
      </c>
      <c r="Q43" s="14">
        <f t="shared" si="7"/>
        <v>0</v>
      </c>
      <c r="S43" s="14">
        <f t="shared" si="8"/>
        <v>0</v>
      </c>
      <c r="U43" s="14">
        <f t="shared" si="9"/>
        <v>0</v>
      </c>
      <c r="W43" s="14">
        <f t="shared" si="10"/>
        <v>0</v>
      </c>
      <c r="Y43" s="14">
        <f t="shared" si="11"/>
        <v>0</v>
      </c>
      <c r="AA43" s="14">
        <f t="shared" si="12"/>
        <v>0</v>
      </c>
      <c r="AC43" s="14">
        <f t="shared" si="13"/>
        <v>0</v>
      </c>
    </row>
    <row r="44" spans="1:29" x14ac:dyDescent="0.2">
      <c r="A44" s="71"/>
      <c r="B44" s="3" t="s">
        <v>182</v>
      </c>
      <c r="C44" s="14">
        <v>0</v>
      </c>
      <c r="E44" s="14">
        <v>0</v>
      </c>
      <c r="G44" s="14">
        <v>0</v>
      </c>
      <c r="I44" s="14">
        <v>0</v>
      </c>
      <c r="K44" s="14">
        <v>0</v>
      </c>
      <c r="M44" s="14">
        <v>0</v>
      </c>
      <c r="O44" s="14">
        <v>0</v>
      </c>
      <c r="Q44" s="14">
        <f t="shared" si="7"/>
        <v>0</v>
      </c>
      <c r="S44" s="14">
        <f t="shared" si="8"/>
        <v>0</v>
      </c>
      <c r="U44" s="14">
        <f t="shared" si="9"/>
        <v>0</v>
      </c>
      <c r="W44" s="14">
        <f t="shared" si="10"/>
        <v>0</v>
      </c>
      <c r="Y44" s="14">
        <f t="shared" si="11"/>
        <v>0</v>
      </c>
      <c r="AA44" s="14">
        <f t="shared" si="12"/>
        <v>0</v>
      </c>
      <c r="AC44" s="14">
        <f t="shared" si="13"/>
        <v>0</v>
      </c>
    </row>
    <row r="45" spans="1:29" x14ac:dyDescent="0.2">
      <c r="A45" s="71"/>
      <c r="B45" s="43" t="s">
        <v>183</v>
      </c>
      <c r="C45" s="14">
        <v>0</v>
      </c>
      <c r="E45" s="14">
        <v>0</v>
      </c>
      <c r="G45" s="14">
        <v>0</v>
      </c>
      <c r="I45" s="92">
        <v>0</v>
      </c>
      <c r="K45" s="14">
        <v>0</v>
      </c>
      <c r="M45" s="14">
        <v>0</v>
      </c>
      <c r="O45" s="14">
        <v>0</v>
      </c>
      <c r="Q45" s="14">
        <f t="shared" si="7"/>
        <v>0</v>
      </c>
      <c r="S45" s="14">
        <f t="shared" si="8"/>
        <v>0</v>
      </c>
      <c r="U45" s="14">
        <f t="shared" si="9"/>
        <v>0</v>
      </c>
      <c r="W45" s="14">
        <f t="shared" si="10"/>
        <v>0</v>
      </c>
      <c r="Y45" s="14">
        <f t="shared" si="11"/>
        <v>0</v>
      </c>
      <c r="AA45" s="14">
        <f t="shared" si="12"/>
        <v>0</v>
      </c>
      <c r="AC45" s="14">
        <f t="shared" si="13"/>
        <v>0</v>
      </c>
    </row>
    <row r="46" spans="1:29" x14ac:dyDescent="0.2">
      <c r="A46" s="71"/>
      <c r="B46" s="43" t="s">
        <v>184</v>
      </c>
      <c r="C46" s="14">
        <v>0</v>
      </c>
      <c r="E46" s="14">
        <v>0</v>
      </c>
      <c r="G46" s="14">
        <v>0</v>
      </c>
      <c r="I46" s="92">
        <v>0</v>
      </c>
      <c r="K46" s="14">
        <v>0</v>
      </c>
      <c r="M46" s="14">
        <v>0</v>
      </c>
      <c r="O46" s="14">
        <v>0</v>
      </c>
      <c r="Q46" s="14">
        <f t="shared" si="7"/>
        <v>0</v>
      </c>
      <c r="S46" s="14">
        <f t="shared" si="8"/>
        <v>0</v>
      </c>
      <c r="U46" s="14">
        <f t="shared" si="9"/>
        <v>0</v>
      </c>
      <c r="W46" s="14">
        <f t="shared" si="10"/>
        <v>0</v>
      </c>
      <c r="Y46" s="14">
        <f t="shared" si="11"/>
        <v>0</v>
      </c>
      <c r="AA46" s="14">
        <f t="shared" si="12"/>
        <v>0</v>
      </c>
      <c r="AC46" s="14">
        <f t="shared" si="13"/>
        <v>0</v>
      </c>
    </row>
    <row r="47" spans="1:29" x14ac:dyDescent="0.2">
      <c r="A47" s="71"/>
      <c r="B47" s="3" t="s">
        <v>185</v>
      </c>
      <c r="C47" s="14">
        <v>0</v>
      </c>
      <c r="E47" s="14">
        <v>0</v>
      </c>
      <c r="G47" s="14">
        <v>0</v>
      </c>
      <c r="I47" s="14">
        <v>0</v>
      </c>
      <c r="K47" s="14">
        <v>0</v>
      </c>
      <c r="M47" s="14">
        <v>0</v>
      </c>
      <c r="O47" s="14">
        <v>0</v>
      </c>
      <c r="Q47" s="14">
        <f t="shared" si="7"/>
        <v>0</v>
      </c>
      <c r="S47" s="14">
        <f t="shared" si="8"/>
        <v>0</v>
      </c>
      <c r="U47" s="14">
        <f t="shared" si="9"/>
        <v>0</v>
      </c>
      <c r="W47" s="14">
        <f t="shared" si="10"/>
        <v>0</v>
      </c>
      <c r="Y47" s="14">
        <f t="shared" si="11"/>
        <v>0</v>
      </c>
      <c r="AA47" s="14">
        <f t="shared" si="12"/>
        <v>0</v>
      </c>
      <c r="AC47" s="14">
        <f t="shared" si="13"/>
        <v>0</v>
      </c>
    </row>
    <row r="48" spans="1:29" x14ac:dyDescent="0.2">
      <c r="A48" s="71"/>
      <c r="B48" s="3" t="s">
        <v>186</v>
      </c>
      <c r="C48" s="14">
        <v>0</v>
      </c>
      <c r="E48" s="14">
        <v>0</v>
      </c>
      <c r="G48" s="14">
        <v>0</v>
      </c>
      <c r="I48" s="14">
        <v>0</v>
      </c>
      <c r="K48" s="14">
        <v>0</v>
      </c>
      <c r="M48" s="14">
        <v>0</v>
      </c>
      <c r="O48" s="14">
        <v>0</v>
      </c>
      <c r="Q48" s="14">
        <f t="shared" si="7"/>
        <v>0</v>
      </c>
      <c r="S48" s="14">
        <f t="shared" si="8"/>
        <v>0</v>
      </c>
      <c r="U48" s="14">
        <f t="shared" si="9"/>
        <v>0</v>
      </c>
      <c r="W48" s="14">
        <f t="shared" si="10"/>
        <v>0</v>
      </c>
      <c r="Y48" s="14">
        <f t="shared" si="11"/>
        <v>0</v>
      </c>
      <c r="AA48" s="14">
        <f t="shared" si="12"/>
        <v>0</v>
      </c>
      <c r="AC48" s="14">
        <f t="shared" si="13"/>
        <v>0</v>
      </c>
    </row>
    <row r="49" spans="1:29" x14ac:dyDescent="0.2">
      <c r="A49" s="71"/>
      <c r="B49" s="12" t="s">
        <v>187</v>
      </c>
      <c r="C49" s="18">
        <f>SUM(C33:C48)</f>
        <v>0</v>
      </c>
      <c r="E49" s="18">
        <f>SUM(E33:E48)</f>
        <v>0</v>
      </c>
      <c r="G49" s="18">
        <f>SUM(G33:G48)</f>
        <v>0</v>
      </c>
      <c r="I49" s="18">
        <f>SUM(I33:I48)</f>
        <v>0</v>
      </c>
      <c r="K49" s="18">
        <f>SUM(K33:K48)</f>
        <v>0</v>
      </c>
      <c r="M49" s="18">
        <f>SUM(M33:M48)</f>
        <v>0</v>
      </c>
      <c r="O49" s="18">
        <f>SUM(O33:O48)</f>
        <v>0</v>
      </c>
      <c r="Q49" s="18">
        <f>SUM(Q33:Q48)</f>
        <v>0</v>
      </c>
      <c r="S49" s="18">
        <f>SUM(S33:S48)</f>
        <v>0</v>
      </c>
      <c r="U49" s="18">
        <f>SUM(U33:U48)</f>
        <v>0</v>
      </c>
      <c r="W49" s="18">
        <f>SUM(W33:W48)</f>
        <v>0</v>
      </c>
      <c r="Y49" s="18">
        <f>SUM(Y33:Y48)</f>
        <v>0</v>
      </c>
      <c r="AA49" s="18">
        <f>SUM(AA33:AA48)</f>
        <v>0</v>
      </c>
      <c r="AC49" s="18">
        <f>+Q49-AA49</f>
        <v>0</v>
      </c>
    </row>
    <row r="50" spans="1:29" x14ac:dyDescent="0.2">
      <c r="A50" s="71"/>
      <c r="C50" s="14"/>
      <c r="E50" s="14"/>
      <c r="G50" s="14"/>
      <c r="I50" s="14"/>
      <c r="K50" s="14"/>
      <c r="M50" s="14"/>
      <c r="O50" s="14"/>
      <c r="Q50" s="14"/>
      <c r="S50" s="14"/>
      <c r="U50" s="14"/>
      <c r="W50" s="14"/>
      <c r="Y50" s="14"/>
      <c r="AA50" s="14"/>
      <c r="AC50" s="14"/>
    </row>
    <row r="51" spans="1:29" x14ac:dyDescent="0.2">
      <c r="A51" s="71"/>
      <c r="B51" s="12" t="s">
        <v>15</v>
      </c>
      <c r="C51" s="14"/>
      <c r="E51" s="14"/>
      <c r="G51" s="14"/>
      <c r="I51" s="14"/>
      <c r="K51" s="14"/>
      <c r="M51" s="14"/>
      <c r="O51" s="14"/>
      <c r="Q51" s="14"/>
      <c r="S51" s="14"/>
      <c r="U51" s="14"/>
      <c r="W51" s="14"/>
      <c r="Y51" s="14"/>
      <c r="AA51" s="14"/>
      <c r="AC51" s="14"/>
    </row>
    <row r="52" spans="1:29" x14ac:dyDescent="0.2">
      <c r="A52" s="71"/>
      <c r="B52" s="43" t="s">
        <v>197</v>
      </c>
      <c r="C52" s="14">
        <v>0</v>
      </c>
      <c r="E52" s="14">
        <v>0</v>
      </c>
      <c r="G52" s="14">
        <v>0</v>
      </c>
      <c r="I52" s="14">
        <v>0</v>
      </c>
      <c r="K52" s="14">
        <v>0</v>
      </c>
      <c r="M52" s="14">
        <v>0</v>
      </c>
      <c r="O52" s="14">
        <v>0</v>
      </c>
      <c r="Q52" s="14">
        <f>SUM(C52:P52)</f>
        <v>0</v>
      </c>
      <c r="S52" s="14">
        <f>SUMIF($C$9:$P$9,"=Addition",$C52:$P52)</f>
        <v>0</v>
      </c>
      <c r="U52" s="14">
        <f>SUMIF($C$9:$P$9,"=Adjustment",$C52:$P52)</f>
        <v>0</v>
      </c>
      <c r="W52" s="14">
        <f>SUMIF($C$9:$P$9,"=Transfer",$C52:$P52)</f>
        <v>0</v>
      </c>
      <c r="Y52" s="14">
        <f>SUMIF($C$9:$P$9,"=Addition",$C52:$P52)</f>
        <v>0</v>
      </c>
      <c r="AA52" s="14">
        <f>SUM(S52:Y52)</f>
        <v>0</v>
      </c>
      <c r="AC52" s="14">
        <f>+Q52-AA52</f>
        <v>0</v>
      </c>
    </row>
    <row r="53" spans="1:29" x14ac:dyDescent="0.2">
      <c r="A53" s="71"/>
      <c r="B53" s="3" t="s">
        <v>198</v>
      </c>
      <c r="C53" s="14">
        <v>0</v>
      </c>
      <c r="E53" s="14">
        <v>0</v>
      </c>
      <c r="G53" s="14">
        <v>0</v>
      </c>
      <c r="I53" s="14">
        <v>0</v>
      </c>
      <c r="K53" s="14">
        <v>0</v>
      </c>
      <c r="M53" s="14">
        <v>0</v>
      </c>
      <c r="O53" s="14">
        <v>0</v>
      </c>
      <c r="Q53" s="14">
        <f>SUM(C53:P53)</f>
        <v>0</v>
      </c>
      <c r="S53" s="14">
        <f>SUMIF($C$9:$P$9,"=Addition",$C53:$P53)</f>
        <v>0</v>
      </c>
      <c r="U53" s="14">
        <f>SUMIF($C$9:$P$9,"=Adjustment",$C53:$P53)</f>
        <v>0</v>
      </c>
      <c r="W53" s="14">
        <f>SUMIF($C$9:$P$9,"=Transfer",$C53:$P53)</f>
        <v>0</v>
      </c>
      <c r="Y53" s="14">
        <f>SUMIF($C$9:$P$9,"=Addition",$C53:$P53)</f>
        <v>0</v>
      </c>
      <c r="AA53" s="14">
        <f>SUM(S53:Y53)</f>
        <v>0</v>
      </c>
      <c r="AC53" s="14">
        <f>+Q53-AA53</f>
        <v>0</v>
      </c>
    </row>
    <row r="54" spans="1:29" x14ac:dyDescent="0.2">
      <c r="A54" s="71"/>
      <c r="B54" s="3" t="s">
        <v>199</v>
      </c>
      <c r="C54" s="14">
        <v>0</v>
      </c>
      <c r="E54" s="14">
        <v>0</v>
      </c>
      <c r="G54" s="14">
        <v>0</v>
      </c>
      <c r="I54" s="14">
        <v>0</v>
      </c>
      <c r="K54" s="14">
        <v>0</v>
      </c>
      <c r="M54" s="14">
        <v>0</v>
      </c>
      <c r="O54" s="14">
        <v>0</v>
      </c>
      <c r="Q54" s="14">
        <f>SUM(C54:P54)</f>
        <v>0</v>
      </c>
      <c r="S54" s="14">
        <f>SUMIF($C$9:$P$9,"=Addition",$C54:$P54)</f>
        <v>0</v>
      </c>
      <c r="U54" s="14">
        <f>SUMIF($C$9:$P$9,"=Adjustment",$C54:$P54)</f>
        <v>0</v>
      </c>
      <c r="W54" s="14">
        <f>SUMIF($C$9:$P$9,"=Transfer",$C54:$P54)</f>
        <v>0</v>
      </c>
      <c r="Y54" s="14">
        <f>SUMIF($C$9:$P$9,"=Addition",$C54:$P54)</f>
        <v>0</v>
      </c>
      <c r="AA54" s="14">
        <f>SUM(S54:Y54)</f>
        <v>0</v>
      </c>
      <c r="AC54" s="14">
        <f>+Q54-AA54</f>
        <v>0</v>
      </c>
    </row>
    <row r="55" spans="1:29" x14ac:dyDescent="0.2">
      <c r="A55" s="71"/>
      <c r="B55" s="3" t="s">
        <v>200</v>
      </c>
      <c r="C55" s="14">
        <v>0</v>
      </c>
      <c r="E55" s="14">
        <v>0</v>
      </c>
      <c r="G55" s="14">
        <v>0</v>
      </c>
      <c r="I55" s="14">
        <v>0</v>
      </c>
      <c r="K55" s="14">
        <v>0</v>
      </c>
      <c r="M55" s="14">
        <v>0</v>
      </c>
      <c r="O55" s="14">
        <v>0</v>
      </c>
      <c r="Q55" s="14">
        <f>SUM(C55:P55)</f>
        <v>0</v>
      </c>
      <c r="S55" s="14">
        <f>SUMIF($C$9:$P$9,"=Addition",$C55:$P55)</f>
        <v>0</v>
      </c>
      <c r="U55" s="14">
        <f>SUMIF($C$9:$P$9,"=Adjustment",$C55:$P55)</f>
        <v>0</v>
      </c>
      <c r="W55" s="14">
        <f>SUMIF($C$9:$P$9,"=Transfer",$C55:$P55)</f>
        <v>0</v>
      </c>
      <c r="Y55" s="14">
        <f>SUMIF($C$9:$P$9,"=Addition",$C55:$P55)</f>
        <v>0</v>
      </c>
      <c r="AA55" s="14">
        <f>SUM(S55:Y55)</f>
        <v>0</v>
      </c>
      <c r="AC55" s="14">
        <f>+Q55-AA55</f>
        <v>0</v>
      </c>
    </row>
    <row r="56" spans="1:29" x14ac:dyDescent="0.2">
      <c r="A56" s="71"/>
      <c r="B56" s="12" t="s">
        <v>201</v>
      </c>
      <c r="C56" s="18">
        <f>SUM(C52:C55)</f>
        <v>0</v>
      </c>
      <c r="E56" s="18">
        <f>SUM(E52:E55)</f>
        <v>0</v>
      </c>
      <c r="G56" s="18">
        <f>SUM(G52:G55)</f>
        <v>0</v>
      </c>
      <c r="I56" s="18">
        <f>SUM(I52:I55)</f>
        <v>0</v>
      </c>
      <c r="K56" s="18">
        <f>SUM(K52:K55)</f>
        <v>0</v>
      </c>
      <c r="M56" s="18">
        <f>SUM(M52:M55)</f>
        <v>0</v>
      </c>
      <c r="O56" s="18">
        <f>SUM(O52:O55)</f>
        <v>0</v>
      </c>
      <c r="Q56" s="18">
        <f>SUM(Q52:Q55)</f>
        <v>0</v>
      </c>
      <c r="S56" s="18">
        <f>SUM(S52:S55)</f>
        <v>0</v>
      </c>
      <c r="U56" s="18">
        <f>SUM(U52:U55)</f>
        <v>0</v>
      </c>
      <c r="W56" s="18">
        <f>SUM(W52:W55)</f>
        <v>0</v>
      </c>
      <c r="Y56" s="18">
        <f>SUM(Y52:Y55)</f>
        <v>0</v>
      </c>
      <c r="AA56" s="18">
        <f>SUM(AA52:AA55)</f>
        <v>0</v>
      </c>
      <c r="AC56" s="18">
        <f>+Q56-AA56</f>
        <v>0</v>
      </c>
    </row>
    <row r="57" spans="1:29" x14ac:dyDescent="0.2">
      <c r="A57" s="71"/>
      <c r="C57" s="14"/>
      <c r="E57" s="14"/>
      <c r="G57" s="14"/>
      <c r="I57" s="14"/>
      <c r="K57" s="14"/>
      <c r="M57" s="14"/>
      <c r="O57" s="14"/>
      <c r="Q57" s="14"/>
      <c r="S57" s="14"/>
      <c r="U57" s="14"/>
      <c r="W57" s="14"/>
      <c r="Y57" s="14"/>
      <c r="AA57" s="14"/>
      <c r="AC57" s="14"/>
    </row>
    <row r="58" spans="1:29" x14ac:dyDescent="0.2">
      <c r="A58" s="8"/>
      <c r="B58" s="12" t="s">
        <v>18</v>
      </c>
      <c r="C58" s="14"/>
      <c r="E58" s="14"/>
      <c r="G58" s="14"/>
      <c r="I58" s="14"/>
      <c r="K58" s="14"/>
      <c r="M58" s="14"/>
      <c r="O58" s="14"/>
      <c r="Q58" s="14"/>
      <c r="S58" s="14"/>
      <c r="U58" s="14"/>
      <c r="W58" s="14"/>
      <c r="Y58" s="14"/>
      <c r="AA58" s="14"/>
      <c r="AC58" s="14"/>
    </row>
    <row r="59" spans="1:29" x14ac:dyDescent="0.2">
      <c r="A59" s="8"/>
      <c r="B59" s="3" t="s">
        <v>227</v>
      </c>
      <c r="C59" s="14">
        <v>0</v>
      </c>
      <c r="E59" s="14">
        <v>0</v>
      </c>
      <c r="G59" s="14">
        <v>0</v>
      </c>
      <c r="I59" s="14">
        <v>0</v>
      </c>
      <c r="K59" s="14">
        <v>0</v>
      </c>
      <c r="M59" s="14">
        <v>0</v>
      </c>
      <c r="O59" s="14">
        <v>0</v>
      </c>
      <c r="Q59" s="14">
        <f t="shared" ref="Q59:Q72" si="14">SUM(C59:P59)</f>
        <v>0</v>
      </c>
      <c r="S59" s="14">
        <f t="shared" ref="S59:S72" si="15">SUMIF($C$9:$P$9,"=Addition",$C59:$P59)</f>
        <v>0</v>
      </c>
      <c r="U59" s="14">
        <f t="shared" ref="U59:U72" si="16">SUMIF($C$9:$P$9,"=Adjustment",$C59:$P59)</f>
        <v>0</v>
      </c>
      <c r="W59" s="14">
        <f t="shared" ref="W59:W72" si="17">SUMIF($C$9:$P$9,"=Transfer",$C59:$P59)</f>
        <v>0</v>
      </c>
      <c r="Y59" s="14">
        <f t="shared" ref="Y59:Y72" si="18">SUMIF($C$9:$P$9,"=Addition",$C59:$P59)</f>
        <v>0</v>
      </c>
      <c r="AA59" s="14">
        <f t="shared" ref="AA59:AA72" si="19">SUM(S59:Y59)</f>
        <v>0</v>
      </c>
      <c r="AC59" s="14">
        <f>+Q59-AA59</f>
        <v>0</v>
      </c>
    </row>
    <row r="60" spans="1:29" x14ac:dyDescent="0.2">
      <c r="A60" s="8"/>
      <c r="B60" s="3" t="s">
        <v>228</v>
      </c>
      <c r="C60" s="14">
        <v>0</v>
      </c>
      <c r="E60" s="14">
        <v>0</v>
      </c>
      <c r="G60" s="14">
        <v>0</v>
      </c>
      <c r="I60" s="14">
        <v>0</v>
      </c>
      <c r="K60" s="14">
        <v>0</v>
      </c>
      <c r="M60" s="14">
        <v>0</v>
      </c>
      <c r="O60" s="14">
        <v>0</v>
      </c>
      <c r="Q60" s="14">
        <f t="shared" si="14"/>
        <v>0</v>
      </c>
      <c r="S60" s="14">
        <f t="shared" si="15"/>
        <v>0</v>
      </c>
      <c r="U60" s="14">
        <f t="shared" si="16"/>
        <v>0</v>
      </c>
      <c r="W60" s="14">
        <f t="shared" si="17"/>
        <v>0</v>
      </c>
      <c r="Y60" s="14">
        <f t="shared" si="18"/>
        <v>0</v>
      </c>
      <c r="AA60" s="14">
        <f t="shared" si="19"/>
        <v>0</v>
      </c>
      <c r="AC60" s="14">
        <f t="shared" ref="AC60:AC72" si="20">+Q60-AA60</f>
        <v>0</v>
      </c>
    </row>
    <row r="61" spans="1:29" x14ac:dyDescent="0.2">
      <c r="A61" s="8"/>
      <c r="B61" s="3" t="s">
        <v>229</v>
      </c>
      <c r="C61" s="14">
        <v>0</v>
      </c>
      <c r="E61" s="14">
        <v>0</v>
      </c>
      <c r="G61" s="14">
        <v>0</v>
      </c>
      <c r="I61" s="14">
        <v>0</v>
      </c>
      <c r="K61" s="14">
        <v>0</v>
      </c>
      <c r="M61" s="14">
        <v>0</v>
      </c>
      <c r="O61" s="14">
        <v>0</v>
      </c>
      <c r="Q61" s="14">
        <f t="shared" si="14"/>
        <v>0</v>
      </c>
      <c r="S61" s="14">
        <f t="shared" si="15"/>
        <v>0</v>
      </c>
      <c r="U61" s="14">
        <f t="shared" si="16"/>
        <v>0</v>
      </c>
      <c r="W61" s="14">
        <f t="shared" si="17"/>
        <v>0</v>
      </c>
      <c r="Y61" s="14">
        <f t="shared" si="18"/>
        <v>0</v>
      </c>
      <c r="AA61" s="14">
        <f t="shared" si="19"/>
        <v>0</v>
      </c>
      <c r="AC61" s="14">
        <f t="shared" si="20"/>
        <v>0</v>
      </c>
    </row>
    <row r="62" spans="1:29" x14ac:dyDescent="0.2">
      <c r="A62" s="8"/>
      <c r="B62" s="3" t="s">
        <v>230</v>
      </c>
      <c r="C62" s="14">
        <v>0</v>
      </c>
      <c r="E62" s="14">
        <v>0</v>
      </c>
      <c r="G62" s="14">
        <v>0</v>
      </c>
      <c r="I62" s="14">
        <v>0</v>
      </c>
      <c r="K62" s="14">
        <v>0</v>
      </c>
      <c r="M62" s="14">
        <v>0</v>
      </c>
      <c r="O62" s="14">
        <v>0</v>
      </c>
      <c r="Q62" s="14">
        <f t="shared" si="14"/>
        <v>0</v>
      </c>
      <c r="S62" s="14">
        <f t="shared" si="15"/>
        <v>0</v>
      </c>
      <c r="U62" s="14">
        <f t="shared" si="16"/>
        <v>0</v>
      </c>
      <c r="W62" s="14">
        <f t="shared" si="17"/>
        <v>0</v>
      </c>
      <c r="Y62" s="14">
        <f t="shared" si="18"/>
        <v>0</v>
      </c>
      <c r="AA62" s="14">
        <f t="shared" si="19"/>
        <v>0</v>
      </c>
      <c r="AC62" s="14">
        <f t="shared" si="20"/>
        <v>0</v>
      </c>
    </row>
    <row r="63" spans="1:29" x14ac:dyDescent="0.2">
      <c r="A63" s="8"/>
      <c r="B63" s="3" t="s">
        <v>231</v>
      </c>
      <c r="C63" s="14">
        <v>0</v>
      </c>
      <c r="E63" s="14">
        <v>0</v>
      </c>
      <c r="G63" s="14">
        <v>0</v>
      </c>
      <c r="I63" s="14">
        <v>51847.62</v>
      </c>
      <c r="K63" s="14">
        <v>0</v>
      </c>
      <c r="M63" s="14">
        <v>0</v>
      </c>
      <c r="O63" s="14">
        <v>0</v>
      </c>
      <c r="Q63" s="14">
        <f t="shared" si="14"/>
        <v>51847.62</v>
      </c>
      <c r="S63" s="14">
        <f t="shared" si="15"/>
        <v>0</v>
      </c>
      <c r="U63" s="14">
        <f t="shared" si="16"/>
        <v>0</v>
      </c>
      <c r="W63" s="14">
        <f t="shared" si="17"/>
        <v>51847.62</v>
      </c>
      <c r="Y63" s="14">
        <f t="shared" si="18"/>
        <v>0</v>
      </c>
      <c r="AA63" s="14">
        <f t="shared" si="19"/>
        <v>51847.62</v>
      </c>
      <c r="AC63" s="14">
        <f t="shared" si="20"/>
        <v>0</v>
      </c>
    </row>
    <row r="64" spans="1:29" x14ac:dyDescent="0.2">
      <c r="A64" s="8"/>
      <c r="B64" s="3" t="s">
        <v>232</v>
      </c>
      <c r="C64" s="14">
        <v>0</v>
      </c>
      <c r="E64" s="14">
        <v>0</v>
      </c>
      <c r="G64" s="14">
        <v>0</v>
      </c>
      <c r="I64" s="14">
        <v>0</v>
      </c>
      <c r="K64" s="14">
        <v>0</v>
      </c>
      <c r="M64" s="14">
        <v>0</v>
      </c>
      <c r="O64" s="14">
        <v>0</v>
      </c>
      <c r="Q64" s="14">
        <f t="shared" si="14"/>
        <v>0</v>
      </c>
      <c r="S64" s="14">
        <f t="shared" si="15"/>
        <v>0</v>
      </c>
      <c r="U64" s="14">
        <f t="shared" si="16"/>
        <v>0</v>
      </c>
      <c r="W64" s="14">
        <f t="shared" si="17"/>
        <v>0</v>
      </c>
      <c r="Y64" s="14">
        <f t="shared" si="18"/>
        <v>0</v>
      </c>
      <c r="AA64" s="14">
        <f t="shared" si="19"/>
        <v>0</v>
      </c>
      <c r="AC64" s="14">
        <f t="shared" si="20"/>
        <v>0</v>
      </c>
    </row>
    <row r="65" spans="1:29" x14ac:dyDescent="0.2">
      <c r="A65" s="8"/>
      <c r="B65" s="3" t="s">
        <v>233</v>
      </c>
      <c r="C65" s="14">
        <v>0</v>
      </c>
      <c r="E65" s="14">
        <v>0</v>
      </c>
      <c r="G65" s="14">
        <v>0</v>
      </c>
      <c r="I65" s="14">
        <v>0</v>
      </c>
      <c r="K65" s="14">
        <v>0</v>
      </c>
      <c r="M65" s="14">
        <v>0</v>
      </c>
      <c r="O65" s="14">
        <v>0</v>
      </c>
      <c r="Q65" s="14">
        <f t="shared" si="14"/>
        <v>0</v>
      </c>
      <c r="S65" s="14">
        <f t="shared" si="15"/>
        <v>0</v>
      </c>
      <c r="U65" s="14">
        <f t="shared" si="16"/>
        <v>0</v>
      </c>
      <c r="W65" s="14">
        <f t="shared" si="17"/>
        <v>0</v>
      </c>
      <c r="Y65" s="14">
        <f t="shared" si="18"/>
        <v>0</v>
      </c>
      <c r="AA65" s="14">
        <f t="shared" si="19"/>
        <v>0</v>
      </c>
      <c r="AC65" s="14">
        <f t="shared" si="20"/>
        <v>0</v>
      </c>
    </row>
    <row r="66" spans="1:29" x14ac:dyDescent="0.2">
      <c r="A66" s="8"/>
      <c r="B66" s="3" t="s">
        <v>234</v>
      </c>
      <c r="C66" s="14">
        <v>0</v>
      </c>
      <c r="E66" s="14">
        <v>0</v>
      </c>
      <c r="G66" s="14">
        <v>0</v>
      </c>
      <c r="I66" s="14">
        <v>0</v>
      </c>
      <c r="K66" s="14">
        <v>0</v>
      </c>
      <c r="M66" s="14">
        <v>0</v>
      </c>
      <c r="O66" s="14">
        <v>0</v>
      </c>
      <c r="Q66" s="14">
        <f t="shared" si="14"/>
        <v>0</v>
      </c>
      <c r="S66" s="14">
        <f t="shared" si="15"/>
        <v>0</v>
      </c>
      <c r="U66" s="14">
        <f t="shared" si="16"/>
        <v>0</v>
      </c>
      <c r="W66" s="14">
        <f t="shared" si="17"/>
        <v>0</v>
      </c>
      <c r="Y66" s="14">
        <f t="shared" si="18"/>
        <v>0</v>
      </c>
      <c r="AA66" s="14">
        <f t="shared" si="19"/>
        <v>0</v>
      </c>
      <c r="AC66" s="14">
        <f t="shared" si="20"/>
        <v>0</v>
      </c>
    </row>
    <row r="67" spans="1:29" x14ac:dyDescent="0.2">
      <c r="A67" s="8"/>
      <c r="B67" s="3" t="s">
        <v>235</v>
      </c>
      <c r="C67" s="14">
        <v>0</v>
      </c>
      <c r="E67" s="14">
        <v>0</v>
      </c>
      <c r="G67" s="14">
        <v>0</v>
      </c>
      <c r="I67" s="14">
        <v>-51847.62</v>
      </c>
      <c r="K67" s="14">
        <v>0</v>
      </c>
      <c r="M67" s="14">
        <v>0</v>
      </c>
      <c r="O67" s="14">
        <v>0</v>
      </c>
      <c r="Q67" s="14">
        <f t="shared" si="14"/>
        <v>-51847.62</v>
      </c>
      <c r="S67" s="14">
        <f t="shared" si="15"/>
        <v>0</v>
      </c>
      <c r="U67" s="14">
        <f t="shared" si="16"/>
        <v>0</v>
      </c>
      <c r="W67" s="14">
        <f t="shared" si="17"/>
        <v>-51847.62</v>
      </c>
      <c r="Y67" s="14">
        <f t="shared" si="18"/>
        <v>0</v>
      </c>
      <c r="AA67" s="14">
        <f t="shared" si="19"/>
        <v>-51847.62</v>
      </c>
      <c r="AC67" s="14">
        <f t="shared" si="20"/>
        <v>0</v>
      </c>
    </row>
    <row r="68" spans="1:29" x14ac:dyDescent="0.2">
      <c r="A68" s="8"/>
      <c r="B68" s="3" t="s">
        <v>236</v>
      </c>
      <c r="C68" s="14">
        <v>0</v>
      </c>
      <c r="E68" s="14">
        <v>0</v>
      </c>
      <c r="G68" s="14">
        <v>0</v>
      </c>
      <c r="I68" s="14">
        <v>0</v>
      </c>
      <c r="K68" s="14">
        <v>0</v>
      </c>
      <c r="M68" s="14">
        <v>0</v>
      </c>
      <c r="O68" s="14">
        <v>0</v>
      </c>
      <c r="Q68" s="14">
        <f t="shared" si="14"/>
        <v>0</v>
      </c>
      <c r="S68" s="14">
        <f t="shared" si="15"/>
        <v>0</v>
      </c>
      <c r="U68" s="14">
        <f t="shared" si="16"/>
        <v>0</v>
      </c>
      <c r="W68" s="14">
        <f t="shared" si="17"/>
        <v>0</v>
      </c>
      <c r="Y68" s="14">
        <f t="shared" si="18"/>
        <v>0</v>
      </c>
      <c r="AA68" s="14">
        <f t="shared" si="19"/>
        <v>0</v>
      </c>
      <c r="AC68" s="14">
        <f t="shared" si="20"/>
        <v>0</v>
      </c>
    </row>
    <row r="69" spans="1:29" x14ac:dyDescent="0.2">
      <c r="A69" s="8"/>
      <c r="B69" s="3" t="s">
        <v>237</v>
      </c>
      <c r="C69" s="14">
        <v>0</v>
      </c>
      <c r="E69" s="14">
        <v>0</v>
      </c>
      <c r="G69" s="14">
        <v>0</v>
      </c>
      <c r="I69" s="14">
        <v>0</v>
      </c>
      <c r="K69" s="14">
        <v>0</v>
      </c>
      <c r="M69" s="14">
        <v>0</v>
      </c>
      <c r="O69" s="14">
        <v>0</v>
      </c>
      <c r="Q69" s="14">
        <f t="shared" si="14"/>
        <v>0</v>
      </c>
      <c r="S69" s="14">
        <f t="shared" si="15"/>
        <v>0</v>
      </c>
      <c r="U69" s="14">
        <f t="shared" si="16"/>
        <v>0</v>
      </c>
      <c r="W69" s="14">
        <f t="shared" si="17"/>
        <v>0</v>
      </c>
      <c r="Y69" s="14">
        <f t="shared" si="18"/>
        <v>0</v>
      </c>
      <c r="AA69" s="14">
        <f t="shared" si="19"/>
        <v>0</v>
      </c>
      <c r="AC69" s="14">
        <f t="shared" si="20"/>
        <v>0</v>
      </c>
    </row>
    <row r="70" spans="1:29" x14ac:dyDescent="0.2">
      <c r="A70" s="8"/>
      <c r="B70" s="3" t="s">
        <v>238</v>
      </c>
      <c r="C70" s="14">
        <v>0</v>
      </c>
      <c r="E70" s="14">
        <v>0</v>
      </c>
      <c r="G70" s="14">
        <v>0</v>
      </c>
      <c r="I70" s="14">
        <v>0</v>
      </c>
      <c r="K70" s="14">
        <v>0</v>
      </c>
      <c r="M70" s="14">
        <v>0</v>
      </c>
      <c r="O70" s="14">
        <v>0</v>
      </c>
      <c r="Q70" s="14">
        <f t="shared" si="14"/>
        <v>0</v>
      </c>
      <c r="S70" s="14">
        <f t="shared" si="15"/>
        <v>0</v>
      </c>
      <c r="U70" s="14">
        <f t="shared" si="16"/>
        <v>0</v>
      </c>
      <c r="W70" s="14">
        <f t="shared" si="17"/>
        <v>0</v>
      </c>
      <c r="Y70" s="14">
        <f t="shared" si="18"/>
        <v>0</v>
      </c>
      <c r="AA70" s="14">
        <f t="shared" si="19"/>
        <v>0</v>
      </c>
      <c r="AC70" s="14">
        <f t="shared" si="20"/>
        <v>0</v>
      </c>
    </row>
    <row r="71" spans="1:29" x14ac:dyDescent="0.2">
      <c r="A71" s="8"/>
      <c r="B71" s="3" t="s">
        <v>239</v>
      </c>
      <c r="C71" s="14">
        <v>0</v>
      </c>
      <c r="E71" s="14">
        <v>0</v>
      </c>
      <c r="G71" s="14">
        <v>0</v>
      </c>
      <c r="I71" s="14">
        <v>0</v>
      </c>
      <c r="K71" s="14">
        <v>0</v>
      </c>
      <c r="M71" s="14">
        <v>0</v>
      </c>
      <c r="O71" s="14">
        <v>0</v>
      </c>
      <c r="Q71" s="14">
        <f t="shared" si="14"/>
        <v>0</v>
      </c>
      <c r="S71" s="14">
        <f t="shared" si="15"/>
        <v>0</v>
      </c>
      <c r="U71" s="14">
        <f t="shared" si="16"/>
        <v>0</v>
      </c>
      <c r="W71" s="14">
        <f t="shared" si="17"/>
        <v>0</v>
      </c>
      <c r="Y71" s="14">
        <f t="shared" si="18"/>
        <v>0</v>
      </c>
      <c r="AA71" s="14">
        <f t="shared" si="19"/>
        <v>0</v>
      </c>
      <c r="AC71" s="14">
        <f t="shared" si="20"/>
        <v>0</v>
      </c>
    </row>
    <row r="72" spans="1:29" x14ac:dyDescent="0.2">
      <c r="A72" s="8"/>
      <c r="B72" s="3" t="s">
        <v>240</v>
      </c>
      <c r="C72" s="14">
        <v>0</v>
      </c>
      <c r="E72" s="14">
        <v>0</v>
      </c>
      <c r="G72" s="14">
        <v>0</v>
      </c>
      <c r="I72" s="14">
        <v>0</v>
      </c>
      <c r="K72" s="14">
        <v>0</v>
      </c>
      <c r="M72" s="14">
        <v>0</v>
      </c>
      <c r="O72" s="14">
        <v>0</v>
      </c>
      <c r="Q72" s="14">
        <f t="shared" si="14"/>
        <v>0</v>
      </c>
      <c r="S72" s="14">
        <f t="shared" si="15"/>
        <v>0</v>
      </c>
      <c r="U72" s="14">
        <f t="shared" si="16"/>
        <v>0</v>
      </c>
      <c r="W72" s="14">
        <f t="shared" si="17"/>
        <v>0</v>
      </c>
      <c r="Y72" s="14">
        <f t="shared" si="18"/>
        <v>0</v>
      </c>
      <c r="AA72" s="14">
        <f t="shared" si="19"/>
        <v>0</v>
      </c>
      <c r="AC72" s="14">
        <f t="shared" si="20"/>
        <v>0</v>
      </c>
    </row>
    <row r="73" spans="1:29" x14ac:dyDescent="0.2">
      <c r="A73" s="8"/>
      <c r="B73" s="12" t="s">
        <v>241</v>
      </c>
      <c r="C73" s="18">
        <f>SUM(C59:C72)</f>
        <v>0</v>
      </c>
      <c r="E73" s="18">
        <f>SUM(E59:E72)</f>
        <v>0</v>
      </c>
      <c r="G73" s="18">
        <f>SUM(G59:G72)</f>
        <v>0</v>
      </c>
      <c r="I73" s="18">
        <f>SUM(I59:I72)</f>
        <v>0</v>
      </c>
      <c r="K73" s="18">
        <f>SUM(K59:K72)</f>
        <v>0</v>
      </c>
      <c r="M73" s="18">
        <f>SUM(M59:M72)</f>
        <v>0</v>
      </c>
      <c r="O73" s="18">
        <f>SUM(O59:O72)</f>
        <v>0</v>
      </c>
      <c r="Q73" s="18">
        <f>SUM(Q59:Q72)</f>
        <v>0</v>
      </c>
      <c r="S73" s="18">
        <f>SUM(S59:S72)</f>
        <v>0</v>
      </c>
      <c r="U73" s="18">
        <f>SUM(U59:U72)</f>
        <v>0</v>
      </c>
      <c r="W73" s="18">
        <f>SUM(W59:W72)</f>
        <v>0</v>
      </c>
      <c r="Y73" s="18">
        <f>SUM(Y59:Y72)</f>
        <v>0</v>
      </c>
      <c r="AA73" s="18">
        <f>SUM(AA59:AA72)</f>
        <v>0</v>
      </c>
      <c r="AC73" s="18">
        <f>+Q73-AA73</f>
        <v>0</v>
      </c>
    </row>
    <row r="74" spans="1:29" x14ac:dyDescent="0.2">
      <c r="A74" s="8"/>
      <c r="B74" s="12"/>
      <c r="C74" s="16"/>
      <c r="E74" s="16"/>
      <c r="G74" s="16"/>
      <c r="I74" s="16"/>
      <c r="K74" s="16"/>
      <c r="M74" s="16"/>
      <c r="O74" s="16"/>
      <c r="Q74" s="16"/>
      <c r="S74" s="16"/>
      <c r="U74" s="16"/>
      <c r="W74" s="16"/>
      <c r="Y74" s="16"/>
      <c r="AA74" s="16"/>
      <c r="AC74" s="16"/>
    </row>
    <row r="75" spans="1:29" x14ac:dyDescent="0.2">
      <c r="A75" s="8"/>
      <c r="C75" s="17"/>
      <c r="D75" s="14"/>
      <c r="E75" s="17"/>
      <c r="F75" s="14"/>
      <c r="G75" s="17"/>
      <c r="H75" s="14"/>
      <c r="I75" s="17"/>
      <c r="J75" s="14"/>
      <c r="K75" s="17"/>
      <c r="L75" s="14"/>
      <c r="M75" s="17"/>
      <c r="N75" s="14"/>
      <c r="O75" s="17"/>
      <c r="P75" s="14"/>
      <c r="Q75" s="17"/>
      <c r="R75" s="4"/>
      <c r="S75" s="17"/>
      <c r="T75" s="14"/>
      <c r="U75" s="17"/>
      <c r="V75" s="14"/>
      <c r="W75" s="17"/>
      <c r="X75" s="14"/>
      <c r="Y75" s="17"/>
      <c r="Z75" s="14"/>
      <c r="AA75" s="17"/>
      <c r="AB75" s="14"/>
      <c r="AC75" s="17"/>
    </row>
    <row r="76" spans="1:29" x14ac:dyDescent="0.2">
      <c r="A76" s="8"/>
      <c r="B76" s="12" t="s">
        <v>19</v>
      </c>
      <c r="C76" s="16">
        <f>+C30+C49+C56+C73</f>
        <v>-38373.74</v>
      </c>
      <c r="D76" s="14"/>
      <c r="E76" s="16">
        <f>+E30+E49+E56+E73</f>
        <v>-25990.559999999998</v>
      </c>
      <c r="F76" s="14"/>
      <c r="G76" s="16">
        <f>+G30+G49+G56+G73</f>
        <v>0</v>
      </c>
      <c r="H76" s="14"/>
      <c r="I76" s="16">
        <f>+I30+I49+I56+I73</f>
        <v>0</v>
      </c>
      <c r="J76" s="14"/>
      <c r="K76" s="16">
        <f>+K30+K49+K56+K73</f>
        <v>4183.9399999999996</v>
      </c>
      <c r="L76" s="14"/>
      <c r="M76" s="16">
        <f>+M30+M49+M56+M73</f>
        <v>0</v>
      </c>
      <c r="N76" s="14"/>
      <c r="O76" s="16">
        <f>+O30+O49+O56+O73</f>
        <v>0</v>
      </c>
      <c r="P76" s="14"/>
      <c r="Q76" s="16">
        <f>+Q30+Q49+Q56+Q73</f>
        <v>-60180.359999999986</v>
      </c>
      <c r="R76" s="4"/>
      <c r="S76" s="16">
        <f>+S30+S49+S56+S73</f>
        <v>0</v>
      </c>
      <c r="T76" s="14"/>
      <c r="U76" s="16">
        <f>+U30+U49+U56+U73</f>
        <v>0</v>
      </c>
      <c r="V76" s="14"/>
      <c r="W76" s="16">
        <f>+W30+W49+W56+W73</f>
        <v>-60180.359999999986</v>
      </c>
      <c r="X76" s="14"/>
      <c r="Y76" s="16">
        <f>+Y30+Y49+Y56+Y73</f>
        <v>0</v>
      </c>
      <c r="Z76" s="14"/>
      <c r="AA76" s="16">
        <f>+AA30+AA49+AA56+AA73</f>
        <v>-60180.359999999986</v>
      </c>
      <c r="AB76" s="14"/>
      <c r="AC76" s="16">
        <f>+Q76-AA76</f>
        <v>0</v>
      </c>
    </row>
    <row r="77" spans="1:29" x14ac:dyDescent="0.2">
      <c r="A77" s="8"/>
      <c r="C77" s="12"/>
      <c r="D77" s="17"/>
      <c r="E77" s="12"/>
      <c r="F77" s="17"/>
      <c r="G77" s="12"/>
      <c r="H77" s="17"/>
      <c r="I77" s="12"/>
      <c r="J77" s="17"/>
      <c r="K77" s="12"/>
      <c r="L77" s="17"/>
      <c r="M77" s="12"/>
      <c r="N77" s="17"/>
      <c r="O77" s="12"/>
      <c r="P77" s="17"/>
      <c r="Q77" s="14"/>
      <c r="R77" s="17"/>
      <c r="S77" s="14"/>
      <c r="T77" s="17"/>
      <c r="U77" s="14"/>
      <c r="V77" s="17"/>
      <c r="W77" s="14"/>
      <c r="X77" s="17"/>
      <c r="Y77" s="14"/>
      <c r="Z77" s="17"/>
      <c r="AA77" s="14"/>
      <c r="AB77" s="17"/>
      <c r="AC77" s="14"/>
    </row>
    <row r="78" spans="1:29" x14ac:dyDescent="0.2">
      <c r="A78" s="71" t="s">
        <v>11</v>
      </c>
      <c r="B78" s="12"/>
    </row>
    <row r="79" spans="1:29" x14ac:dyDescent="0.2">
      <c r="A79" s="71"/>
      <c r="B79" s="12" t="s">
        <v>12</v>
      </c>
    </row>
    <row r="80" spans="1:29" x14ac:dyDescent="0.2">
      <c r="A80" s="71"/>
      <c r="B80" s="3" t="s">
        <v>155</v>
      </c>
      <c r="C80" s="14">
        <v>0</v>
      </c>
      <c r="E80" s="14">
        <v>0</v>
      </c>
      <c r="G80" s="14">
        <v>0</v>
      </c>
      <c r="I80" s="14">
        <v>0</v>
      </c>
      <c r="K80" s="14">
        <v>0</v>
      </c>
      <c r="M80" s="14">
        <v>0</v>
      </c>
      <c r="O80" s="14">
        <v>0</v>
      </c>
      <c r="Q80" s="14">
        <f t="shared" ref="Q80:Q88" si="21">SUM(C80:P80)</f>
        <v>0</v>
      </c>
      <c r="S80" s="14">
        <f t="shared" ref="S80:S88" si="22">SUMIF($C$9:$P$9,"=Addition",$C80:$P80)</f>
        <v>0</v>
      </c>
      <c r="U80" s="14">
        <f t="shared" ref="U80:U88" si="23">SUMIF($C$9:$P$9,"=Adjustment",$C80:$P80)</f>
        <v>0</v>
      </c>
      <c r="W80" s="14">
        <f t="shared" ref="W80:W88" si="24">SUMIF($C$9:$P$9,"=Transfer",$C80:$P80)</f>
        <v>0</v>
      </c>
      <c r="Y80" s="14">
        <f t="shared" ref="Y80:Y88" si="25">SUMIF($C$9:$P$9,"=Addition",$C80:$P80)</f>
        <v>0</v>
      </c>
      <c r="AA80" s="14">
        <f t="shared" ref="AA80:AA88" si="26">SUM(S80:Y80)</f>
        <v>0</v>
      </c>
      <c r="AC80" s="14">
        <f>+Q80-AA80</f>
        <v>0</v>
      </c>
    </row>
    <row r="81" spans="1:29" x14ac:dyDescent="0.2">
      <c r="A81" s="71"/>
      <c r="B81" s="3" t="s">
        <v>156</v>
      </c>
      <c r="C81" s="14">
        <v>0</v>
      </c>
      <c r="E81" s="14">
        <v>0</v>
      </c>
      <c r="G81" s="14">
        <v>0</v>
      </c>
      <c r="I81" s="14">
        <v>0</v>
      </c>
      <c r="K81" s="14">
        <v>0</v>
      </c>
      <c r="M81" s="14">
        <v>0</v>
      </c>
      <c r="O81" s="14">
        <v>0</v>
      </c>
      <c r="Q81" s="14">
        <f t="shared" si="21"/>
        <v>0</v>
      </c>
      <c r="S81" s="14">
        <f t="shared" si="22"/>
        <v>0</v>
      </c>
      <c r="U81" s="14">
        <f t="shared" si="23"/>
        <v>0</v>
      </c>
      <c r="W81" s="14">
        <f t="shared" si="24"/>
        <v>0</v>
      </c>
      <c r="Y81" s="14">
        <f t="shared" si="25"/>
        <v>0</v>
      </c>
      <c r="AA81" s="14">
        <f t="shared" si="26"/>
        <v>0</v>
      </c>
      <c r="AC81" s="14">
        <f t="shared" ref="AC81:AC88" si="27">+Q81-AA81</f>
        <v>0</v>
      </c>
    </row>
    <row r="82" spans="1:29" x14ac:dyDescent="0.2">
      <c r="A82" s="71"/>
      <c r="B82" s="3" t="s">
        <v>157</v>
      </c>
      <c r="C82" s="14">
        <v>0</v>
      </c>
      <c r="E82" s="14">
        <v>0</v>
      </c>
      <c r="G82" s="14">
        <v>0</v>
      </c>
      <c r="I82" s="14">
        <v>0</v>
      </c>
      <c r="K82" s="14">
        <v>0</v>
      </c>
      <c r="M82" s="14">
        <v>0</v>
      </c>
      <c r="O82" s="14">
        <v>0</v>
      </c>
      <c r="Q82" s="14">
        <f t="shared" si="21"/>
        <v>0</v>
      </c>
      <c r="S82" s="14">
        <f t="shared" si="22"/>
        <v>0</v>
      </c>
      <c r="U82" s="14">
        <f t="shared" si="23"/>
        <v>0</v>
      </c>
      <c r="W82" s="14">
        <f t="shared" si="24"/>
        <v>0</v>
      </c>
      <c r="Y82" s="14">
        <f t="shared" si="25"/>
        <v>0</v>
      </c>
      <c r="AA82" s="14">
        <f t="shared" si="26"/>
        <v>0</v>
      </c>
      <c r="AC82" s="14">
        <f t="shared" si="27"/>
        <v>0</v>
      </c>
    </row>
    <row r="83" spans="1:29" x14ac:dyDescent="0.2">
      <c r="A83" s="71"/>
      <c r="B83" s="3" t="s">
        <v>158</v>
      </c>
      <c r="C83" s="14">
        <v>0</v>
      </c>
      <c r="E83" s="14">
        <v>0</v>
      </c>
      <c r="G83" s="14">
        <v>0</v>
      </c>
      <c r="I83" s="14">
        <v>0</v>
      </c>
      <c r="K83" s="14">
        <v>0</v>
      </c>
      <c r="M83" s="14">
        <v>0</v>
      </c>
      <c r="O83" s="14">
        <v>0</v>
      </c>
      <c r="Q83" s="14">
        <f t="shared" si="21"/>
        <v>0</v>
      </c>
      <c r="S83" s="14">
        <f t="shared" si="22"/>
        <v>0</v>
      </c>
      <c r="U83" s="14">
        <f t="shared" si="23"/>
        <v>0</v>
      </c>
      <c r="W83" s="14">
        <f t="shared" si="24"/>
        <v>0</v>
      </c>
      <c r="Y83" s="14">
        <f t="shared" si="25"/>
        <v>0</v>
      </c>
      <c r="AA83" s="14">
        <f t="shared" si="26"/>
        <v>0</v>
      </c>
      <c r="AC83" s="14">
        <f t="shared" si="27"/>
        <v>0</v>
      </c>
    </row>
    <row r="84" spans="1:29" x14ac:dyDescent="0.2">
      <c r="A84" s="71"/>
      <c r="B84" s="3" t="s">
        <v>159</v>
      </c>
      <c r="C84" s="14">
        <v>0</v>
      </c>
      <c r="E84" s="14">
        <v>0</v>
      </c>
      <c r="G84" s="14">
        <v>0</v>
      </c>
      <c r="I84" s="14">
        <v>0</v>
      </c>
      <c r="K84" s="14">
        <v>0</v>
      </c>
      <c r="M84" s="14">
        <v>0</v>
      </c>
      <c r="O84" s="14">
        <v>0</v>
      </c>
      <c r="Q84" s="14">
        <f t="shared" si="21"/>
        <v>0</v>
      </c>
      <c r="S84" s="14">
        <f t="shared" si="22"/>
        <v>0</v>
      </c>
      <c r="U84" s="14">
        <f t="shared" si="23"/>
        <v>0</v>
      </c>
      <c r="W84" s="14">
        <f t="shared" si="24"/>
        <v>0</v>
      </c>
      <c r="Y84" s="14">
        <f t="shared" si="25"/>
        <v>0</v>
      </c>
      <c r="AA84" s="14">
        <f t="shared" si="26"/>
        <v>0</v>
      </c>
      <c r="AC84" s="14">
        <f t="shared" si="27"/>
        <v>0</v>
      </c>
    </row>
    <row r="85" spans="1:29" x14ac:dyDescent="0.2">
      <c r="A85" s="71"/>
      <c r="B85" s="3" t="s">
        <v>160</v>
      </c>
      <c r="C85" s="14">
        <v>0</v>
      </c>
      <c r="E85" s="14">
        <v>0</v>
      </c>
      <c r="G85" s="14">
        <v>0</v>
      </c>
      <c r="I85" s="14">
        <v>0</v>
      </c>
      <c r="K85" s="14">
        <v>0</v>
      </c>
      <c r="M85" s="14">
        <v>0</v>
      </c>
      <c r="O85" s="14">
        <v>0</v>
      </c>
      <c r="Q85" s="14">
        <f t="shared" si="21"/>
        <v>0</v>
      </c>
      <c r="S85" s="14">
        <f t="shared" si="22"/>
        <v>0</v>
      </c>
      <c r="U85" s="14">
        <f t="shared" si="23"/>
        <v>0</v>
      </c>
      <c r="W85" s="14">
        <f t="shared" si="24"/>
        <v>0</v>
      </c>
      <c r="Y85" s="14">
        <f t="shared" si="25"/>
        <v>0</v>
      </c>
      <c r="AA85" s="14">
        <f t="shared" si="26"/>
        <v>0</v>
      </c>
      <c r="AC85" s="14">
        <f t="shared" si="27"/>
        <v>0</v>
      </c>
    </row>
    <row r="86" spans="1:29" x14ac:dyDescent="0.2">
      <c r="A86" s="71"/>
      <c r="B86" s="3" t="s">
        <v>161</v>
      </c>
      <c r="C86" s="14">
        <v>0</v>
      </c>
      <c r="E86" s="14">
        <v>0</v>
      </c>
      <c r="G86" s="14">
        <v>0</v>
      </c>
      <c r="I86" s="14">
        <v>0</v>
      </c>
      <c r="K86" s="14">
        <v>0</v>
      </c>
      <c r="M86" s="14">
        <v>0</v>
      </c>
      <c r="O86" s="14">
        <v>0</v>
      </c>
      <c r="Q86" s="14">
        <f t="shared" si="21"/>
        <v>0</v>
      </c>
      <c r="S86" s="14">
        <f t="shared" si="22"/>
        <v>0</v>
      </c>
      <c r="U86" s="14">
        <f t="shared" si="23"/>
        <v>0</v>
      </c>
      <c r="W86" s="14">
        <f t="shared" si="24"/>
        <v>0</v>
      </c>
      <c r="Y86" s="14">
        <f t="shared" si="25"/>
        <v>0</v>
      </c>
      <c r="AA86" s="14">
        <f t="shared" si="26"/>
        <v>0</v>
      </c>
      <c r="AC86" s="14">
        <f t="shared" si="27"/>
        <v>0</v>
      </c>
    </row>
    <row r="87" spans="1:29" x14ac:dyDescent="0.2">
      <c r="A87" s="71"/>
      <c r="B87" s="3" t="s">
        <v>162</v>
      </c>
      <c r="C87" s="14">
        <v>0</v>
      </c>
      <c r="E87" s="14">
        <v>0</v>
      </c>
      <c r="G87" s="14">
        <v>0</v>
      </c>
      <c r="I87" s="14">
        <v>0</v>
      </c>
      <c r="K87" s="14">
        <v>0</v>
      </c>
      <c r="M87" s="14">
        <v>0</v>
      </c>
      <c r="O87" s="14">
        <v>0</v>
      </c>
      <c r="Q87" s="14">
        <f t="shared" si="21"/>
        <v>0</v>
      </c>
      <c r="S87" s="14">
        <f t="shared" si="22"/>
        <v>0</v>
      </c>
      <c r="U87" s="14">
        <f t="shared" si="23"/>
        <v>0</v>
      </c>
      <c r="W87" s="14">
        <f t="shared" si="24"/>
        <v>0</v>
      </c>
      <c r="Y87" s="14">
        <f t="shared" si="25"/>
        <v>0</v>
      </c>
      <c r="AA87" s="14">
        <f t="shared" si="26"/>
        <v>0</v>
      </c>
      <c r="AC87" s="14">
        <f t="shared" si="27"/>
        <v>0</v>
      </c>
    </row>
    <row r="88" spans="1:29" x14ac:dyDescent="0.2">
      <c r="A88" s="71"/>
      <c r="B88" s="3" t="s">
        <v>166</v>
      </c>
      <c r="C88" s="14">
        <v>0</v>
      </c>
      <c r="E88" s="14">
        <v>0</v>
      </c>
      <c r="G88" s="14">
        <v>0</v>
      </c>
      <c r="I88" s="14">
        <v>0</v>
      </c>
      <c r="K88" s="14">
        <v>0</v>
      </c>
      <c r="M88" s="14">
        <v>0</v>
      </c>
      <c r="O88" s="14">
        <v>0</v>
      </c>
      <c r="Q88" s="14">
        <f t="shared" si="21"/>
        <v>0</v>
      </c>
      <c r="S88" s="14">
        <f t="shared" si="22"/>
        <v>0</v>
      </c>
      <c r="U88" s="14">
        <f t="shared" si="23"/>
        <v>0</v>
      </c>
      <c r="W88" s="14">
        <f t="shared" si="24"/>
        <v>0</v>
      </c>
      <c r="Y88" s="14">
        <f t="shared" si="25"/>
        <v>0</v>
      </c>
      <c r="AA88" s="14">
        <f t="shared" si="26"/>
        <v>0</v>
      </c>
      <c r="AC88" s="14">
        <f t="shared" si="27"/>
        <v>0</v>
      </c>
    </row>
    <row r="89" spans="1:29" x14ac:dyDescent="0.2">
      <c r="A89" s="71"/>
      <c r="B89" s="75" t="s">
        <v>244</v>
      </c>
      <c r="C89" s="18">
        <f>SUM(C80:C88)</f>
        <v>0</v>
      </c>
      <c r="E89" s="18">
        <f>SUM(E80:E88)</f>
        <v>0</v>
      </c>
      <c r="G89" s="18">
        <f>SUM(G80:G88)</f>
        <v>0</v>
      </c>
      <c r="I89" s="18">
        <f>SUM(I80:I88)</f>
        <v>0</v>
      </c>
      <c r="K89" s="18">
        <f>SUM(K80:K88)</f>
        <v>0</v>
      </c>
      <c r="M89" s="18">
        <f>SUM(M80:M88)</f>
        <v>0</v>
      </c>
      <c r="O89" s="18">
        <f>SUM(O80:O88)</f>
        <v>0</v>
      </c>
      <c r="Q89" s="18">
        <f>SUM(Q80:Q88)</f>
        <v>0</v>
      </c>
      <c r="S89" s="18">
        <f>SUM(S80:S88)</f>
        <v>0</v>
      </c>
      <c r="U89" s="18">
        <f>SUM(U80:U88)</f>
        <v>0</v>
      </c>
      <c r="W89" s="18">
        <f>SUM(W80:W88)</f>
        <v>0</v>
      </c>
      <c r="Y89" s="18">
        <f>SUM(Y80:Y88)</f>
        <v>0</v>
      </c>
      <c r="AA89" s="18">
        <f>SUM(AA80:AA88)</f>
        <v>0</v>
      </c>
      <c r="AC89" s="18">
        <f>+Q89-AA89</f>
        <v>0</v>
      </c>
    </row>
    <row r="90" spans="1:29" x14ac:dyDescent="0.2">
      <c r="A90" s="71"/>
      <c r="C90" s="14"/>
      <c r="E90" s="14"/>
      <c r="G90" s="14"/>
      <c r="I90" s="14"/>
      <c r="K90" s="14"/>
      <c r="M90" s="14"/>
      <c r="O90" s="14"/>
      <c r="Q90" s="14"/>
      <c r="S90" s="14"/>
      <c r="U90" s="14"/>
      <c r="W90" s="14"/>
      <c r="Y90" s="14"/>
      <c r="AA90" s="14"/>
      <c r="AC90" s="14"/>
    </row>
    <row r="91" spans="1:29" x14ac:dyDescent="0.2">
      <c r="A91" s="71"/>
      <c r="B91" s="12" t="s">
        <v>13</v>
      </c>
      <c r="C91" s="14"/>
      <c r="E91" s="14"/>
      <c r="G91" s="14"/>
      <c r="I91" s="14"/>
      <c r="K91" s="14"/>
      <c r="M91" s="14"/>
      <c r="O91" s="14"/>
      <c r="Q91" s="14"/>
      <c r="S91" s="14"/>
      <c r="U91" s="14"/>
      <c r="W91" s="14"/>
      <c r="Y91" s="14"/>
      <c r="AA91" s="14"/>
      <c r="AC91" s="14"/>
    </row>
    <row r="92" spans="1:29" x14ac:dyDescent="0.2">
      <c r="A92" s="71"/>
      <c r="B92" s="3" t="s">
        <v>171</v>
      </c>
      <c r="C92" s="14">
        <v>0</v>
      </c>
      <c r="E92" s="14">
        <v>0</v>
      </c>
      <c r="G92" s="14">
        <v>0</v>
      </c>
      <c r="I92" s="14">
        <v>0</v>
      </c>
      <c r="K92" s="14">
        <v>0</v>
      </c>
      <c r="M92" s="14">
        <v>0</v>
      </c>
      <c r="O92" s="14">
        <v>0</v>
      </c>
      <c r="Q92" s="14">
        <f>SUM(C92:P92)</f>
        <v>0</v>
      </c>
      <c r="S92" s="14">
        <f>SUMIF($C$9:$P$9,"=Addition",$C92:$P92)</f>
        <v>0</v>
      </c>
      <c r="U92" s="14">
        <f>SUMIF($C$9:$P$9,"=Adjustment",$C92:$P92)</f>
        <v>0</v>
      </c>
      <c r="W92" s="14">
        <f>SUMIF($C$9:$P$9,"=Transfer",$C92:$P92)</f>
        <v>0</v>
      </c>
      <c r="Y92" s="14">
        <f>SUMIF($C$9:$P$9,"=Addition",$C92:$P92)</f>
        <v>0</v>
      </c>
      <c r="AA92" s="14">
        <f>SUM(S92:Y92)</f>
        <v>0</v>
      </c>
      <c r="AC92" s="14">
        <f>+Q92-AA92</f>
        <v>0</v>
      </c>
    </row>
    <row r="93" spans="1:29" x14ac:dyDescent="0.2">
      <c r="A93" s="71"/>
      <c r="B93" s="3" t="s">
        <v>180</v>
      </c>
      <c r="C93" s="14">
        <v>0</v>
      </c>
      <c r="E93" s="14">
        <v>0</v>
      </c>
      <c r="G93" s="14">
        <v>0</v>
      </c>
      <c r="I93" s="14">
        <v>0</v>
      </c>
      <c r="K93" s="14">
        <v>0</v>
      </c>
      <c r="M93" s="14">
        <v>0</v>
      </c>
      <c r="O93" s="14">
        <v>0</v>
      </c>
      <c r="Q93" s="14">
        <f>SUM(C93:P93)</f>
        <v>0</v>
      </c>
      <c r="S93" s="14">
        <f>SUMIF($C$9:$P$9,"=Addition",$C93:$P93)</f>
        <v>0</v>
      </c>
      <c r="U93" s="14">
        <f>SUMIF($C$9:$P$9,"=Adjustment",$C93:$P93)</f>
        <v>0</v>
      </c>
      <c r="W93" s="14">
        <f>SUMIF($C$9:$P$9,"=Transfer",$C93:$P93)</f>
        <v>0</v>
      </c>
      <c r="Y93" s="14">
        <f>SUMIF($C$9:$P$9,"=Addition",$C93:$P93)</f>
        <v>0</v>
      </c>
      <c r="AA93" s="14">
        <f>SUM(S93:Y93)</f>
        <v>0</v>
      </c>
      <c r="AC93" s="14">
        <f>+Q93-AA93</f>
        <v>0</v>
      </c>
    </row>
    <row r="94" spans="1:29" x14ac:dyDescent="0.2">
      <c r="A94" s="71"/>
      <c r="B94" s="3" t="s">
        <v>182</v>
      </c>
      <c r="C94" s="14">
        <v>0</v>
      </c>
      <c r="E94" s="14">
        <v>0</v>
      </c>
      <c r="G94" s="14">
        <v>0</v>
      </c>
      <c r="I94" s="14">
        <v>0</v>
      </c>
      <c r="K94" s="14">
        <v>0</v>
      </c>
      <c r="M94" s="14">
        <v>0</v>
      </c>
      <c r="O94" s="14">
        <v>0</v>
      </c>
      <c r="Q94" s="14">
        <f>SUM(C94:P94)</f>
        <v>0</v>
      </c>
      <c r="S94" s="14">
        <f>SUMIF($C$9:$P$9,"=Addition",$C94:$P94)</f>
        <v>0</v>
      </c>
      <c r="U94" s="14">
        <f>SUMIF($C$9:$P$9,"=Adjustment",$C94:$P94)</f>
        <v>0</v>
      </c>
      <c r="W94" s="14">
        <f>SUMIF($C$9:$P$9,"=Transfer",$C94:$P94)</f>
        <v>0</v>
      </c>
      <c r="Y94" s="14">
        <f>SUMIF($C$9:$P$9,"=Addition",$C94:$P94)</f>
        <v>0</v>
      </c>
      <c r="AA94" s="14">
        <f>SUM(S94:Y94)</f>
        <v>0</v>
      </c>
      <c r="AC94" s="14">
        <f>+Q94-AA94</f>
        <v>0</v>
      </c>
    </row>
    <row r="95" spans="1:29" x14ac:dyDescent="0.2">
      <c r="A95" s="71"/>
      <c r="B95" s="43" t="s">
        <v>183</v>
      </c>
      <c r="C95" s="14">
        <v>0</v>
      </c>
      <c r="E95" s="14">
        <v>0</v>
      </c>
      <c r="G95" s="14">
        <v>0</v>
      </c>
      <c r="I95" s="14">
        <v>0</v>
      </c>
      <c r="K95" s="14">
        <v>0</v>
      </c>
      <c r="M95" s="14">
        <v>0</v>
      </c>
      <c r="O95" s="14">
        <v>0</v>
      </c>
      <c r="Q95" s="14">
        <f>SUM(C95:P95)</f>
        <v>0</v>
      </c>
      <c r="S95" s="14">
        <f>SUMIF($C$9:$P$9,"=Addition",$C95:$P95)</f>
        <v>0</v>
      </c>
      <c r="U95" s="14">
        <f>SUMIF($C$9:$P$9,"=Adjustment",$C95:$P95)</f>
        <v>0</v>
      </c>
      <c r="W95" s="14">
        <f>SUMIF($C$9:$P$9,"=Transfer",$C95:$P95)</f>
        <v>0</v>
      </c>
      <c r="Y95" s="14">
        <f>SUMIF($C$9:$P$9,"=Addition",$C95:$P95)</f>
        <v>0</v>
      </c>
      <c r="AA95" s="14">
        <f>SUM(S95:Y95)</f>
        <v>0</v>
      </c>
      <c r="AC95" s="14">
        <f>+Q95-AA95</f>
        <v>0</v>
      </c>
    </row>
    <row r="96" spans="1:29" x14ac:dyDescent="0.2">
      <c r="A96" s="71"/>
      <c r="B96" s="43" t="s">
        <v>184</v>
      </c>
      <c r="C96" s="14">
        <v>0</v>
      </c>
      <c r="E96" s="14">
        <v>0</v>
      </c>
      <c r="G96" s="14">
        <v>0</v>
      </c>
      <c r="I96" s="14">
        <v>0</v>
      </c>
      <c r="K96" s="14">
        <v>0</v>
      </c>
      <c r="M96" s="14">
        <v>0</v>
      </c>
      <c r="O96" s="14">
        <v>0</v>
      </c>
      <c r="Q96" s="14">
        <f>SUM(C96:P96)</f>
        <v>0</v>
      </c>
      <c r="S96" s="14">
        <f>SUMIF($C$9:$P$9,"=Addition",$C96:$P96)</f>
        <v>0</v>
      </c>
      <c r="U96" s="14">
        <f>SUMIF($C$9:$P$9,"=Adjustment",$C96:$P96)</f>
        <v>0</v>
      </c>
      <c r="W96" s="14">
        <f>SUMIF($C$9:$P$9,"=Transfer",$C96:$P96)</f>
        <v>0</v>
      </c>
      <c r="Y96" s="14">
        <f>SUMIF($C$9:$P$9,"=Addition",$C96:$P96)</f>
        <v>0</v>
      </c>
      <c r="AA96" s="14">
        <f>SUM(S96:Y96)</f>
        <v>0</v>
      </c>
      <c r="AC96" s="14">
        <f>+Q96-AA96</f>
        <v>0</v>
      </c>
    </row>
    <row r="97" spans="1:29" x14ac:dyDescent="0.2">
      <c r="A97" s="71"/>
      <c r="B97" s="75" t="s">
        <v>245</v>
      </c>
      <c r="C97" s="18">
        <f>SUM(C92:C96)</f>
        <v>0</v>
      </c>
      <c r="E97" s="18">
        <f>SUM(E92:E96)</f>
        <v>0</v>
      </c>
      <c r="G97" s="18">
        <f>SUM(G92:G96)</f>
        <v>0</v>
      </c>
      <c r="I97" s="18">
        <f>SUM(I92:I96)</f>
        <v>0</v>
      </c>
      <c r="K97" s="18">
        <f>SUM(K92:K96)</f>
        <v>0</v>
      </c>
      <c r="M97" s="18">
        <f>SUM(M92:M96)</f>
        <v>0</v>
      </c>
      <c r="O97" s="18">
        <f>SUM(O92:O96)</f>
        <v>0</v>
      </c>
      <c r="Q97" s="18">
        <f>SUM(Q92:Q96)</f>
        <v>0</v>
      </c>
      <c r="S97" s="18">
        <f>SUM(S92:S96)</f>
        <v>0</v>
      </c>
      <c r="U97" s="18">
        <f>SUM(U92:U96)</f>
        <v>0</v>
      </c>
      <c r="W97" s="18">
        <f>SUM(W92:W96)</f>
        <v>0</v>
      </c>
      <c r="Y97" s="18">
        <f>SUM(Y92:Y96)</f>
        <v>0</v>
      </c>
      <c r="AA97" s="18">
        <f>SUM(AA92:AA96)</f>
        <v>0</v>
      </c>
      <c r="AC97" s="18">
        <f>+Q97+AA97</f>
        <v>0</v>
      </c>
    </row>
    <row r="98" spans="1:29" x14ac:dyDescent="0.2">
      <c r="A98" s="71"/>
      <c r="C98" s="14"/>
      <c r="E98" s="14"/>
      <c r="G98" s="14"/>
      <c r="I98" s="14"/>
      <c r="K98" s="14"/>
      <c r="M98" s="14"/>
      <c r="O98" s="14"/>
      <c r="Q98" s="14"/>
      <c r="S98" s="14"/>
      <c r="U98" s="14"/>
      <c r="W98" s="14"/>
      <c r="Y98" s="14"/>
      <c r="AA98" s="14"/>
      <c r="AC98" s="14"/>
    </row>
    <row r="99" spans="1:29" x14ac:dyDescent="0.2">
      <c r="A99" s="8"/>
      <c r="B99" s="12" t="s">
        <v>18</v>
      </c>
      <c r="C99" s="14"/>
      <c r="E99" s="14"/>
      <c r="G99" s="14"/>
      <c r="I99" s="14"/>
      <c r="K99" s="14"/>
      <c r="M99" s="14"/>
      <c r="O99" s="14"/>
      <c r="Q99" s="14"/>
      <c r="S99" s="14"/>
      <c r="U99" s="14"/>
      <c r="W99" s="14"/>
      <c r="Y99" s="14"/>
      <c r="AA99" s="14"/>
      <c r="AC99" s="14"/>
    </row>
    <row r="100" spans="1:29" x14ac:dyDescent="0.2">
      <c r="A100" s="8"/>
      <c r="B100" s="3" t="s">
        <v>229</v>
      </c>
      <c r="C100" s="14">
        <v>0</v>
      </c>
      <c r="E100" s="14">
        <v>0</v>
      </c>
      <c r="G100" s="14">
        <v>0</v>
      </c>
      <c r="I100" s="14">
        <v>0</v>
      </c>
      <c r="K100" s="14">
        <v>0</v>
      </c>
      <c r="M100" s="14">
        <v>0</v>
      </c>
      <c r="O100" s="14">
        <v>0</v>
      </c>
      <c r="Q100" s="14">
        <f>SUM(C100:P100)</f>
        <v>0</v>
      </c>
      <c r="S100" s="14">
        <f>SUMIF($C$9:$P$9,"=Addition",$C100:$P100)</f>
        <v>0</v>
      </c>
      <c r="U100" s="14">
        <f>SUMIF($C$9:$P$9,"=Adjustment",$C100:$P100)</f>
        <v>0</v>
      </c>
      <c r="W100" s="14">
        <f>SUMIF($C$9:$P$9,"=Transfer",$C100:$P100)</f>
        <v>0</v>
      </c>
      <c r="Y100" s="14">
        <f>SUMIF($C$9:$P$9,"=Addition",$C100:$P100)</f>
        <v>0</v>
      </c>
      <c r="AA100" s="14">
        <f>SUM(S100:Y100)</f>
        <v>0</v>
      </c>
      <c r="AC100" s="14">
        <f>+Q100-AA100</f>
        <v>0</v>
      </c>
    </row>
    <row r="101" spans="1:29" x14ac:dyDescent="0.2">
      <c r="A101" s="8"/>
      <c r="B101" s="3" t="s">
        <v>231</v>
      </c>
      <c r="C101" s="14">
        <v>0</v>
      </c>
      <c r="E101" s="14">
        <v>0</v>
      </c>
      <c r="G101" s="14">
        <v>0</v>
      </c>
      <c r="I101" s="14">
        <v>0</v>
      </c>
      <c r="K101" s="14">
        <v>0</v>
      </c>
      <c r="M101" s="14">
        <v>0</v>
      </c>
      <c r="O101" s="14">
        <v>0</v>
      </c>
      <c r="Q101" s="14">
        <f>SUM(C101:P101)</f>
        <v>0</v>
      </c>
      <c r="S101" s="14">
        <f>SUMIF($C$9:$P$9,"=Addition",$C101:$P101)</f>
        <v>0</v>
      </c>
      <c r="U101" s="14">
        <f>SUMIF($C$9:$P$9,"=Adjustment",$C101:$P101)</f>
        <v>0</v>
      </c>
      <c r="W101" s="14">
        <f>SUMIF($C$9:$P$9,"=Transfer",$C101:$P101)</f>
        <v>0</v>
      </c>
      <c r="Y101" s="14">
        <f>SUMIF($C$9:$P$9,"=Addition",$C101:$P101)</f>
        <v>0</v>
      </c>
      <c r="AA101" s="14">
        <f>SUM(S101:Y101)</f>
        <v>0</v>
      </c>
      <c r="AC101" s="14">
        <f>+Q101-AA101</f>
        <v>0</v>
      </c>
    </row>
    <row r="102" spans="1:29" x14ac:dyDescent="0.2">
      <c r="A102" s="8"/>
      <c r="B102" s="3" t="s">
        <v>235</v>
      </c>
      <c r="C102" s="14">
        <v>0</v>
      </c>
      <c r="E102" s="14">
        <v>0</v>
      </c>
      <c r="G102" s="14">
        <v>0</v>
      </c>
      <c r="I102" s="14">
        <v>0</v>
      </c>
      <c r="K102" s="14">
        <v>0</v>
      </c>
      <c r="M102" s="14">
        <v>0</v>
      </c>
      <c r="O102" s="14">
        <v>0</v>
      </c>
      <c r="Q102" s="14">
        <f>SUM(C102:P102)</f>
        <v>0</v>
      </c>
      <c r="S102" s="14">
        <f>SUMIF($C$9:$P$9,"=Addition",$C102:$P102)</f>
        <v>0</v>
      </c>
      <c r="U102" s="14">
        <f>SUMIF($C$9:$P$9,"=Adjustment",$C102:$P102)</f>
        <v>0</v>
      </c>
      <c r="W102" s="14">
        <f>SUMIF($C$9:$P$9,"=Transfer",$C102:$P102)</f>
        <v>0</v>
      </c>
      <c r="Y102" s="14">
        <f>SUMIF($C$9:$P$9,"=Addition",$C102:$P102)</f>
        <v>0</v>
      </c>
      <c r="AA102" s="14">
        <f>SUM(S102:Y102)</f>
        <v>0</v>
      </c>
      <c r="AC102" s="14">
        <f>+Q102-AA102</f>
        <v>0</v>
      </c>
    </row>
    <row r="103" spans="1:29" x14ac:dyDescent="0.2">
      <c r="A103" s="8"/>
      <c r="B103" s="3" t="s">
        <v>236</v>
      </c>
      <c r="C103" s="14">
        <v>0</v>
      </c>
      <c r="E103" s="14">
        <v>0</v>
      </c>
      <c r="G103" s="14">
        <v>0</v>
      </c>
      <c r="I103" s="14">
        <v>0</v>
      </c>
      <c r="K103" s="14">
        <v>0</v>
      </c>
      <c r="M103" s="14">
        <v>0</v>
      </c>
      <c r="O103" s="14">
        <v>0</v>
      </c>
      <c r="Q103" s="14">
        <f>SUM(C103:P103)</f>
        <v>0</v>
      </c>
      <c r="S103" s="14">
        <f>SUMIF($C$9:$P$9,"=Addition",$C103:$P103)</f>
        <v>0</v>
      </c>
      <c r="U103" s="14">
        <f>SUMIF($C$9:$P$9,"=Adjustment",$C103:$P103)</f>
        <v>0</v>
      </c>
      <c r="W103" s="14">
        <f>SUMIF($C$9:$P$9,"=Transfer",$C103:$P103)</f>
        <v>0</v>
      </c>
      <c r="Y103" s="14">
        <f>SUMIF($C$9:$P$9,"=Addition",$C103:$P103)</f>
        <v>0</v>
      </c>
      <c r="AA103" s="14">
        <f>SUM(S103:Y103)</f>
        <v>0</v>
      </c>
      <c r="AC103" s="14">
        <f>+Q103-AA103</f>
        <v>0</v>
      </c>
    </row>
    <row r="104" spans="1:29" ht="13.5" customHeight="1" x14ac:dyDescent="0.2">
      <c r="A104" s="8"/>
      <c r="B104" s="75" t="s">
        <v>250</v>
      </c>
      <c r="C104" s="18">
        <f>SUM(C100:C103)</f>
        <v>0</v>
      </c>
      <c r="E104" s="18">
        <f>SUM(E100:E103)</f>
        <v>0</v>
      </c>
      <c r="G104" s="18">
        <f>SUM(G100:G103)</f>
        <v>0</v>
      </c>
      <c r="I104" s="18">
        <f>SUM(I100:I103)</f>
        <v>0</v>
      </c>
      <c r="K104" s="18">
        <f>SUM(K100:K103)</f>
        <v>0</v>
      </c>
      <c r="M104" s="18">
        <f>SUM(M100:M103)</f>
        <v>0</v>
      </c>
      <c r="O104" s="18">
        <f>SUM(O100:O103)</f>
        <v>0</v>
      </c>
      <c r="Q104" s="18">
        <f>SUM(Q100:Q103)</f>
        <v>0</v>
      </c>
      <c r="S104" s="18">
        <f>SUM(S100:S103)</f>
        <v>0</v>
      </c>
      <c r="U104" s="18">
        <f>SUM(U100:U103)</f>
        <v>0</v>
      </c>
      <c r="W104" s="18">
        <f>SUM(W100:W103)</f>
        <v>0</v>
      </c>
      <c r="Y104" s="18">
        <f>SUM(Y100:Y103)</f>
        <v>0</v>
      </c>
      <c r="AA104" s="18">
        <f>SUM(AA100:AA103)</f>
        <v>0</v>
      </c>
      <c r="AC104" s="18">
        <f>+Q104+AA104</f>
        <v>0</v>
      </c>
    </row>
    <row r="105" spans="1:29" ht="13.5" customHeight="1" x14ac:dyDescent="0.2">
      <c r="A105" s="8"/>
      <c r="B105" s="75"/>
      <c r="C105" s="17"/>
      <c r="E105" s="17"/>
      <c r="G105" s="17"/>
      <c r="I105" s="17"/>
      <c r="K105" s="17"/>
      <c r="M105" s="17"/>
      <c r="O105" s="17"/>
      <c r="Q105" s="17"/>
      <c r="S105" s="17"/>
      <c r="U105" s="17"/>
      <c r="W105" s="17"/>
      <c r="Y105" s="17"/>
      <c r="AA105" s="17"/>
      <c r="AC105" s="17"/>
    </row>
    <row r="106" spans="1:29" x14ac:dyDescent="0.2">
      <c r="A106" s="8"/>
      <c r="B106" s="75" t="s">
        <v>26</v>
      </c>
      <c r="C106" s="16">
        <f>+C89+C97+C104</f>
        <v>0</v>
      </c>
      <c r="D106" s="14"/>
      <c r="E106" s="16">
        <f>+E89+E97+E104</f>
        <v>0</v>
      </c>
      <c r="F106" s="14"/>
      <c r="G106" s="16">
        <f>+G89+G97+G104</f>
        <v>0</v>
      </c>
      <c r="H106" s="14"/>
      <c r="I106" s="16">
        <f>+I89+I97+I104</f>
        <v>0</v>
      </c>
      <c r="J106" s="14"/>
      <c r="K106" s="16">
        <f>+K89+K97+K104</f>
        <v>0</v>
      </c>
      <c r="L106" s="14"/>
      <c r="M106" s="16">
        <f>+M89+M97+M104</f>
        <v>0</v>
      </c>
      <c r="N106" s="14"/>
      <c r="O106" s="16">
        <f>+O89+O97+O104</f>
        <v>0</v>
      </c>
      <c r="P106" s="14"/>
      <c r="Q106" s="16">
        <f>+Q89+Q97+Q104</f>
        <v>0</v>
      </c>
      <c r="S106" s="16">
        <f>+S89+S97++S104</f>
        <v>0</v>
      </c>
      <c r="T106" s="14"/>
      <c r="U106" s="16">
        <f>+U89+U97+U104</f>
        <v>0</v>
      </c>
      <c r="V106" s="14"/>
      <c r="W106" s="16">
        <f>+W89+W97+W104</f>
        <v>0</v>
      </c>
      <c r="X106" s="14"/>
      <c r="Y106" s="16">
        <f>+Y89+Y97+Y104</f>
        <v>0</v>
      </c>
      <c r="Z106" s="14"/>
      <c r="AA106" s="16">
        <f>+AA89+AA97+AA104</f>
        <v>0</v>
      </c>
      <c r="AB106" s="14"/>
      <c r="AC106" s="16">
        <f>+Q106-AA106</f>
        <v>0</v>
      </c>
    </row>
    <row r="107" spans="1:29" x14ac:dyDescent="0.2">
      <c r="A107" s="8"/>
      <c r="B107" s="12"/>
      <c r="C107" s="17"/>
      <c r="D107" s="14"/>
      <c r="E107" s="17"/>
      <c r="F107" s="14"/>
      <c r="G107" s="17"/>
      <c r="H107" s="14"/>
      <c r="I107" s="17"/>
      <c r="J107" s="14"/>
      <c r="K107" s="17"/>
      <c r="L107" s="14"/>
      <c r="M107" s="17"/>
      <c r="N107" s="14"/>
      <c r="O107" s="17"/>
      <c r="P107" s="14"/>
      <c r="Q107" s="17"/>
      <c r="R107" s="130"/>
      <c r="S107" s="17"/>
      <c r="T107" s="14"/>
      <c r="U107" s="17"/>
      <c r="V107" s="14"/>
      <c r="W107" s="17"/>
      <c r="X107" s="14"/>
      <c r="Y107" s="17"/>
      <c r="Z107" s="14"/>
      <c r="AA107" s="17"/>
      <c r="AB107" s="14"/>
      <c r="AC107" s="17"/>
    </row>
    <row r="108" spans="1:29" ht="13.5" thickBot="1" x14ac:dyDescent="0.25">
      <c r="A108" s="8"/>
      <c r="B108" s="12" t="s">
        <v>251</v>
      </c>
      <c r="C108" s="78">
        <f>C76+C106</f>
        <v>-38373.74</v>
      </c>
      <c r="D108" s="78">
        <f t="shared" ref="D108:AB108" si="28">D76+D106</f>
        <v>0</v>
      </c>
      <c r="E108" s="78">
        <f t="shared" si="28"/>
        <v>-25990.559999999998</v>
      </c>
      <c r="F108" s="78">
        <f t="shared" si="28"/>
        <v>0</v>
      </c>
      <c r="G108" s="78">
        <f>G76+G106</f>
        <v>0</v>
      </c>
      <c r="H108" s="78">
        <f t="shared" si="28"/>
        <v>0</v>
      </c>
      <c r="I108" s="78">
        <f t="shared" si="28"/>
        <v>0</v>
      </c>
      <c r="J108" s="78">
        <f t="shared" si="28"/>
        <v>0</v>
      </c>
      <c r="K108" s="78">
        <f t="shared" si="28"/>
        <v>4183.9399999999996</v>
      </c>
      <c r="L108" s="78">
        <f t="shared" si="28"/>
        <v>0</v>
      </c>
      <c r="M108" s="78">
        <f t="shared" si="28"/>
        <v>0</v>
      </c>
      <c r="N108" s="78">
        <f t="shared" si="28"/>
        <v>0</v>
      </c>
      <c r="O108" s="78">
        <f t="shared" si="28"/>
        <v>0</v>
      </c>
      <c r="P108" s="78">
        <f t="shared" si="28"/>
        <v>0</v>
      </c>
      <c r="Q108" s="78">
        <f t="shared" si="28"/>
        <v>-60180.359999999986</v>
      </c>
      <c r="R108" s="17"/>
      <c r="S108" s="78">
        <f t="shared" si="28"/>
        <v>0</v>
      </c>
      <c r="T108" s="78">
        <f t="shared" si="28"/>
        <v>0</v>
      </c>
      <c r="U108" s="78">
        <f t="shared" si="28"/>
        <v>0</v>
      </c>
      <c r="V108" s="78">
        <f t="shared" si="28"/>
        <v>0</v>
      </c>
      <c r="W108" s="78">
        <f t="shared" si="28"/>
        <v>-60180.359999999986</v>
      </c>
      <c r="X108" s="78">
        <f t="shared" si="28"/>
        <v>0</v>
      </c>
      <c r="Y108" s="78">
        <f t="shared" si="28"/>
        <v>0</v>
      </c>
      <c r="Z108" s="78">
        <f t="shared" si="28"/>
        <v>0</v>
      </c>
      <c r="AA108" s="78">
        <f t="shared" si="28"/>
        <v>-60180.359999999986</v>
      </c>
      <c r="AB108" s="78">
        <f t="shared" si="28"/>
        <v>0</v>
      </c>
      <c r="AC108" s="78">
        <f>AC76-AC106</f>
        <v>0</v>
      </c>
    </row>
    <row r="109" spans="1:29" ht="13.5" thickTop="1" x14ac:dyDescent="0.2">
      <c r="A109" s="8"/>
      <c r="B109" s="12"/>
      <c r="C109" s="17"/>
      <c r="D109" s="14"/>
      <c r="E109" s="17"/>
      <c r="F109" s="14"/>
      <c r="G109" s="17"/>
      <c r="H109" s="14"/>
      <c r="I109" s="17"/>
      <c r="J109" s="14"/>
      <c r="K109" s="17"/>
      <c r="L109" s="14"/>
      <c r="M109" s="17"/>
      <c r="N109" s="14"/>
      <c r="O109" s="17"/>
      <c r="P109" s="14"/>
      <c r="Q109" s="17"/>
      <c r="R109" s="130"/>
      <c r="S109" s="17"/>
      <c r="T109" s="14"/>
      <c r="U109" s="17"/>
      <c r="V109" s="14"/>
      <c r="W109" s="17"/>
      <c r="X109" s="14"/>
      <c r="Y109" s="17"/>
      <c r="Z109" s="14"/>
      <c r="AA109" s="17"/>
      <c r="AB109" s="14"/>
      <c r="AC109" s="17"/>
    </row>
    <row r="110" spans="1:29" x14ac:dyDescent="0.2">
      <c r="A110" s="8"/>
      <c r="B110" s="83">
        <v>42491</v>
      </c>
      <c r="C110" s="17" t="s">
        <v>271</v>
      </c>
      <c r="D110" s="14"/>
      <c r="E110" s="17"/>
      <c r="F110" s="14"/>
      <c r="G110" s="17"/>
      <c r="H110" s="14"/>
      <c r="I110" s="17"/>
      <c r="J110" s="14"/>
      <c r="K110" s="17"/>
      <c r="L110" s="14"/>
      <c r="M110" s="17"/>
      <c r="N110" s="14"/>
      <c r="O110" s="17"/>
      <c r="P110" s="14"/>
      <c r="Q110" s="17"/>
      <c r="R110" s="130"/>
      <c r="S110" s="17"/>
      <c r="T110" s="14"/>
      <c r="U110" s="17"/>
      <c r="V110" s="14"/>
      <c r="W110" s="17"/>
      <c r="X110" s="14"/>
      <c r="Y110" s="17"/>
      <c r="Z110" s="14"/>
      <c r="AA110" s="17"/>
      <c r="AB110" s="14"/>
      <c r="AC110" s="17"/>
    </row>
    <row r="111" spans="1:29" x14ac:dyDescent="0.2">
      <c r="B111" s="83">
        <v>42552</v>
      </c>
      <c r="C111" s="17" t="s">
        <v>271</v>
      </c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13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</row>
    <row r="112" spans="1:29" x14ac:dyDescent="0.2">
      <c r="A112" s="80"/>
      <c r="B112" s="43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</row>
    <row r="113" spans="1:29" x14ac:dyDescent="0.2">
      <c r="A113" s="132"/>
      <c r="B113" s="43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</row>
    <row r="114" spans="1:29" x14ac:dyDescent="0.2">
      <c r="A114" s="79"/>
      <c r="B114" s="43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</row>
    <row r="115" spans="1:29" x14ac:dyDescent="0.2"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</row>
    <row r="116" spans="1:29" x14ac:dyDescent="0.2"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</row>
    <row r="117" spans="1:29" x14ac:dyDescent="0.2"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</row>
    <row r="118" spans="1:29" x14ac:dyDescent="0.2"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</row>
    <row r="119" spans="1:29" x14ac:dyDescent="0.2"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</row>
    <row r="120" spans="1:29" x14ac:dyDescent="0.2"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</row>
    <row r="121" spans="1:29" x14ac:dyDescent="0.2"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</row>
    <row r="122" spans="1:29" x14ac:dyDescent="0.2"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</row>
    <row r="123" spans="1:29" x14ac:dyDescent="0.2"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</row>
    <row r="124" spans="1:29" x14ac:dyDescent="0.2"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</row>
    <row r="125" spans="1:29" x14ac:dyDescent="0.2"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</row>
    <row r="126" spans="1:29" x14ac:dyDescent="0.2"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</row>
    <row r="127" spans="1:29" x14ac:dyDescent="0.2"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</row>
    <row r="128" spans="1:29" x14ac:dyDescent="0.2"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</row>
    <row r="129" spans="3:29" x14ac:dyDescent="0.2"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</row>
    <row r="130" spans="3:29" x14ac:dyDescent="0.2"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</row>
    <row r="131" spans="3:29" x14ac:dyDescent="0.2"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</row>
    <row r="132" spans="3:29" x14ac:dyDescent="0.2"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</row>
    <row r="133" spans="3:29" x14ac:dyDescent="0.2"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</row>
    <row r="134" spans="3:29" x14ac:dyDescent="0.2"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</row>
    <row r="135" spans="3:29" x14ac:dyDescent="0.2"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  <c r="Z135" s="34"/>
      <c r="AA135" s="34"/>
      <c r="AB135" s="34"/>
      <c r="AC135" s="34"/>
    </row>
    <row r="136" spans="3:29" x14ac:dyDescent="0.2"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  <c r="Z136" s="34"/>
      <c r="AA136" s="34"/>
      <c r="AB136" s="34"/>
      <c r="AC136" s="34"/>
    </row>
    <row r="137" spans="3:29" x14ac:dyDescent="0.2"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  <c r="Z137" s="34"/>
      <c r="AA137" s="34"/>
      <c r="AB137" s="34"/>
      <c r="AC137" s="34"/>
    </row>
    <row r="138" spans="3:29" x14ac:dyDescent="0.2"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  <c r="Z138" s="34"/>
      <c r="AA138" s="34"/>
      <c r="AB138" s="34"/>
      <c r="AC138" s="34"/>
    </row>
    <row r="139" spans="3:29" x14ac:dyDescent="0.2"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  <c r="Z139" s="34"/>
      <c r="AA139" s="34"/>
      <c r="AB139" s="34"/>
      <c r="AC139" s="34"/>
    </row>
    <row r="140" spans="3:29" x14ac:dyDescent="0.2"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  <c r="Z140" s="34"/>
      <c r="AA140" s="34"/>
      <c r="AB140" s="34"/>
      <c r="AC140" s="34"/>
    </row>
    <row r="141" spans="3:29" x14ac:dyDescent="0.2"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  <c r="Z141" s="34"/>
      <c r="AA141" s="34"/>
      <c r="AB141" s="34"/>
      <c r="AC141" s="34"/>
    </row>
    <row r="142" spans="3:29" x14ac:dyDescent="0.2"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  <c r="Z142" s="34"/>
      <c r="AA142" s="34"/>
      <c r="AB142" s="34"/>
      <c r="AC142" s="34"/>
    </row>
    <row r="143" spans="3:29" x14ac:dyDescent="0.2"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  <c r="Z143" s="34"/>
      <c r="AA143" s="34"/>
      <c r="AB143" s="34"/>
      <c r="AC143" s="34"/>
    </row>
    <row r="144" spans="3:29" x14ac:dyDescent="0.2"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  <c r="Z144" s="34"/>
      <c r="AA144" s="34"/>
      <c r="AB144" s="34"/>
      <c r="AC144" s="34"/>
    </row>
    <row r="145" spans="3:29" x14ac:dyDescent="0.2"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  <c r="Z145" s="34"/>
      <c r="AA145" s="34"/>
      <c r="AB145" s="34"/>
      <c r="AC145" s="34"/>
    </row>
    <row r="146" spans="3:29" x14ac:dyDescent="0.2"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  <c r="Z146" s="34"/>
      <c r="AA146" s="34"/>
      <c r="AB146" s="34"/>
      <c r="AC146" s="34"/>
    </row>
    <row r="147" spans="3:29" x14ac:dyDescent="0.2"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  <c r="Z147" s="34"/>
      <c r="AA147" s="34"/>
      <c r="AB147" s="34"/>
      <c r="AC147" s="34"/>
    </row>
    <row r="148" spans="3:29" x14ac:dyDescent="0.2"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  <c r="Z148" s="34"/>
      <c r="AA148" s="34"/>
      <c r="AB148" s="34"/>
      <c r="AC148" s="34"/>
    </row>
    <row r="149" spans="3:29" x14ac:dyDescent="0.2"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  <c r="Z149" s="34"/>
      <c r="AA149" s="34"/>
      <c r="AB149" s="34"/>
      <c r="AC149" s="34"/>
    </row>
    <row r="150" spans="3:29" x14ac:dyDescent="0.2"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  <c r="Z150" s="34"/>
      <c r="AA150" s="34"/>
      <c r="AB150" s="34"/>
      <c r="AC150" s="34"/>
    </row>
    <row r="151" spans="3:29" x14ac:dyDescent="0.2"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  <c r="Z151" s="34"/>
      <c r="AA151" s="34"/>
      <c r="AB151" s="34"/>
      <c r="AC151" s="34"/>
    </row>
    <row r="152" spans="3:29" x14ac:dyDescent="0.2"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  <c r="Z152" s="34"/>
      <c r="AA152" s="34"/>
      <c r="AB152" s="34"/>
      <c r="AC152" s="34"/>
    </row>
    <row r="153" spans="3:29" x14ac:dyDescent="0.2"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  <c r="Z153" s="34"/>
      <c r="AA153" s="34"/>
      <c r="AB153" s="34"/>
      <c r="AC153" s="34"/>
    </row>
    <row r="154" spans="3:29" x14ac:dyDescent="0.2"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  <c r="Z154" s="34"/>
      <c r="AA154" s="34"/>
      <c r="AB154" s="34"/>
      <c r="AC154" s="34"/>
    </row>
    <row r="155" spans="3:29" x14ac:dyDescent="0.2"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  <c r="Z155" s="34"/>
      <c r="AA155" s="34"/>
      <c r="AB155" s="34"/>
      <c r="AC155" s="34"/>
    </row>
    <row r="156" spans="3:29" x14ac:dyDescent="0.2"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  <c r="Z156" s="34"/>
      <c r="AA156" s="34"/>
      <c r="AB156" s="34"/>
      <c r="AC156" s="34"/>
    </row>
    <row r="157" spans="3:29" x14ac:dyDescent="0.2"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  <c r="Z157" s="34"/>
      <c r="AA157" s="34"/>
      <c r="AB157" s="34"/>
      <c r="AC157" s="34"/>
    </row>
    <row r="158" spans="3:29" x14ac:dyDescent="0.2"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  <c r="Z158" s="34"/>
      <c r="AA158" s="34"/>
      <c r="AB158" s="34"/>
      <c r="AC158" s="34"/>
    </row>
    <row r="159" spans="3:29" x14ac:dyDescent="0.2"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  <c r="Z159" s="34"/>
      <c r="AA159" s="34"/>
      <c r="AB159" s="34"/>
      <c r="AC159" s="34"/>
    </row>
    <row r="160" spans="3:29" x14ac:dyDescent="0.2"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  <c r="Z160" s="34"/>
      <c r="AA160" s="34"/>
      <c r="AB160" s="34"/>
      <c r="AC160" s="34"/>
    </row>
    <row r="161" spans="3:29" x14ac:dyDescent="0.2"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  <c r="Z161" s="34"/>
      <c r="AA161" s="34"/>
      <c r="AB161" s="34"/>
      <c r="AC161" s="34"/>
    </row>
    <row r="162" spans="3:29" x14ac:dyDescent="0.2"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  <c r="Z162" s="34"/>
      <c r="AA162" s="34"/>
      <c r="AB162" s="34"/>
      <c r="AC162" s="34"/>
    </row>
    <row r="163" spans="3:29" x14ac:dyDescent="0.2"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  <c r="Z163" s="34"/>
      <c r="AA163" s="34"/>
      <c r="AB163" s="34"/>
      <c r="AC163" s="34"/>
    </row>
    <row r="164" spans="3:29" x14ac:dyDescent="0.2"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  <c r="Z164" s="34"/>
      <c r="AA164" s="34"/>
      <c r="AB164" s="34"/>
      <c r="AC164" s="34"/>
    </row>
    <row r="165" spans="3:29" x14ac:dyDescent="0.2"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  <c r="Z165" s="34"/>
      <c r="AA165" s="34"/>
      <c r="AB165" s="34"/>
      <c r="AC165" s="34"/>
    </row>
    <row r="166" spans="3:29" x14ac:dyDescent="0.2"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  <c r="Z166" s="34"/>
      <c r="AA166" s="34"/>
      <c r="AB166" s="34"/>
      <c r="AC166" s="34"/>
    </row>
    <row r="167" spans="3:29" x14ac:dyDescent="0.2"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  <c r="Z167" s="34"/>
      <c r="AA167" s="34"/>
      <c r="AB167" s="34"/>
      <c r="AC167" s="34"/>
    </row>
    <row r="168" spans="3:29" x14ac:dyDescent="0.2"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  <c r="Z168" s="34"/>
      <c r="AA168" s="34"/>
      <c r="AB168" s="34"/>
      <c r="AC168" s="34"/>
    </row>
    <row r="169" spans="3:29" x14ac:dyDescent="0.2"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  <c r="Z169" s="34"/>
      <c r="AA169" s="34"/>
      <c r="AB169" s="34"/>
      <c r="AC169" s="34"/>
    </row>
    <row r="170" spans="3:29" x14ac:dyDescent="0.2"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  <c r="Z170" s="34"/>
      <c r="AA170" s="34"/>
      <c r="AB170" s="34"/>
      <c r="AC170" s="34"/>
    </row>
    <row r="171" spans="3:29" x14ac:dyDescent="0.2"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  <c r="Z171" s="34"/>
      <c r="AA171" s="34"/>
      <c r="AB171" s="34"/>
      <c r="AC171" s="34"/>
    </row>
    <row r="172" spans="3:29" x14ac:dyDescent="0.2"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34"/>
      <c r="W172" s="34"/>
      <c r="X172" s="34"/>
      <c r="Y172" s="34"/>
      <c r="Z172" s="34"/>
      <c r="AA172" s="34"/>
      <c r="AB172" s="34"/>
      <c r="AC172" s="34"/>
    </row>
    <row r="173" spans="3:29" x14ac:dyDescent="0.2"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4"/>
      <c r="W173" s="34"/>
      <c r="X173" s="34"/>
      <c r="Y173" s="34"/>
      <c r="Z173" s="34"/>
      <c r="AA173" s="34"/>
      <c r="AB173" s="34"/>
      <c r="AC173" s="34"/>
    </row>
    <row r="174" spans="3:29" x14ac:dyDescent="0.2"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U174" s="34"/>
      <c r="V174" s="34"/>
      <c r="W174" s="34"/>
      <c r="X174" s="34"/>
      <c r="Y174" s="34"/>
      <c r="Z174" s="34"/>
      <c r="AA174" s="34"/>
      <c r="AB174" s="34"/>
      <c r="AC174" s="34"/>
    </row>
    <row r="175" spans="3:29" x14ac:dyDescent="0.2"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4"/>
      <c r="X175" s="34"/>
      <c r="Y175" s="34"/>
      <c r="Z175" s="34"/>
      <c r="AA175" s="34"/>
      <c r="AB175" s="34"/>
      <c r="AC175" s="34"/>
    </row>
    <row r="176" spans="3:29" x14ac:dyDescent="0.2"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  <c r="AA176" s="34"/>
      <c r="AB176" s="34"/>
      <c r="AC176" s="34"/>
    </row>
    <row r="177" spans="3:29" x14ac:dyDescent="0.2"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4"/>
      <c r="S177" s="34"/>
      <c r="T177" s="34"/>
      <c r="U177" s="34"/>
      <c r="V177" s="34"/>
      <c r="W177" s="34"/>
      <c r="X177" s="34"/>
      <c r="Y177" s="34"/>
      <c r="Z177" s="34"/>
      <c r="AA177" s="34"/>
      <c r="AB177" s="34"/>
      <c r="AC177" s="34"/>
    </row>
    <row r="178" spans="3:29" x14ac:dyDescent="0.2"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  <c r="R178" s="34"/>
      <c r="S178" s="34"/>
      <c r="T178" s="34"/>
      <c r="U178" s="34"/>
      <c r="V178" s="34"/>
      <c r="W178" s="34"/>
      <c r="X178" s="34"/>
      <c r="Y178" s="34"/>
      <c r="Z178" s="34"/>
      <c r="AA178" s="34"/>
      <c r="AB178" s="34"/>
      <c r="AC178" s="34"/>
    </row>
    <row r="179" spans="3:29" x14ac:dyDescent="0.2"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  <c r="W179" s="34"/>
      <c r="X179" s="34"/>
      <c r="Y179" s="34"/>
      <c r="Z179" s="34"/>
      <c r="AA179" s="34"/>
      <c r="AB179" s="34"/>
      <c r="AC179" s="34"/>
    </row>
    <row r="180" spans="3:29" x14ac:dyDescent="0.2"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  <c r="R180" s="34"/>
      <c r="S180" s="34"/>
      <c r="T180" s="34"/>
      <c r="U180" s="34"/>
      <c r="V180" s="34"/>
      <c r="W180" s="34"/>
      <c r="X180" s="34"/>
      <c r="Y180" s="34"/>
      <c r="Z180" s="34"/>
      <c r="AA180" s="34"/>
      <c r="AB180" s="34"/>
      <c r="AC180" s="34"/>
    </row>
    <row r="181" spans="3:29" x14ac:dyDescent="0.2"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  <c r="R181" s="34"/>
      <c r="S181" s="34"/>
      <c r="T181" s="34"/>
      <c r="U181" s="34"/>
      <c r="V181" s="34"/>
      <c r="W181" s="34"/>
      <c r="X181" s="34"/>
      <c r="Y181" s="34"/>
      <c r="Z181" s="34"/>
      <c r="AA181" s="34"/>
      <c r="AB181" s="34"/>
      <c r="AC181" s="34"/>
    </row>
    <row r="182" spans="3:29" x14ac:dyDescent="0.2"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  <c r="R182" s="34"/>
      <c r="S182" s="34"/>
      <c r="T182" s="34"/>
      <c r="U182" s="34"/>
      <c r="V182" s="34"/>
      <c r="W182" s="34"/>
      <c r="X182" s="34"/>
      <c r="Y182" s="34"/>
      <c r="Z182" s="34"/>
      <c r="AA182" s="34"/>
      <c r="AB182" s="34"/>
      <c r="AC182" s="34"/>
    </row>
    <row r="183" spans="3:29" x14ac:dyDescent="0.2"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  <c r="R183" s="34"/>
      <c r="S183" s="34"/>
      <c r="T183" s="34"/>
      <c r="U183" s="34"/>
      <c r="V183" s="34"/>
      <c r="W183" s="34"/>
      <c r="X183" s="34"/>
      <c r="Y183" s="34"/>
      <c r="Z183" s="34"/>
      <c r="AA183" s="34"/>
      <c r="AB183" s="34"/>
      <c r="AC183" s="34"/>
    </row>
    <row r="184" spans="3:29" x14ac:dyDescent="0.2"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  <c r="R184" s="34"/>
      <c r="S184" s="34"/>
      <c r="T184" s="34"/>
      <c r="U184" s="34"/>
      <c r="V184" s="34"/>
      <c r="W184" s="34"/>
      <c r="X184" s="34"/>
      <c r="Y184" s="34"/>
      <c r="Z184" s="34"/>
      <c r="AA184" s="34"/>
      <c r="AB184" s="34"/>
      <c r="AC184" s="34"/>
    </row>
    <row r="185" spans="3:29" x14ac:dyDescent="0.2"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  <c r="R185" s="34"/>
      <c r="S185" s="34"/>
      <c r="T185" s="34"/>
      <c r="U185" s="34"/>
      <c r="V185" s="34"/>
      <c r="W185" s="34"/>
      <c r="X185" s="34"/>
      <c r="Y185" s="34"/>
      <c r="Z185" s="34"/>
      <c r="AA185" s="34"/>
      <c r="AB185" s="34"/>
      <c r="AC185" s="34"/>
    </row>
    <row r="186" spans="3:29" x14ac:dyDescent="0.2"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34"/>
      <c r="S186" s="34"/>
      <c r="T186" s="34"/>
      <c r="U186" s="34"/>
      <c r="V186" s="34"/>
      <c r="W186" s="34"/>
      <c r="X186" s="34"/>
      <c r="Y186" s="34"/>
      <c r="Z186" s="34"/>
      <c r="AA186" s="34"/>
      <c r="AB186" s="34"/>
      <c r="AC186" s="34"/>
    </row>
    <row r="187" spans="3:29" x14ac:dyDescent="0.2"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  <c r="R187" s="34"/>
      <c r="S187" s="34"/>
      <c r="T187" s="34"/>
      <c r="U187" s="34"/>
      <c r="V187" s="34"/>
      <c r="W187" s="34"/>
      <c r="X187" s="34"/>
      <c r="Y187" s="34"/>
      <c r="Z187" s="34"/>
      <c r="AA187" s="34"/>
      <c r="AB187" s="34"/>
      <c r="AC187" s="34"/>
    </row>
    <row r="188" spans="3:29" x14ac:dyDescent="0.2"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  <c r="R188" s="34"/>
      <c r="S188" s="34"/>
      <c r="T188" s="34"/>
      <c r="U188" s="34"/>
      <c r="V188" s="34"/>
      <c r="W188" s="34"/>
      <c r="X188" s="34"/>
      <c r="Y188" s="34"/>
      <c r="Z188" s="34"/>
      <c r="AA188" s="34"/>
      <c r="AB188" s="34"/>
      <c r="AC188" s="34"/>
    </row>
    <row r="189" spans="3:29" x14ac:dyDescent="0.2"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  <c r="R189" s="34"/>
      <c r="S189" s="34"/>
      <c r="T189" s="34"/>
      <c r="U189" s="34"/>
      <c r="V189" s="34"/>
      <c r="W189" s="34"/>
      <c r="X189" s="34"/>
      <c r="Y189" s="34"/>
      <c r="Z189" s="34"/>
      <c r="AA189" s="34"/>
      <c r="AB189" s="34"/>
      <c r="AC189" s="34"/>
    </row>
    <row r="190" spans="3:29" x14ac:dyDescent="0.2"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  <c r="R190" s="34"/>
      <c r="S190" s="34"/>
      <c r="T190" s="34"/>
      <c r="U190" s="34"/>
      <c r="V190" s="34"/>
      <c r="W190" s="34"/>
      <c r="X190" s="34"/>
      <c r="Y190" s="34"/>
      <c r="Z190" s="34"/>
      <c r="AA190" s="34"/>
      <c r="AB190" s="34"/>
      <c r="AC190" s="34"/>
    </row>
    <row r="191" spans="3:29" x14ac:dyDescent="0.2"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  <c r="R191" s="34"/>
      <c r="S191" s="34"/>
      <c r="T191" s="34"/>
      <c r="U191" s="34"/>
      <c r="V191" s="34"/>
      <c r="W191" s="34"/>
      <c r="X191" s="34"/>
      <c r="Y191" s="34"/>
      <c r="Z191" s="34"/>
      <c r="AA191" s="34"/>
      <c r="AB191" s="34"/>
      <c r="AC191" s="34"/>
    </row>
    <row r="192" spans="3:29" x14ac:dyDescent="0.2"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  <c r="R192" s="34"/>
      <c r="S192" s="34"/>
      <c r="T192" s="34"/>
      <c r="U192" s="34"/>
      <c r="V192" s="34"/>
      <c r="W192" s="34"/>
      <c r="X192" s="34"/>
      <c r="Y192" s="34"/>
      <c r="Z192" s="34"/>
      <c r="AA192" s="34"/>
      <c r="AB192" s="34"/>
      <c r="AC192" s="34"/>
    </row>
    <row r="193" spans="3:29" x14ac:dyDescent="0.2"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  <c r="R193" s="34"/>
      <c r="S193" s="34"/>
      <c r="T193" s="34"/>
      <c r="U193" s="34"/>
      <c r="V193" s="34"/>
      <c r="W193" s="34"/>
      <c r="X193" s="34"/>
      <c r="Y193" s="34"/>
      <c r="Z193" s="34"/>
      <c r="AA193" s="34"/>
      <c r="AB193" s="34"/>
      <c r="AC193" s="34"/>
    </row>
    <row r="194" spans="3:29" x14ac:dyDescent="0.2"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  <c r="R194" s="34"/>
      <c r="S194" s="34"/>
      <c r="T194" s="34"/>
      <c r="U194" s="34"/>
      <c r="V194" s="34"/>
      <c r="W194" s="34"/>
      <c r="X194" s="34"/>
      <c r="Y194" s="34"/>
      <c r="Z194" s="34"/>
      <c r="AA194" s="34"/>
      <c r="AB194" s="34"/>
      <c r="AC194" s="34"/>
    </row>
    <row r="195" spans="3:29" x14ac:dyDescent="0.2"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  <c r="R195" s="34"/>
      <c r="S195" s="34"/>
      <c r="T195" s="34"/>
      <c r="U195" s="34"/>
      <c r="V195" s="34"/>
      <c r="W195" s="34"/>
      <c r="X195" s="34"/>
      <c r="Y195" s="34"/>
      <c r="Z195" s="34"/>
      <c r="AA195" s="34"/>
      <c r="AB195" s="34"/>
      <c r="AC195" s="34"/>
    </row>
    <row r="196" spans="3:29" x14ac:dyDescent="0.2"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  <c r="R196" s="34"/>
      <c r="S196" s="34"/>
      <c r="T196" s="34"/>
      <c r="U196" s="34"/>
      <c r="V196" s="34"/>
      <c r="W196" s="34"/>
      <c r="X196" s="34"/>
      <c r="Y196" s="34"/>
      <c r="Z196" s="34"/>
      <c r="AA196" s="34"/>
      <c r="AB196" s="34"/>
      <c r="AC196" s="34"/>
    </row>
    <row r="197" spans="3:29" x14ac:dyDescent="0.2"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  <c r="R197" s="34"/>
      <c r="S197" s="34"/>
      <c r="T197" s="34"/>
      <c r="U197" s="34"/>
      <c r="V197" s="34"/>
      <c r="W197" s="34"/>
      <c r="X197" s="34"/>
      <c r="Y197" s="34"/>
      <c r="Z197" s="34"/>
      <c r="AA197" s="34"/>
      <c r="AB197" s="34"/>
      <c r="AC197" s="34"/>
    </row>
    <row r="198" spans="3:29" x14ac:dyDescent="0.2"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  <c r="R198" s="34"/>
      <c r="S198" s="34"/>
      <c r="T198" s="34"/>
      <c r="U198" s="34"/>
      <c r="V198" s="34"/>
      <c r="W198" s="34"/>
      <c r="X198" s="34"/>
      <c r="Y198" s="34"/>
      <c r="Z198" s="34"/>
      <c r="AA198" s="34"/>
      <c r="AB198" s="34"/>
      <c r="AC198" s="34"/>
    </row>
    <row r="199" spans="3:29" x14ac:dyDescent="0.2"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  <c r="R199" s="34"/>
      <c r="S199" s="34"/>
      <c r="T199" s="34"/>
      <c r="U199" s="34"/>
      <c r="V199" s="34"/>
      <c r="W199" s="34"/>
      <c r="X199" s="34"/>
      <c r="Y199" s="34"/>
      <c r="Z199" s="34"/>
      <c r="AA199" s="34"/>
      <c r="AB199" s="34"/>
      <c r="AC199" s="34"/>
    </row>
    <row r="200" spans="3:29" x14ac:dyDescent="0.2"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4"/>
      <c r="R200" s="34"/>
      <c r="S200" s="34"/>
      <c r="T200" s="34"/>
      <c r="U200" s="34"/>
      <c r="V200" s="34"/>
      <c r="W200" s="34"/>
      <c r="X200" s="34"/>
      <c r="Y200" s="34"/>
      <c r="Z200" s="34"/>
      <c r="AA200" s="34"/>
      <c r="AB200" s="34"/>
      <c r="AC200" s="34"/>
    </row>
    <row r="201" spans="3:29" x14ac:dyDescent="0.2"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  <c r="R201" s="34"/>
      <c r="S201" s="34"/>
      <c r="T201" s="34"/>
      <c r="U201" s="34"/>
      <c r="V201" s="34"/>
      <c r="W201" s="34"/>
      <c r="X201" s="34"/>
      <c r="Y201" s="34"/>
      <c r="Z201" s="34"/>
      <c r="AA201" s="34"/>
      <c r="AB201" s="34"/>
      <c r="AC201" s="34"/>
    </row>
    <row r="202" spans="3:29" x14ac:dyDescent="0.2"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  <c r="R202" s="34"/>
      <c r="S202" s="34"/>
      <c r="T202" s="34"/>
      <c r="U202" s="34"/>
      <c r="V202" s="34"/>
      <c r="W202" s="34"/>
      <c r="X202" s="34"/>
      <c r="Y202" s="34"/>
      <c r="Z202" s="34"/>
      <c r="AA202" s="34"/>
      <c r="AB202" s="34"/>
      <c r="AC202" s="34"/>
    </row>
    <row r="203" spans="3:29" x14ac:dyDescent="0.2"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  <c r="R203" s="34"/>
      <c r="S203" s="34"/>
      <c r="T203" s="34"/>
      <c r="U203" s="34"/>
      <c r="V203" s="34"/>
      <c r="W203" s="34"/>
      <c r="X203" s="34"/>
      <c r="Y203" s="34"/>
      <c r="Z203" s="34"/>
      <c r="AA203" s="34"/>
      <c r="AB203" s="34"/>
      <c r="AC203" s="34"/>
    </row>
    <row r="204" spans="3:29" x14ac:dyDescent="0.2"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  <c r="R204" s="34"/>
      <c r="S204" s="34"/>
      <c r="T204" s="34"/>
      <c r="U204" s="34"/>
      <c r="V204" s="34"/>
      <c r="W204" s="34"/>
      <c r="X204" s="34"/>
      <c r="Y204" s="34"/>
      <c r="Z204" s="34"/>
      <c r="AA204" s="34"/>
      <c r="AB204" s="34"/>
      <c r="AC204" s="34"/>
    </row>
    <row r="205" spans="3:29" x14ac:dyDescent="0.2"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  <c r="R205" s="34"/>
      <c r="S205" s="34"/>
      <c r="T205" s="34"/>
      <c r="U205" s="34"/>
      <c r="V205" s="34"/>
      <c r="W205" s="34"/>
      <c r="X205" s="34"/>
      <c r="Y205" s="34"/>
      <c r="Z205" s="34"/>
      <c r="AA205" s="34"/>
      <c r="AB205" s="34"/>
      <c r="AC205" s="34"/>
    </row>
    <row r="206" spans="3:29" x14ac:dyDescent="0.2"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  <c r="R206" s="34"/>
      <c r="S206" s="34"/>
      <c r="T206" s="34"/>
      <c r="U206" s="34"/>
      <c r="V206" s="34"/>
      <c r="W206" s="34"/>
      <c r="X206" s="34"/>
      <c r="Y206" s="34"/>
      <c r="Z206" s="34"/>
      <c r="AA206" s="34"/>
      <c r="AB206" s="34"/>
      <c r="AC206" s="34"/>
    </row>
    <row r="207" spans="3:29" x14ac:dyDescent="0.2"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  <c r="R207" s="34"/>
      <c r="S207" s="34"/>
      <c r="T207" s="34"/>
      <c r="U207" s="34"/>
      <c r="V207" s="34"/>
      <c r="W207" s="34"/>
      <c r="X207" s="34"/>
      <c r="Y207" s="34"/>
      <c r="Z207" s="34"/>
      <c r="AA207" s="34"/>
      <c r="AB207" s="34"/>
      <c r="AC207" s="34"/>
    </row>
    <row r="208" spans="3:29" x14ac:dyDescent="0.2"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  <c r="R208" s="34"/>
      <c r="S208" s="34"/>
      <c r="T208" s="34"/>
      <c r="U208" s="34"/>
      <c r="V208" s="34"/>
      <c r="W208" s="34"/>
      <c r="X208" s="34"/>
      <c r="Y208" s="34"/>
      <c r="Z208" s="34"/>
      <c r="AA208" s="34"/>
      <c r="AB208" s="34"/>
      <c r="AC208" s="34"/>
    </row>
    <row r="209" spans="3:29" x14ac:dyDescent="0.2"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  <c r="R209" s="34"/>
      <c r="S209" s="34"/>
      <c r="T209" s="34"/>
      <c r="U209" s="34"/>
      <c r="V209" s="34"/>
      <c r="W209" s="34"/>
      <c r="X209" s="34"/>
      <c r="Y209" s="34"/>
      <c r="Z209" s="34"/>
      <c r="AA209" s="34"/>
      <c r="AB209" s="34"/>
      <c r="AC209" s="34"/>
    </row>
    <row r="210" spans="3:29" x14ac:dyDescent="0.2"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  <c r="R210" s="34"/>
      <c r="S210" s="34"/>
      <c r="T210" s="34"/>
      <c r="U210" s="34"/>
      <c r="V210" s="34"/>
      <c r="W210" s="34"/>
      <c r="X210" s="34"/>
      <c r="Y210" s="34"/>
      <c r="Z210" s="34"/>
      <c r="AA210" s="34"/>
      <c r="AB210" s="34"/>
      <c r="AC210" s="34"/>
    </row>
    <row r="211" spans="3:29" x14ac:dyDescent="0.2"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  <c r="R211" s="34"/>
      <c r="S211" s="34"/>
      <c r="T211" s="34"/>
      <c r="U211" s="34"/>
      <c r="V211" s="34"/>
      <c r="W211" s="34"/>
      <c r="X211" s="34"/>
      <c r="Y211" s="34"/>
      <c r="Z211" s="34"/>
      <c r="AA211" s="34"/>
      <c r="AB211" s="34"/>
      <c r="AC211" s="34"/>
    </row>
    <row r="212" spans="3:29" x14ac:dyDescent="0.2"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  <c r="R212" s="34"/>
      <c r="S212" s="34"/>
      <c r="T212" s="34"/>
      <c r="U212" s="34"/>
      <c r="V212" s="34"/>
      <c r="W212" s="34"/>
      <c r="X212" s="34"/>
      <c r="Y212" s="34"/>
      <c r="Z212" s="34"/>
      <c r="AA212" s="34"/>
      <c r="AB212" s="34"/>
      <c r="AC212" s="34"/>
    </row>
    <row r="213" spans="3:29" x14ac:dyDescent="0.2"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  <c r="R213" s="34"/>
      <c r="S213" s="34"/>
      <c r="T213" s="34"/>
      <c r="U213" s="34"/>
      <c r="V213" s="34"/>
      <c r="W213" s="34"/>
      <c r="X213" s="34"/>
      <c r="Y213" s="34"/>
      <c r="Z213" s="34"/>
      <c r="AA213" s="34"/>
      <c r="AB213" s="34"/>
      <c r="AC213" s="34"/>
    </row>
    <row r="214" spans="3:29" x14ac:dyDescent="0.2"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  <c r="R214" s="34"/>
      <c r="S214" s="34"/>
      <c r="T214" s="34"/>
      <c r="U214" s="34"/>
      <c r="V214" s="34"/>
      <c r="W214" s="34"/>
      <c r="X214" s="34"/>
      <c r="Y214" s="34"/>
      <c r="Z214" s="34"/>
      <c r="AA214" s="34"/>
      <c r="AB214" s="34"/>
      <c r="AC214" s="34"/>
    </row>
    <row r="215" spans="3:29" x14ac:dyDescent="0.2"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  <c r="R215" s="34"/>
      <c r="S215" s="34"/>
      <c r="T215" s="34"/>
      <c r="U215" s="34"/>
      <c r="V215" s="34"/>
      <c r="W215" s="34"/>
      <c r="X215" s="34"/>
      <c r="Y215" s="34"/>
      <c r="Z215" s="34"/>
      <c r="AA215" s="34"/>
      <c r="AB215" s="34"/>
      <c r="AC215" s="34"/>
    </row>
    <row r="216" spans="3:29" x14ac:dyDescent="0.2"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  <c r="R216" s="34"/>
      <c r="S216" s="34"/>
      <c r="T216" s="34"/>
      <c r="U216" s="34"/>
      <c r="V216" s="34"/>
      <c r="W216" s="34"/>
      <c r="X216" s="34"/>
      <c r="Y216" s="34"/>
      <c r="Z216" s="34"/>
      <c r="AA216" s="34"/>
      <c r="AB216" s="34"/>
      <c r="AC216" s="34"/>
    </row>
    <row r="217" spans="3:29" x14ac:dyDescent="0.2"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  <c r="R217" s="34"/>
      <c r="S217" s="34"/>
      <c r="T217" s="34"/>
      <c r="U217" s="34"/>
      <c r="V217" s="34"/>
      <c r="W217" s="34"/>
      <c r="X217" s="34"/>
      <c r="Y217" s="34"/>
      <c r="Z217" s="34"/>
      <c r="AA217" s="34"/>
      <c r="AB217" s="34"/>
      <c r="AC217" s="34"/>
    </row>
    <row r="218" spans="3:29" x14ac:dyDescent="0.2"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  <c r="R218" s="34"/>
      <c r="S218" s="34"/>
      <c r="T218" s="34"/>
      <c r="U218" s="34"/>
      <c r="V218" s="34"/>
      <c r="W218" s="34"/>
      <c r="X218" s="34"/>
      <c r="Y218" s="34"/>
      <c r="Z218" s="34"/>
      <c r="AA218" s="34"/>
      <c r="AB218" s="34"/>
      <c r="AC218" s="34"/>
    </row>
    <row r="219" spans="3:29" x14ac:dyDescent="0.2"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  <c r="R219" s="34"/>
      <c r="S219" s="34"/>
      <c r="T219" s="34"/>
      <c r="U219" s="34"/>
      <c r="V219" s="34"/>
      <c r="W219" s="34"/>
      <c r="X219" s="34"/>
      <c r="Y219" s="34"/>
      <c r="Z219" s="34"/>
      <c r="AA219" s="34"/>
      <c r="AB219" s="34"/>
      <c r="AC219" s="34"/>
    </row>
    <row r="220" spans="3:29" x14ac:dyDescent="0.2"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  <c r="R220" s="34"/>
      <c r="S220" s="34"/>
      <c r="T220" s="34"/>
      <c r="U220" s="34"/>
      <c r="V220" s="34"/>
      <c r="W220" s="34"/>
      <c r="X220" s="34"/>
      <c r="Y220" s="34"/>
      <c r="Z220" s="34"/>
      <c r="AA220" s="34"/>
      <c r="AB220" s="34"/>
      <c r="AC220" s="34"/>
    </row>
    <row r="221" spans="3:29" x14ac:dyDescent="0.2"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  <c r="R221" s="34"/>
      <c r="S221" s="34"/>
      <c r="T221" s="34"/>
      <c r="U221" s="34"/>
      <c r="V221" s="34"/>
      <c r="W221" s="34"/>
      <c r="X221" s="34"/>
      <c r="Y221" s="34"/>
      <c r="Z221" s="34"/>
      <c r="AA221" s="34"/>
      <c r="AB221" s="34"/>
      <c r="AC221" s="34"/>
    </row>
    <row r="222" spans="3:29" x14ac:dyDescent="0.2"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  <c r="R222" s="34"/>
      <c r="S222" s="34"/>
      <c r="T222" s="34"/>
      <c r="U222" s="34"/>
      <c r="V222" s="34"/>
      <c r="W222" s="34"/>
      <c r="X222" s="34"/>
      <c r="Y222" s="34"/>
      <c r="Z222" s="34"/>
      <c r="AA222" s="34"/>
      <c r="AB222" s="34"/>
      <c r="AC222" s="34"/>
    </row>
    <row r="223" spans="3:29" x14ac:dyDescent="0.2"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  <c r="R223" s="34"/>
      <c r="S223" s="34"/>
      <c r="T223" s="34"/>
      <c r="U223" s="34"/>
      <c r="V223" s="34"/>
      <c r="W223" s="34"/>
      <c r="X223" s="34"/>
      <c r="Y223" s="34"/>
      <c r="Z223" s="34"/>
      <c r="AA223" s="34"/>
      <c r="AB223" s="34"/>
      <c r="AC223" s="34"/>
    </row>
    <row r="224" spans="3:29" x14ac:dyDescent="0.2"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  <c r="R224" s="34"/>
      <c r="S224" s="34"/>
      <c r="T224" s="34"/>
      <c r="U224" s="34"/>
      <c r="V224" s="34"/>
      <c r="W224" s="34"/>
      <c r="X224" s="34"/>
      <c r="Y224" s="34"/>
      <c r="Z224" s="34"/>
      <c r="AA224" s="34"/>
      <c r="AB224" s="34"/>
      <c r="AC224" s="34"/>
    </row>
    <row r="225" spans="3:29" x14ac:dyDescent="0.2"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  <c r="R225" s="34"/>
      <c r="S225" s="34"/>
      <c r="T225" s="34"/>
      <c r="U225" s="34"/>
      <c r="V225" s="34"/>
      <c r="W225" s="34"/>
      <c r="X225" s="34"/>
      <c r="Y225" s="34"/>
      <c r="Z225" s="34"/>
      <c r="AA225" s="34"/>
      <c r="AB225" s="34"/>
      <c r="AC225" s="34"/>
    </row>
    <row r="226" spans="3:29" x14ac:dyDescent="0.2"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  <c r="R226" s="34"/>
      <c r="S226" s="34"/>
      <c r="T226" s="34"/>
      <c r="U226" s="34"/>
      <c r="V226" s="34"/>
      <c r="W226" s="34"/>
      <c r="X226" s="34"/>
      <c r="Y226" s="34"/>
      <c r="Z226" s="34"/>
      <c r="AA226" s="34"/>
      <c r="AB226" s="34"/>
      <c r="AC226" s="34"/>
    </row>
    <row r="227" spans="3:29" x14ac:dyDescent="0.2"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  <c r="R227" s="34"/>
      <c r="S227" s="34"/>
      <c r="T227" s="34"/>
      <c r="U227" s="34"/>
      <c r="V227" s="34"/>
      <c r="W227" s="34"/>
      <c r="X227" s="34"/>
      <c r="Y227" s="34"/>
      <c r="Z227" s="34"/>
      <c r="AA227" s="34"/>
      <c r="AB227" s="34"/>
      <c r="AC227" s="34"/>
    </row>
    <row r="228" spans="3:29" x14ac:dyDescent="0.2"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  <c r="R228" s="34"/>
      <c r="S228" s="34"/>
      <c r="T228" s="34"/>
      <c r="U228" s="34"/>
      <c r="V228" s="34"/>
      <c r="W228" s="34"/>
      <c r="X228" s="34"/>
      <c r="Y228" s="34"/>
      <c r="Z228" s="34"/>
      <c r="AA228" s="34"/>
      <c r="AB228" s="34"/>
      <c r="AC228" s="34"/>
    </row>
    <row r="229" spans="3:29" x14ac:dyDescent="0.2"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  <c r="R229" s="34"/>
      <c r="S229" s="34"/>
      <c r="T229" s="34"/>
      <c r="U229" s="34"/>
      <c r="V229" s="34"/>
      <c r="W229" s="34"/>
      <c r="X229" s="34"/>
      <c r="Y229" s="34"/>
      <c r="Z229" s="34"/>
      <c r="AA229" s="34"/>
      <c r="AB229" s="34"/>
      <c r="AC229" s="34"/>
    </row>
    <row r="230" spans="3:29" x14ac:dyDescent="0.2"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  <c r="R230" s="34"/>
      <c r="S230" s="34"/>
      <c r="T230" s="34"/>
      <c r="U230" s="34"/>
      <c r="V230" s="34"/>
      <c r="W230" s="34"/>
      <c r="X230" s="34"/>
      <c r="Y230" s="34"/>
      <c r="Z230" s="34"/>
      <c r="AA230" s="34"/>
      <c r="AB230" s="34"/>
      <c r="AC230" s="34"/>
    </row>
    <row r="231" spans="3:29" x14ac:dyDescent="0.2"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  <c r="R231" s="34"/>
      <c r="S231" s="34"/>
      <c r="T231" s="34"/>
      <c r="U231" s="34"/>
      <c r="V231" s="34"/>
      <c r="W231" s="34"/>
      <c r="X231" s="34"/>
      <c r="Y231" s="34"/>
      <c r="Z231" s="34"/>
      <c r="AA231" s="34"/>
      <c r="AB231" s="34"/>
      <c r="AC231" s="34"/>
    </row>
    <row r="232" spans="3:29" x14ac:dyDescent="0.2"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  <c r="R232" s="34"/>
      <c r="S232" s="34"/>
      <c r="T232" s="34"/>
      <c r="U232" s="34"/>
      <c r="V232" s="34"/>
      <c r="W232" s="34"/>
      <c r="X232" s="34"/>
      <c r="Y232" s="34"/>
      <c r="Z232" s="34"/>
      <c r="AA232" s="34"/>
      <c r="AB232" s="34"/>
      <c r="AC232" s="34"/>
    </row>
    <row r="233" spans="3:29" x14ac:dyDescent="0.2"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  <c r="R233" s="34"/>
      <c r="S233" s="34"/>
      <c r="T233" s="34"/>
      <c r="U233" s="34"/>
      <c r="V233" s="34"/>
      <c r="W233" s="34"/>
      <c r="X233" s="34"/>
      <c r="Y233" s="34"/>
      <c r="Z233" s="34"/>
      <c r="AA233" s="34"/>
      <c r="AB233" s="34"/>
      <c r="AC233" s="34"/>
    </row>
  </sheetData>
  <mergeCells count="3">
    <mergeCell ref="A1:Q1"/>
    <mergeCell ref="A2:Q2"/>
    <mergeCell ref="A3:Q3"/>
  </mergeCells>
  <dataValidations count="1">
    <dataValidation type="list" allowBlank="1" showInputMessage="1" showErrorMessage="1" sqref="O9 C9 K9 E9 I9 G9 M9">
      <formula1>$AC$1:$AC$4</formula1>
    </dataValidation>
  </dataValidations>
  <printOptions horizontalCentered="1"/>
  <pageMargins left="0.75" right="0.75" top="1" bottom="1" header="0.5" footer="0.5"/>
  <pageSetup scale="67" orientation="landscape" r:id="rId1"/>
  <headerFooter alignWithMargins="0">
    <oddFooter>&amp;R&amp;"Times New Roman,Bold"&amp;12Case No. 2018-00295
Attachment 6 to Response to US DOD-2 Question No. 7   
Page &amp;P of &amp;N
Garrett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33"/>
  <sheetViews>
    <sheetView zoomScale="80" zoomScaleNormal="80" workbookViewId="0">
      <pane xSplit="2" ySplit="7" topLeftCell="C41" activePane="bottomRight" state="frozen"/>
      <selection sqref="A1:R1"/>
      <selection pane="topRight" sqref="A1:R1"/>
      <selection pane="bottomLeft" sqref="A1:R1"/>
      <selection pane="bottomRight" sqref="A1:R1"/>
    </sheetView>
  </sheetViews>
  <sheetFormatPr defaultRowHeight="12.75" x14ac:dyDescent="0.2"/>
  <cols>
    <col min="1" max="1" width="15.5703125" style="3" customWidth="1"/>
    <col min="2" max="2" width="36" style="3" bestFit="1" customWidth="1"/>
    <col min="3" max="3" width="17.7109375" style="3" customWidth="1"/>
    <col min="4" max="4" width="1.5703125" style="3" customWidth="1"/>
    <col min="5" max="5" width="17.7109375" style="3" customWidth="1"/>
    <col min="6" max="6" width="1.5703125" style="3" customWidth="1"/>
    <col min="7" max="7" width="17.7109375" style="3" customWidth="1"/>
    <col min="8" max="8" width="1.5703125" style="3" customWidth="1"/>
    <col min="9" max="9" width="17.7109375" style="3" customWidth="1"/>
    <col min="10" max="10" width="1.5703125" style="3" customWidth="1"/>
    <col min="11" max="11" width="17.7109375" style="3" customWidth="1"/>
    <col min="12" max="12" width="1.5703125" style="3" customWidth="1"/>
    <col min="13" max="13" width="17.7109375" style="3" customWidth="1"/>
    <col min="14" max="14" width="1.5703125" style="3" customWidth="1"/>
    <col min="15" max="15" width="17.7109375" style="3" customWidth="1"/>
    <col min="16" max="16" width="1.5703125" style="3" customWidth="1"/>
    <col min="17" max="17" width="17.7109375" style="3" customWidth="1"/>
    <col min="18" max="18" width="9.140625" style="3"/>
    <col min="19" max="19" width="17.7109375" style="3" customWidth="1"/>
    <col min="20" max="20" width="1.5703125" style="3" customWidth="1"/>
    <col min="21" max="21" width="17.7109375" style="3" customWidth="1"/>
    <col min="22" max="22" width="1.5703125" style="3" customWidth="1"/>
    <col min="23" max="23" width="17.7109375" style="3" customWidth="1"/>
    <col min="24" max="24" width="1.5703125" style="3" customWidth="1"/>
    <col min="25" max="25" width="17.7109375" style="3" customWidth="1"/>
    <col min="26" max="26" width="1.5703125" style="3" customWidth="1"/>
    <col min="27" max="27" width="17.7109375" style="3" customWidth="1"/>
    <col min="28" max="28" width="1.5703125" style="3" customWidth="1"/>
    <col min="29" max="29" width="17.7109375" style="3" customWidth="1"/>
    <col min="30" max="16384" width="9.140625" style="3"/>
  </cols>
  <sheetData>
    <row r="1" spans="1:29" x14ac:dyDescent="0.2">
      <c r="A1" s="142" t="s">
        <v>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AC1" s="127" t="s">
        <v>127</v>
      </c>
    </row>
    <row r="2" spans="1:29" x14ac:dyDescent="0.2">
      <c r="A2" s="150" t="s">
        <v>272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AC2" s="128" t="s">
        <v>129</v>
      </c>
    </row>
    <row r="3" spans="1:29" x14ac:dyDescent="0.2">
      <c r="A3" s="144" t="str">
        <f>'KU_Summary - Cost - P1 (REG)'!A3:N3</f>
        <v>DECEMBER 2016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AC3" s="128" t="s">
        <v>130</v>
      </c>
    </row>
    <row r="4" spans="1:29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79"/>
      <c r="P4" s="4"/>
      <c r="Q4" s="4"/>
      <c r="R4" s="4"/>
      <c r="S4" s="79"/>
      <c r="T4" s="4"/>
      <c r="U4" s="79"/>
      <c r="V4" s="4"/>
      <c r="W4" s="79"/>
      <c r="X4" s="4"/>
      <c r="Y4" s="79"/>
      <c r="Z4" s="4"/>
      <c r="AA4" s="79"/>
      <c r="AB4" s="4"/>
      <c r="AC4" s="129" t="s">
        <v>131</v>
      </c>
    </row>
    <row r="5" spans="1:29" x14ac:dyDescent="0.2">
      <c r="A5" s="4"/>
      <c r="B5" s="4"/>
      <c r="C5" s="79"/>
      <c r="D5" s="4"/>
      <c r="E5" s="79"/>
      <c r="F5" s="4"/>
      <c r="G5" s="79"/>
      <c r="H5" s="4"/>
      <c r="I5" s="79"/>
      <c r="J5" s="4"/>
      <c r="K5" s="4"/>
      <c r="L5" s="4"/>
      <c r="M5" s="4"/>
      <c r="N5" s="4"/>
      <c r="O5" s="79"/>
      <c r="P5" s="4"/>
      <c r="Q5" s="4"/>
      <c r="R5" s="4"/>
      <c r="S5" s="79"/>
      <c r="T5" s="4"/>
      <c r="U5" s="79"/>
      <c r="V5" s="4"/>
      <c r="W5" s="79"/>
      <c r="X5" s="4"/>
      <c r="Y5" s="79"/>
      <c r="Z5" s="4"/>
      <c r="AA5" s="79"/>
      <c r="AB5" s="4"/>
      <c r="AC5" s="79"/>
    </row>
    <row r="6" spans="1:29" x14ac:dyDescent="0.2">
      <c r="A6" s="6"/>
      <c r="B6" s="5"/>
      <c r="C6" s="25" t="s">
        <v>3</v>
      </c>
      <c r="D6" s="7"/>
      <c r="E6" s="25" t="s">
        <v>3</v>
      </c>
      <c r="F6" s="7"/>
      <c r="G6" s="25" t="s">
        <v>3</v>
      </c>
      <c r="H6" s="7"/>
      <c r="I6" s="25" t="s">
        <v>3</v>
      </c>
      <c r="J6" s="7"/>
      <c r="K6" s="25" t="s">
        <v>3</v>
      </c>
      <c r="L6" s="7"/>
      <c r="M6" s="25" t="s">
        <v>3</v>
      </c>
      <c r="N6" s="7"/>
      <c r="O6" s="25" t="s">
        <v>3</v>
      </c>
      <c r="P6" s="7"/>
      <c r="Q6" s="25" t="s">
        <v>4</v>
      </c>
      <c r="R6" s="4"/>
      <c r="S6" s="25" t="s">
        <v>149</v>
      </c>
      <c r="T6" s="7"/>
      <c r="U6" s="25" t="s">
        <v>149</v>
      </c>
      <c r="V6" s="7"/>
      <c r="W6" s="25" t="s">
        <v>149</v>
      </c>
      <c r="X6" s="7"/>
      <c r="Y6" s="25" t="s">
        <v>149</v>
      </c>
      <c r="Z6" s="7"/>
      <c r="AA6" s="25" t="s">
        <v>150</v>
      </c>
      <c r="AB6" s="7"/>
      <c r="AC6" s="25"/>
    </row>
    <row r="7" spans="1:29" x14ac:dyDescent="0.2">
      <c r="A7" s="8"/>
      <c r="C7" s="10" t="s">
        <v>8</v>
      </c>
      <c r="D7" s="9"/>
      <c r="E7" s="10" t="s">
        <v>8</v>
      </c>
      <c r="F7" s="9"/>
      <c r="G7" s="10" t="s">
        <v>8</v>
      </c>
      <c r="H7" s="9"/>
      <c r="I7" s="10" t="s">
        <v>8</v>
      </c>
      <c r="J7" s="9"/>
      <c r="K7" s="10" t="s">
        <v>8</v>
      </c>
      <c r="L7" s="9"/>
      <c r="M7" s="10" t="s">
        <v>8</v>
      </c>
      <c r="N7" s="9"/>
      <c r="O7" s="10" t="s">
        <v>8</v>
      </c>
      <c r="P7" s="9"/>
      <c r="Q7" s="10" t="s">
        <v>5</v>
      </c>
      <c r="R7" s="4"/>
      <c r="S7" s="10" t="s">
        <v>6</v>
      </c>
      <c r="T7" s="9"/>
      <c r="U7" s="10" t="s">
        <v>8</v>
      </c>
      <c r="V7" s="9"/>
      <c r="W7" s="10" t="s">
        <v>151</v>
      </c>
      <c r="X7" s="9"/>
      <c r="Y7" s="10" t="s">
        <v>131</v>
      </c>
      <c r="Z7" s="9"/>
      <c r="AA7" s="10" t="s">
        <v>149</v>
      </c>
      <c r="AB7" s="9"/>
      <c r="AC7" s="10" t="s">
        <v>102</v>
      </c>
    </row>
    <row r="8" spans="1:29" x14ac:dyDescent="0.2">
      <c r="A8" s="8"/>
      <c r="C8" s="11"/>
      <c r="D8" s="9"/>
      <c r="E8" s="11"/>
      <c r="F8" s="9"/>
      <c r="G8" s="11"/>
      <c r="H8" s="9"/>
      <c r="I8" s="11"/>
      <c r="J8" s="9"/>
      <c r="K8" s="11"/>
      <c r="L8" s="9"/>
      <c r="M8" s="11"/>
      <c r="N8" s="9"/>
      <c r="O8" s="11"/>
      <c r="P8" s="9"/>
      <c r="Q8" s="11"/>
      <c r="R8" s="4"/>
      <c r="S8" s="11"/>
      <c r="T8" s="9"/>
      <c r="U8" s="11"/>
      <c r="V8" s="9"/>
      <c r="W8" s="11"/>
      <c r="X8" s="9"/>
      <c r="Y8" s="11"/>
      <c r="Z8" s="9"/>
      <c r="AA8" s="11"/>
      <c r="AB8" s="9"/>
      <c r="AC8" s="11"/>
    </row>
    <row r="9" spans="1:29" x14ac:dyDescent="0.2">
      <c r="A9" s="71" t="s">
        <v>152</v>
      </c>
      <c r="C9" s="9"/>
      <c r="D9" s="11"/>
      <c r="E9" s="9"/>
      <c r="F9" s="11"/>
      <c r="G9" s="9"/>
      <c r="H9" s="11"/>
      <c r="I9" s="9"/>
      <c r="J9" s="11"/>
      <c r="K9" s="9"/>
      <c r="L9" s="11"/>
      <c r="M9" s="9"/>
      <c r="N9" s="11"/>
      <c r="O9" s="9"/>
      <c r="P9" s="11"/>
      <c r="Q9" s="9"/>
      <c r="R9" s="11"/>
      <c r="S9" s="9"/>
      <c r="T9" s="11"/>
      <c r="U9" s="9"/>
      <c r="V9" s="11"/>
      <c r="W9" s="9"/>
      <c r="X9" s="11"/>
      <c r="Y9" s="9"/>
      <c r="Z9" s="11"/>
      <c r="AA9" s="9"/>
      <c r="AB9" s="11"/>
      <c r="AC9" s="9"/>
    </row>
    <row r="10" spans="1:29" x14ac:dyDescent="0.2">
      <c r="A10" s="8"/>
    </row>
    <row r="11" spans="1:29" x14ac:dyDescent="0.2">
      <c r="A11" s="8">
        <v>101</v>
      </c>
      <c r="B11" s="12" t="s">
        <v>10</v>
      </c>
    </row>
    <row r="12" spans="1:29" x14ac:dyDescent="0.2">
      <c r="A12" s="8"/>
      <c r="B12" s="12"/>
    </row>
    <row r="13" spans="1:29" x14ac:dyDescent="0.2">
      <c r="A13" s="71" t="s">
        <v>11</v>
      </c>
      <c r="B13" s="12"/>
    </row>
    <row r="14" spans="1:29" x14ac:dyDescent="0.2">
      <c r="A14" s="71"/>
      <c r="B14" s="12" t="s">
        <v>12</v>
      </c>
    </row>
    <row r="15" spans="1:29" x14ac:dyDescent="0.2">
      <c r="A15" s="71"/>
      <c r="B15" s="3" t="s">
        <v>153</v>
      </c>
      <c r="C15" s="14">
        <v>0</v>
      </c>
      <c r="E15" s="14">
        <v>0</v>
      </c>
      <c r="G15" s="14">
        <v>0</v>
      </c>
      <c r="I15" s="14">
        <v>0</v>
      </c>
      <c r="K15" s="14">
        <v>0</v>
      </c>
      <c r="M15" s="14">
        <v>0</v>
      </c>
      <c r="O15" s="14">
        <v>0</v>
      </c>
      <c r="Q15" s="14">
        <f t="shared" ref="Q15:Q29" si="0">SUM(C15:P15)</f>
        <v>0</v>
      </c>
      <c r="S15" s="14">
        <f t="shared" ref="S15:S29" si="1">SUMIF($C$9:$P$9,"=Addition",$C15:$P15)</f>
        <v>0</v>
      </c>
      <c r="U15" s="14">
        <f t="shared" ref="U15:U29" si="2">SUMIF($C$9:$P$9,"=Adjustment",$C15:$P15)</f>
        <v>0</v>
      </c>
      <c r="W15" s="14">
        <f t="shared" ref="W15:W29" si="3">SUMIF($C$9:$P$9,"=Transfer",$C15:$P15)</f>
        <v>0</v>
      </c>
      <c r="Y15" s="14">
        <f t="shared" ref="Y15:Y29" si="4">SUMIF($C$9:$P$9,"=Addition",$C15:$P15)</f>
        <v>0</v>
      </c>
      <c r="AA15" s="14">
        <f t="shared" ref="AA15:AA29" si="5">SUM(S15:Y15)</f>
        <v>0</v>
      </c>
      <c r="AC15" s="14">
        <f>+Q15-AA15</f>
        <v>0</v>
      </c>
    </row>
    <row r="16" spans="1:29" x14ac:dyDescent="0.2">
      <c r="A16" s="71"/>
      <c r="B16" s="3" t="s">
        <v>154</v>
      </c>
      <c r="C16" s="14">
        <v>0</v>
      </c>
      <c r="E16" s="14">
        <v>0</v>
      </c>
      <c r="G16" s="14">
        <v>0</v>
      </c>
      <c r="I16" s="14">
        <v>0</v>
      </c>
      <c r="K16" s="14">
        <v>0</v>
      </c>
      <c r="M16" s="14">
        <v>0</v>
      </c>
      <c r="O16" s="14">
        <v>0</v>
      </c>
      <c r="Q16" s="14">
        <f t="shared" si="0"/>
        <v>0</v>
      </c>
      <c r="S16" s="14">
        <f t="shared" si="1"/>
        <v>0</v>
      </c>
      <c r="U16" s="14">
        <f t="shared" si="2"/>
        <v>0</v>
      </c>
      <c r="W16" s="14">
        <f t="shared" si="3"/>
        <v>0</v>
      </c>
      <c r="Y16" s="14">
        <f t="shared" si="4"/>
        <v>0</v>
      </c>
      <c r="AA16" s="14">
        <f t="shared" si="5"/>
        <v>0</v>
      </c>
      <c r="AC16" s="14">
        <f t="shared" ref="AC16:AC29" si="6">+Q16-AA16</f>
        <v>0</v>
      </c>
    </row>
    <row r="17" spans="1:29" x14ac:dyDescent="0.2">
      <c r="A17" s="71"/>
      <c r="B17" s="3" t="s">
        <v>155</v>
      </c>
      <c r="C17" s="14">
        <v>0</v>
      </c>
      <c r="E17" s="14">
        <v>0</v>
      </c>
      <c r="G17" s="14">
        <v>0</v>
      </c>
      <c r="I17" s="14">
        <v>0</v>
      </c>
      <c r="K17" s="14">
        <v>0</v>
      </c>
      <c r="M17" s="14">
        <v>0</v>
      </c>
      <c r="O17" s="14">
        <v>0</v>
      </c>
      <c r="Q17" s="14">
        <f t="shared" si="0"/>
        <v>0</v>
      </c>
      <c r="S17" s="14">
        <f t="shared" si="1"/>
        <v>0</v>
      </c>
      <c r="U17" s="14">
        <f t="shared" si="2"/>
        <v>0</v>
      </c>
      <c r="W17" s="14">
        <f t="shared" si="3"/>
        <v>0</v>
      </c>
      <c r="Y17" s="14">
        <f t="shared" si="4"/>
        <v>0</v>
      </c>
      <c r="AA17" s="14">
        <f t="shared" si="5"/>
        <v>0</v>
      </c>
      <c r="AC17" s="14">
        <f t="shared" si="6"/>
        <v>0</v>
      </c>
    </row>
    <row r="18" spans="1:29" x14ac:dyDescent="0.2">
      <c r="A18" s="71"/>
      <c r="B18" s="3" t="s">
        <v>156</v>
      </c>
      <c r="C18" s="14">
        <v>0</v>
      </c>
      <c r="E18" s="14">
        <v>0</v>
      </c>
      <c r="G18" s="14">
        <v>0</v>
      </c>
      <c r="I18" s="14">
        <v>0</v>
      </c>
      <c r="K18" s="14">
        <v>0</v>
      </c>
      <c r="M18" s="14">
        <v>0</v>
      </c>
      <c r="O18" s="14">
        <v>0</v>
      </c>
      <c r="Q18" s="14">
        <f t="shared" si="0"/>
        <v>0</v>
      </c>
      <c r="S18" s="14">
        <f t="shared" si="1"/>
        <v>0</v>
      </c>
      <c r="U18" s="14">
        <f t="shared" si="2"/>
        <v>0</v>
      </c>
      <c r="W18" s="14">
        <f t="shared" si="3"/>
        <v>0</v>
      </c>
      <c r="Y18" s="14">
        <f t="shared" si="4"/>
        <v>0</v>
      </c>
      <c r="AA18" s="14">
        <f t="shared" si="5"/>
        <v>0</v>
      </c>
      <c r="AC18" s="14">
        <f t="shared" si="6"/>
        <v>0</v>
      </c>
    </row>
    <row r="19" spans="1:29" x14ac:dyDescent="0.2">
      <c r="A19" s="71"/>
      <c r="B19" s="3" t="s">
        <v>157</v>
      </c>
      <c r="C19" s="14">
        <v>0</v>
      </c>
      <c r="E19" s="14">
        <v>0</v>
      </c>
      <c r="G19" s="14">
        <v>0</v>
      </c>
      <c r="I19" s="14">
        <v>0</v>
      </c>
      <c r="K19" s="14">
        <v>0</v>
      </c>
      <c r="M19" s="14">
        <v>0</v>
      </c>
      <c r="O19" s="14">
        <v>0</v>
      </c>
      <c r="Q19" s="14">
        <f t="shared" si="0"/>
        <v>0</v>
      </c>
      <c r="S19" s="14">
        <f t="shared" si="1"/>
        <v>0</v>
      </c>
      <c r="U19" s="14">
        <f t="shared" si="2"/>
        <v>0</v>
      </c>
      <c r="W19" s="14">
        <f t="shared" si="3"/>
        <v>0</v>
      </c>
      <c r="Y19" s="14">
        <f t="shared" si="4"/>
        <v>0</v>
      </c>
      <c r="AA19" s="14">
        <f t="shared" si="5"/>
        <v>0</v>
      </c>
      <c r="AC19" s="14">
        <f t="shared" si="6"/>
        <v>0</v>
      </c>
    </row>
    <row r="20" spans="1:29" x14ac:dyDescent="0.2">
      <c r="A20" s="71"/>
      <c r="B20" s="3" t="s">
        <v>158</v>
      </c>
      <c r="C20" s="14">
        <v>0</v>
      </c>
      <c r="E20" s="14">
        <v>0</v>
      </c>
      <c r="G20" s="14">
        <v>0</v>
      </c>
      <c r="I20" s="14">
        <v>0</v>
      </c>
      <c r="K20" s="14">
        <v>0</v>
      </c>
      <c r="M20" s="14">
        <v>0</v>
      </c>
      <c r="O20" s="14">
        <v>0</v>
      </c>
      <c r="Q20" s="14">
        <f t="shared" si="0"/>
        <v>0</v>
      </c>
      <c r="S20" s="14">
        <f t="shared" si="1"/>
        <v>0</v>
      </c>
      <c r="U20" s="14">
        <f t="shared" si="2"/>
        <v>0</v>
      </c>
      <c r="W20" s="14">
        <f t="shared" si="3"/>
        <v>0</v>
      </c>
      <c r="Y20" s="14">
        <f t="shared" si="4"/>
        <v>0</v>
      </c>
      <c r="AA20" s="14">
        <f t="shared" si="5"/>
        <v>0</v>
      </c>
      <c r="AC20" s="14">
        <f t="shared" si="6"/>
        <v>0</v>
      </c>
    </row>
    <row r="21" spans="1:29" x14ac:dyDescent="0.2">
      <c r="A21" s="71"/>
      <c r="B21" s="3" t="s">
        <v>159</v>
      </c>
      <c r="C21" s="14">
        <v>0</v>
      </c>
      <c r="E21" s="14">
        <v>0</v>
      </c>
      <c r="G21" s="14">
        <v>0</v>
      </c>
      <c r="I21" s="14">
        <v>0</v>
      </c>
      <c r="K21" s="14">
        <v>0</v>
      </c>
      <c r="M21" s="14">
        <v>0</v>
      </c>
      <c r="O21" s="14">
        <v>0</v>
      </c>
      <c r="Q21" s="14">
        <f t="shared" si="0"/>
        <v>0</v>
      </c>
      <c r="S21" s="14">
        <f t="shared" si="1"/>
        <v>0</v>
      </c>
      <c r="U21" s="14">
        <f t="shared" si="2"/>
        <v>0</v>
      </c>
      <c r="W21" s="14">
        <f t="shared" si="3"/>
        <v>0</v>
      </c>
      <c r="Y21" s="14">
        <f t="shared" si="4"/>
        <v>0</v>
      </c>
      <c r="AA21" s="14">
        <f t="shared" si="5"/>
        <v>0</v>
      </c>
      <c r="AC21" s="14">
        <f t="shared" si="6"/>
        <v>0</v>
      </c>
    </row>
    <row r="22" spans="1:29" x14ac:dyDescent="0.2">
      <c r="A22" s="71"/>
      <c r="B22" s="3" t="s">
        <v>160</v>
      </c>
      <c r="C22" s="14">
        <v>0</v>
      </c>
      <c r="E22" s="14">
        <v>0</v>
      </c>
      <c r="G22" s="14">
        <v>0</v>
      </c>
      <c r="I22" s="14">
        <v>0</v>
      </c>
      <c r="K22" s="14">
        <v>0</v>
      </c>
      <c r="M22" s="14">
        <v>0</v>
      </c>
      <c r="O22" s="14">
        <v>0</v>
      </c>
      <c r="Q22" s="14">
        <f t="shared" si="0"/>
        <v>0</v>
      </c>
      <c r="S22" s="14">
        <f t="shared" si="1"/>
        <v>0</v>
      </c>
      <c r="U22" s="14">
        <f t="shared" si="2"/>
        <v>0</v>
      </c>
      <c r="W22" s="14">
        <f t="shared" si="3"/>
        <v>0</v>
      </c>
      <c r="Y22" s="14">
        <f t="shared" si="4"/>
        <v>0</v>
      </c>
      <c r="AA22" s="14">
        <f t="shared" si="5"/>
        <v>0</v>
      </c>
      <c r="AC22" s="14">
        <f t="shared" si="6"/>
        <v>0</v>
      </c>
    </row>
    <row r="23" spans="1:29" x14ac:dyDescent="0.2">
      <c r="A23" s="71"/>
      <c r="B23" s="3" t="s">
        <v>161</v>
      </c>
      <c r="C23" s="14">
        <v>0</v>
      </c>
      <c r="E23" s="14">
        <v>0</v>
      </c>
      <c r="G23" s="14">
        <v>0</v>
      </c>
      <c r="I23" s="14">
        <v>0</v>
      </c>
      <c r="K23" s="14">
        <v>0</v>
      </c>
      <c r="M23" s="14">
        <v>0</v>
      </c>
      <c r="O23" s="14">
        <v>0</v>
      </c>
      <c r="Q23" s="14">
        <f t="shared" si="0"/>
        <v>0</v>
      </c>
      <c r="S23" s="14">
        <f t="shared" si="1"/>
        <v>0</v>
      </c>
      <c r="U23" s="14">
        <f t="shared" si="2"/>
        <v>0</v>
      </c>
      <c r="W23" s="14">
        <f t="shared" si="3"/>
        <v>0</v>
      </c>
      <c r="Y23" s="14">
        <f t="shared" si="4"/>
        <v>0</v>
      </c>
      <c r="AA23" s="14">
        <f t="shared" si="5"/>
        <v>0</v>
      </c>
      <c r="AC23" s="14">
        <f t="shared" si="6"/>
        <v>0</v>
      </c>
    </row>
    <row r="24" spans="1:29" x14ac:dyDescent="0.2">
      <c r="A24" s="71"/>
      <c r="B24" s="3" t="s">
        <v>162</v>
      </c>
      <c r="C24" s="14">
        <v>0</v>
      </c>
      <c r="E24" s="14">
        <v>0</v>
      </c>
      <c r="G24" s="14">
        <v>0</v>
      </c>
      <c r="I24" s="14">
        <v>0</v>
      </c>
      <c r="K24" s="14">
        <v>0</v>
      </c>
      <c r="M24" s="14">
        <v>0</v>
      </c>
      <c r="O24" s="14">
        <v>0</v>
      </c>
      <c r="Q24" s="14">
        <f t="shared" si="0"/>
        <v>0</v>
      </c>
      <c r="S24" s="14">
        <f t="shared" si="1"/>
        <v>0</v>
      </c>
      <c r="U24" s="14">
        <f t="shared" si="2"/>
        <v>0</v>
      </c>
      <c r="W24" s="14">
        <f t="shared" si="3"/>
        <v>0</v>
      </c>
      <c r="Y24" s="14">
        <f t="shared" si="4"/>
        <v>0</v>
      </c>
      <c r="AA24" s="14">
        <f t="shared" si="5"/>
        <v>0</v>
      </c>
      <c r="AC24" s="14">
        <f t="shared" si="6"/>
        <v>0</v>
      </c>
    </row>
    <row r="25" spans="1:29" x14ac:dyDescent="0.2">
      <c r="A25" s="71"/>
      <c r="B25" s="3" t="s">
        <v>163</v>
      </c>
      <c r="C25" s="14">
        <v>0</v>
      </c>
      <c r="E25" s="14">
        <v>0</v>
      </c>
      <c r="G25" s="14">
        <v>0</v>
      </c>
      <c r="I25" s="14">
        <v>0</v>
      </c>
      <c r="K25" s="14">
        <v>0</v>
      </c>
      <c r="M25" s="14">
        <v>0</v>
      </c>
      <c r="O25" s="14">
        <v>0</v>
      </c>
      <c r="Q25" s="14">
        <f t="shared" si="0"/>
        <v>0</v>
      </c>
      <c r="S25" s="14">
        <f t="shared" si="1"/>
        <v>0</v>
      </c>
      <c r="U25" s="14">
        <f t="shared" si="2"/>
        <v>0</v>
      </c>
      <c r="W25" s="14">
        <f t="shared" si="3"/>
        <v>0</v>
      </c>
      <c r="Y25" s="14">
        <f t="shared" si="4"/>
        <v>0</v>
      </c>
      <c r="AA25" s="14">
        <f t="shared" si="5"/>
        <v>0</v>
      </c>
      <c r="AC25" s="14">
        <f t="shared" si="6"/>
        <v>0</v>
      </c>
    </row>
    <row r="26" spans="1:29" x14ac:dyDescent="0.2">
      <c r="A26" s="71"/>
      <c r="B26" s="3" t="s">
        <v>165</v>
      </c>
      <c r="C26" s="14">
        <v>0</v>
      </c>
      <c r="E26" s="14">
        <v>0</v>
      </c>
      <c r="G26" s="14">
        <v>0</v>
      </c>
      <c r="I26" s="14">
        <v>0</v>
      </c>
      <c r="K26" s="14">
        <v>0</v>
      </c>
      <c r="M26" s="14">
        <v>0</v>
      </c>
      <c r="O26" s="14">
        <v>0</v>
      </c>
      <c r="Q26" s="14">
        <f t="shared" si="0"/>
        <v>0</v>
      </c>
      <c r="S26" s="14">
        <f t="shared" si="1"/>
        <v>0</v>
      </c>
      <c r="U26" s="14">
        <f t="shared" si="2"/>
        <v>0</v>
      </c>
      <c r="W26" s="14">
        <f t="shared" si="3"/>
        <v>0</v>
      </c>
      <c r="Y26" s="14">
        <f t="shared" si="4"/>
        <v>0</v>
      </c>
      <c r="AA26" s="14">
        <f t="shared" si="5"/>
        <v>0</v>
      </c>
      <c r="AC26" s="14">
        <f t="shared" si="6"/>
        <v>0</v>
      </c>
    </row>
    <row r="27" spans="1:29" x14ac:dyDescent="0.2">
      <c r="A27" s="71"/>
      <c r="B27" s="3" t="s">
        <v>166</v>
      </c>
      <c r="C27" s="14">
        <v>0</v>
      </c>
      <c r="E27" s="14">
        <v>0</v>
      </c>
      <c r="G27" s="14">
        <v>0</v>
      </c>
      <c r="I27" s="14">
        <v>0</v>
      </c>
      <c r="K27" s="14">
        <v>0</v>
      </c>
      <c r="M27" s="14">
        <v>0</v>
      </c>
      <c r="O27" s="14">
        <v>0</v>
      </c>
      <c r="Q27" s="14">
        <f t="shared" si="0"/>
        <v>0</v>
      </c>
      <c r="S27" s="14">
        <f t="shared" si="1"/>
        <v>0</v>
      </c>
      <c r="U27" s="14">
        <f t="shared" si="2"/>
        <v>0</v>
      </c>
      <c r="W27" s="14">
        <f t="shared" si="3"/>
        <v>0</v>
      </c>
      <c r="Y27" s="14">
        <f t="shared" si="4"/>
        <v>0</v>
      </c>
      <c r="AA27" s="14">
        <f t="shared" si="5"/>
        <v>0</v>
      </c>
      <c r="AC27" s="14">
        <f t="shared" si="6"/>
        <v>0</v>
      </c>
    </row>
    <row r="28" spans="1:29" x14ac:dyDescent="0.2">
      <c r="A28" s="71"/>
      <c r="B28" s="3" t="s">
        <v>167</v>
      </c>
      <c r="C28" s="14">
        <v>0</v>
      </c>
      <c r="E28" s="14">
        <v>0</v>
      </c>
      <c r="G28" s="14">
        <v>0</v>
      </c>
      <c r="I28" s="14">
        <v>0</v>
      </c>
      <c r="K28" s="14">
        <v>0</v>
      </c>
      <c r="M28" s="14">
        <v>0</v>
      </c>
      <c r="O28" s="14">
        <v>0</v>
      </c>
      <c r="Q28" s="14">
        <f t="shared" si="0"/>
        <v>0</v>
      </c>
      <c r="S28" s="14">
        <f t="shared" si="1"/>
        <v>0</v>
      </c>
      <c r="U28" s="14">
        <f t="shared" si="2"/>
        <v>0</v>
      </c>
      <c r="W28" s="14">
        <f t="shared" si="3"/>
        <v>0</v>
      </c>
      <c r="Y28" s="14">
        <f t="shared" si="4"/>
        <v>0</v>
      </c>
      <c r="AA28" s="14">
        <f t="shared" si="5"/>
        <v>0</v>
      </c>
      <c r="AC28" s="14">
        <f t="shared" si="6"/>
        <v>0</v>
      </c>
    </row>
    <row r="29" spans="1:29" x14ac:dyDescent="0.2">
      <c r="A29" s="71"/>
      <c r="B29" s="73" t="s">
        <v>168</v>
      </c>
      <c r="C29" s="14">
        <v>0</v>
      </c>
      <c r="E29" s="14">
        <v>0</v>
      </c>
      <c r="G29" s="14">
        <v>0</v>
      </c>
      <c r="I29" s="14">
        <v>0</v>
      </c>
      <c r="K29" s="14">
        <v>0</v>
      </c>
      <c r="M29" s="14">
        <v>0</v>
      </c>
      <c r="O29" s="14">
        <v>0</v>
      </c>
      <c r="Q29" s="14">
        <f t="shared" si="0"/>
        <v>0</v>
      </c>
      <c r="S29" s="14">
        <f t="shared" si="1"/>
        <v>0</v>
      </c>
      <c r="U29" s="14">
        <f t="shared" si="2"/>
        <v>0</v>
      </c>
      <c r="W29" s="14">
        <f t="shared" si="3"/>
        <v>0</v>
      </c>
      <c r="Y29" s="14">
        <f t="shared" si="4"/>
        <v>0</v>
      </c>
      <c r="AA29" s="14">
        <f t="shared" si="5"/>
        <v>0</v>
      </c>
      <c r="AC29" s="14">
        <f t="shared" si="6"/>
        <v>0</v>
      </c>
    </row>
    <row r="30" spans="1:29" x14ac:dyDescent="0.2">
      <c r="A30" s="71"/>
      <c r="B30" s="12" t="s">
        <v>169</v>
      </c>
      <c r="C30" s="18">
        <f>SUM(C15:C29)</f>
        <v>0</v>
      </c>
      <c r="E30" s="18">
        <f>SUM(E15:E29)</f>
        <v>0</v>
      </c>
      <c r="G30" s="18">
        <f>SUM(G15:G29)</f>
        <v>0</v>
      </c>
      <c r="I30" s="18">
        <f>SUM(I15:I29)</f>
        <v>0</v>
      </c>
      <c r="K30" s="18">
        <f>SUM(K15:K29)</f>
        <v>0</v>
      </c>
      <c r="M30" s="18">
        <f>SUM(M15:M29)</f>
        <v>0</v>
      </c>
      <c r="O30" s="18">
        <f>SUM(O15:O29)</f>
        <v>0</v>
      </c>
      <c r="Q30" s="18">
        <f>SUM(Q15:Q29)</f>
        <v>0</v>
      </c>
      <c r="S30" s="18">
        <f>SUM(S15:S29)</f>
        <v>0</v>
      </c>
      <c r="U30" s="18">
        <f>SUM(U15:U29)</f>
        <v>0</v>
      </c>
      <c r="W30" s="18">
        <f>SUM(W15:W29)</f>
        <v>0</v>
      </c>
      <c r="Y30" s="18">
        <f>SUM(Y15:Y29)</f>
        <v>0</v>
      </c>
      <c r="AA30" s="18">
        <f>SUM(AA15:AA29)</f>
        <v>0</v>
      </c>
      <c r="AC30" s="18">
        <f>+Q30-AA30</f>
        <v>0</v>
      </c>
    </row>
    <row r="31" spans="1:29" x14ac:dyDescent="0.2">
      <c r="A31" s="71"/>
      <c r="C31" s="14"/>
      <c r="E31" s="14"/>
      <c r="G31" s="14"/>
      <c r="I31" s="14"/>
      <c r="K31" s="14"/>
      <c r="M31" s="14"/>
      <c r="O31" s="14"/>
      <c r="Q31" s="14"/>
      <c r="S31" s="14"/>
      <c r="U31" s="14"/>
      <c r="W31" s="14"/>
      <c r="Y31" s="14"/>
      <c r="AA31" s="14"/>
      <c r="AC31" s="14"/>
    </row>
    <row r="32" spans="1:29" x14ac:dyDescent="0.2">
      <c r="A32" s="71"/>
      <c r="B32" s="12" t="s">
        <v>13</v>
      </c>
      <c r="C32" s="14"/>
      <c r="E32" s="14"/>
      <c r="G32" s="14"/>
      <c r="I32" s="14"/>
      <c r="K32" s="14"/>
      <c r="M32" s="14"/>
      <c r="O32" s="14"/>
      <c r="Q32" s="14"/>
      <c r="S32" s="14"/>
      <c r="U32" s="14"/>
      <c r="W32" s="14"/>
      <c r="Y32" s="14"/>
      <c r="AA32" s="14"/>
      <c r="AC32" s="14"/>
    </row>
    <row r="33" spans="1:29" x14ac:dyDescent="0.2">
      <c r="A33" s="71"/>
      <c r="B33" s="43" t="s">
        <v>170</v>
      </c>
      <c r="C33" s="14">
        <v>0</v>
      </c>
      <c r="E33" s="14">
        <v>0</v>
      </c>
      <c r="G33" s="14">
        <v>0</v>
      </c>
      <c r="I33" s="14">
        <v>0</v>
      </c>
      <c r="K33" s="14">
        <v>0</v>
      </c>
      <c r="M33" s="14">
        <v>0</v>
      </c>
      <c r="O33" s="14">
        <v>0</v>
      </c>
      <c r="Q33" s="14">
        <f t="shared" ref="Q33:Q48" si="7">SUM(C33:P33)</f>
        <v>0</v>
      </c>
      <c r="S33" s="14">
        <f t="shared" ref="S33:S48" si="8">SUMIF($C$9:$P$9,"=Addition",$C33:$P33)</f>
        <v>0</v>
      </c>
      <c r="U33" s="14">
        <f t="shared" ref="U33:U48" si="9">SUMIF($C$9:$P$9,"=Adjustment",$C33:$P33)</f>
        <v>0</v>
      </c>
      <c r="W33" s="14">
        <f t="shared" ref="W33:W48" si="10">SUMIF($C$9:$P$9,"=Transfer",$C33:$P33)</f>
        <v>0</v>
      </c>
      <c r="Y33" s="14">
        <f t="shared" ref="Y33:Y48" si="11">SUMIF($C$9:$P$9,"=Addition",$C33:$P33)</f>
        <v>0</v>
      </c>
      <c r="AA33" s="14">
        <f t="shared" ref="AA33:AA48" si="12">SUM(S33:Y33)</f>
        <v>0</v>
      </c>
      <c r="AC33" s="14">
        <f>+Q33-AA33</f>
        <v>0</v>
      </c>
    </row>
    <row r="34" spans="1:29" x14ac:dyDescent="0.2">
      <c r="A34" s="71"/>
      <c r="B34" s="3" t="s">
        <v>171</v>
      </c>
      <c r="C34" s="14">
        <v>0</v>
      </c>
      <c r="E34" s="14">
        <v>0</v>
      </c>
      <c r="G34" s="14">
        <v>0</v>
      </c>
      <c r="I34" s="14">
        <v>0</v>
      </c>
      <c r="K34" s="14">
        <v>0</v>
      </c>
      <c r="M34" s="14">
        <v>0</v>
      </c>
      <c r="O34" s="14">
        <v>0</v>
      </c>
      <c r="Q34" s="14">
        <f t="shared" si="7"/>
        <v>0</v>
      </c>
      <c r="S34" s="14">
        <f t="shared" si="8"/>
        <v>0</v>
      </c>
      <c r="U34" s="14">
        <f t="shared" si="9"/>
        <v>0</v>
      </c>
      <c r="W34" s="14">
        <f t="shared" si="10"/>
        <v>0</v>
      </c>
      <c r="Y34" s="14">
        <f t="shared" si="11"/>
        <v>0</v>
      </c>
      <c r="AA34" s="14">
        <f t="shared" si="12"/>
        <v>0</v>
      </c>
      <c r="AC34" s="14">
        <f t="shared" ref="AC34:AC48" si="13">+Q34-AA34</f>
        <v>0</v>
      </c>
    </row>
    <row r="35" spans="1:29" x14ac:dyDescent="0.2">
      <c r="A35" s="71"/>
      <c r="B35" s="3" t="s">
        <v>172</v>
      </c>
      <c r="C35" s="14">
        <v>0</v>
      </c>
      <c r="E35" s="14">
        <v>0</v>
      </c>
      <c r="G35" s="14">
        <v>0</v>
      </c>
      <c r="I35" s="14">
        <v>0</v>
      </c>
      <c r="K35" s="14">
        <v>0</v>
      </c>
      <c r="M35" s="14">
        <v>0</v>
      </c>
      <c r="O35" s="14">
        <v>0</v>
      </c>
      <c r="Q35" s="14">
        <f t="shared" si="7"/>
        <v>0</v>
      </c>
      <c r="S35" s="14">
        <f t="shared" si="8"/>
        <v>0</v>
      </c>
      <c r="U35" s="14">
        <f t="shared" si="9"/>
        <v>0</v>
      </c>
      <c r="W35" s="14">
        <f t="shared" si="10"/>
        <v>0</v>
      </c>
      <c r="Y35" s="14">
        <f t="shared" si="11"/>
        <v>0</v>
      </c>
      <c r="AA35" s="14">
        <f t="shared" si="12"/>
        <v>0</v>
      </c>
      <c r="AC35" s="14">
        <f t="shared" si="13"/>
        <v>0</v>
      </c>
    </row>
    <row r="36" spans="1:29" x14ac:dyDescent="0.2">
      <c r="A36" s="71"/>
      <c r="B36" s="3" t="s">
        <v>173</v>
      </c>
      <c r="C36" s="14">
        <v>0</v>
      </c>
      <c r="E36" s="14">
        <v>0</v>
      </c>
      <c r="G36" s="14">
        <v>0</v>
      </c>
      <c r="I36" s="14">
        <v>0</v>
      </c>
      <c r="K36" s="14">
        <v>0</v>
      </c>
      <c r="M36" s="14">
        <v>0</v>
      </c>
      <c r="O36" s="14">
        <v>0</v>
      </c>
      <c r="Q36" s="14">
        <f t="shared" si="7"/>
        <v>0</v>
      </c>
      <c r="S36" s="14">
        <f t="shared" si="8"/>
        <v>0</v>
      </c>
      <c r="U36" s="14">
        <f t="shared" si="9"/>
        <v>0</v>
      </c>
      <c r="W36" s="14">
        <f t="shared" si="10"/>
        <v>0</v>
      </c>
      <c r="Y36" s="14">
        <f t="shared" si="11"/>
        <v>0</v>
      </c>
      <c r="AA36" s="14">
        <f t="shared" si="12"/>
        <v>0</v>
      </c>
      <c r="AC36" s="14">
        <f t="shared" si="13"/>
        <v>0</v>
      </c>
    </row>
    <row r="37" spans="1:29" x14ac:dyDescent="0.2">
      <c r="A37" s="71"/>
      <c r="B37" s="3" t="s">
        <v>174</v>
      </c>
      <c r="C37" s="14">
        <v>0</v>
      </c>
      <c r="E37" s="14">
        <v>0</v>
      </c>
      <c r="G37" s="14">
        <v>0</v>
      </c>
      <c r="I37" s="14">
        <v>0</v>
      </c>
      <c r="K37" s="14">
        <v>0</v>
      </c>
      <c r="M37" s="14">
        <v>0</v>
      </c>
      <c r="O37" s="14">
        <v>0</v>
      </c>
      <c r="Q37" s="14">
        <f t="shared" si="7"/>
        <v>0</v>
      </c>
      <c r="S37" s="14">
        <f t="shared" si="8"/>
        <v>0</v>
      </c>
      <c r="U37" s="14">
        <f t="shared" si="9"/>
        <v>0</v>
      </c>
      <c r="W37" s="14">
        <f t="shared" si="10"/>
        <v>0</v>
      </c>
      <c r="Y37" s="14">
        <f t="shared" si="11"/>
        <v>0</v>
      </c>
      <c r="AA37" s="14">
        <f t="shared" si="12"/>
        <v>0</v>
      </c>
      <c r="AC37" s="14">
        <f t="shared" si="13"/>
        <v>0</v>
      </c>
    </row>
    <row r="38" spans="1:29" x14ac:dyDescent="0.2">
      <c r="A38" s="71"/>
      <c r="B38" s="3" t="s">
        <v>175</v>
      </c>
      <c r="C38" s="14">
        <v>0</v>
      </c>
      <c r="E38" s="14">
        <v>0</v>
      </c>
      <c r="G38" s="14">
        <v>0</v>
      </c>
      <c r="I38" s="14">
        <v>0</v>
      </c>
      <c r="K38" s="14">
        <v>0</v>
      </c>
      <c r="M38" s="14">
        <v>0</v>
      </c>
      <c r="O38" s="14">
        <v>0</v>
      </c>
      <c r="Q38" s="14">
        <f t="shared" si="7"/>
        <v>0</v>
      </c>
      <c r="S38" s="14">
        <f t="shared" si="8"/>
        <v>0</v>
      </c>
      <c r="U38" s="14">
        <f t="shared" si="9"/>
        <v>0</v>
      </c>
      <c r="W38" s="14">
        <f t="shared" si="10"/>
        <v>0</v>
      </c>
      <c r="Y38" s="14">
        <f t="shared" si="11"/>
        <v>0</v>
      </c>
      <c r="AA38" s="14">
        <f t="shared" si="12"/>
        <v>0</v>
      </c>
      <c r="AC38" s="14">
        <f t="shared" si="13"/>
        <v>0</v>
      </c>
    </row>
    <row r="39" spans="1:29" x14ac:dyDescent="0.2">
      <c r="A39" s="71"/>
      <c r="B39" s="3" t="s">
        <v>176</v>
      </c>
      <c r="C39" s="14">
        <v>0</v>
      </c>
      <c r="E39" s="14">
        <v>0</v>
      </c>
      <c r="G39" s="14">
        <v>0</v>
      </c>
      <c r="I39" s="14">
        <v>0</v>
      </c>
      <c r="K39" s="14">
        <v>0</v>
      </c>
      <c r="M39" s="14">
        <v>0</v>
      </c>
      <c r="O39" s="14">
        <v>0</v>
      </c>
      <c r="Q39" s="14">
        <f t="shared" si="7"/>
        <v>0</v>
      </c>
      <c r="S39" s="14">
        <f t="shared" si="8"/>
        <v>0</v>
      </c>
      <c r="U39" s="14">
        <f t="shared" si="9"/>
        <v>0</v>
      </c>
      <c r="W39" s="14">
        <f t="shared" si="10"/>
        <v>0</v>
      </c>
      <c r="Y39" s="14">
        <f t="shared" si="11"/>
        <v>0</v>
      </c>
      <c r="AA39" s="14">
        <f t="shared" si="12"/>
        <v>0</v>
      </c>
      <c r="AC39" s="14">
        <f t="shared" si="13"/>
        <v>0</v>
      </c>
    </row>
    <row r="40" spans="1:29" x14ac:dyDescent="0.2">
      <c r="A40" s="71"/>
      <c r="B40" s="3" t="s">
        <v>177</v>
      </c>
      <c r="C40" s="14">
        <v>0</v>
      </c>
      <c r="E40" s="14">
        <v>0</v>
      </c>
      <c r="G40" s="14">
        <v>0</v>
      </c>
      <c r="I40" s="14">
        <v>0</v>
      </c>
      <c r="K40" s="14">
        <v>0</v>
      </c>
      <c r="M40" s="14">
        <v>0</v>
      </c>
      <c r="O40" s="14">
        <v>0</v>
      </c>
      <c r="Q40" s="14">
        <f t="shared" si="7"/>
        <v>0</v>
      </c>
      <c r="S40" s="14">
        <f t="shared" si="8"/>
        <v>0</v>
      </c>
      <c r="U40" s="14">
        <f t="shared" si="9"/>
        <v>0</v>
      </c>
      <c r="W40" s="14">
        <f t="shared" si="10"/>
        <v>0</v>
      </c>
      <c r="Y40" s="14">
        <f t="shared" si="11"/>
        <v>0</v>
      </c>
      <c r="AA40" s="14">
        <f t="shared" si="12"/>
        <v>0</v>
      </c>
      <c r="AC40" s="14">
        <f t="shared" si="13"/>
        <v>0</v>
      </c>
    </row>
    <row r="41" spans="1:29" x14ac:dyDescent="0.2">
      <c r="A41" s="71"/>
      <c r="B41" s="3" t="s">
        <v>179</v>
      </c>
      <c r="C41" s="14">
        <v>0</v>
      </c>
      <c r="E41" s="14">
        <v>0</v>
      </c>
      <c r="G41" s="14">
        <v>0</v>
      </c>
      <c r="I41" s="14">
        <v>0</v>
      </c>
      <c r="K41" s="14">
        <v>0</v>
      </c>
      <c r="M41" s="14">
        <v>0</v>
      </c>
      <c r="O41" s="14">
        <v>0</v>
      </c>
      <c r="Q41" s="14">
        <f t="shared" si="7"/>
        <v>0</v>
      </c>
      <c r="S41" s="14">
        <f t="shared" si="8"/>
        <v>0</v>
      </c>
      <c r="U41" s="14">
        <f t="shared" si="9"/>
        <v>0</v>
      </c>
      <c r="W41" s="14">
        <f t="shared" si="10"/>
        <v>0</v>
      </c>
      <c r="Y41" s="14">
        <f t="shared" si="11"/>
        <v>0</v>
      </c>
      <c r="AA41" s="14">
        <f t="shared" si="12"/>
        <v>0</v>
      </c>
      <c r="AC41" s="14">
        <f t="shared" si="13"/>
        <v>0</v>
      </c>
    </row>
    <row r="42" spans="1:29" x14ac:dyDescent="0.2">
      <c r="A42" s="71"/>
      <c r="B42" s="3" t="s">
        <v>180</v>
      </c>
      <c r="C42" s="14">
        <v>0</v>
      </c>
      <c r="E42" s="14">
        <v>0</v>
      </c>
      <c r="G42" s="14">
        <v>0</v>
      </c>
      <c r="I42" s="14">
        <v>0</v>
      </c>
      <c r="K42" s="14">
        <v>0</v>
      </c>
      <c r="M42" s="14">
        <v>0</v>
      </c>
      <c r="O42" s="14">
        <v>0</v>
      </c>
      <c r="Q42" s="14">
        <f t="shared" si="7"/>
        <v>0</v>
      </c>
      <c r="S42" s="14">
        <f t="shared" si="8"/>
        <v>0</v>
      </c>
      <c r="U42" s="14">
        <f t="shared" si="9"/>
        <v>0</v>
      </c>
      <c r="W42" s="14">
        <f t="shared" si="10"/>
        <v>0</v>
      </c>
      <c r="Y42" s="14">
        <f t="shared" si="11"/>
        <v>0</v>
      </c>
      <c r="AA42" s="14">
        <f t="shared" si="12"/>
        <v>0</v>
      </c>
      <c r="AC42" s="14">
        <f t="shared" si="13"/>
        <v>0</v>
      </c>
    </row>
    <row r="43" spans="1:29" x14ac:dyDescent="0.2">
      <c r="A43" s="71"/>
      <c r="B43" s="3" t="s">
        <v>181</v>
      </c>
      <c r="C43" s="14">
        <v>0</v>
      </c>
      <c r="E43" s="14">
        <v>0</v>
      </c>
      <c r="G43" s="14">
        <v>0</v>
      </c>
      <c r="I43" s="14">
        <v>0</v>
      </c>
      <c r="K43" s="14">
        <v>0</v>
      </c>
      <c r="M43" s="14">
        <v>0</v>
      </c>
      <c r="O43" s="14">
        <v>0</v>
      </c>
      <c r="Q43" s="14">
        <f t="shared" si="7"/>
        <v>0</v>
      </c>
      <c r="S43" s="14">
        <f t="shared" si="8"/>
        <v>0</v>
      </c>
      <c r="U43" s="14">
        <f t="shared" si="9"/>
        <v>0</v>
      </c>
      <c r="W43" s="14">
        <f t="shared" si="10"/>
        <v>0</v>
      </c>
      <c r="Y43" s="14">
        <f t="shared" si="11"/>
        <v>0</v>
      </c>
      <c r="AA43" s="14">
        <f t="shared" si="12"/>
        <v>0</v>
      </c>
      <c r="AC43" s="14">
        <f t="shared" si="13"/>
        <v>0</v>
      </c>
    </row>
    <row r="44" spans="1:29" x14ac:dyDescent="0.2">
      <c r="A44" s="71"/>
      <c r="B44" s="3" t="s">
        <v>182</v>
      </c>
      <c r="C44" s="14">
        <v>0</v>
      </c>
      <c r="E44" s="14">
        <v>0</v>
      </c>
      <c r="G44" s="14">
        <v>0</v>
      </c>
      <c r="I44" s="14">
        <v>0</v>
      </c>
      <c r="K44" s="14">
        <v>0</v>
      </c>
      <c r="M44" s="14">
        <v>0</v>
      </c>
      <c r="O44" s="14">
        <v>0</v>
      </c>
      <c r="Q44" s="14">
        <f t="shared" si="7"/>
        <v>0</v>
      </c>
      <c r="S44" s="14">
        <f t="shared" si="8"/>
        <v>0</v>
      </c>
      <c r="U44" s="14">
        <f t="shared" si="9"/>
        <v>0</v>
      </c>
      <c r="W44" s="14">
        <f t="shared" si="10"/>
        <v>0</v>
      </c>
      <c r="Y44" s="14">
        <f t="shared" si="11"/>
        <v>0</v>
      </c>
      <c r="AA44" s="14">
        <f t="shared" si="12"/>
        <v>0</v>
      </c>
      <c r="AC44" s="14">
        <f t="shared" si="13"/>
        <v>0</v>
      </c>
    </row>
    <row r="45" spans="1:29" x14ac:dyDescent="0.2">
      <c r="A45" s="71"/>
      <c r="B45" s="43" t="s">
        <v>183</v>
      </c>
      <c r="C45" s="14">
        <v>0</v>
      </c>
      <c r="E45" s="14">
        <v>0</v>
      </c>
      <c r="G45" s="14">
        <v>0</v>
      </c>
      <c r="I45" s="14">
        <v>0</v>
      </c>
      <c r="K45" s="14">
        <v>0</v>
      </c>
      <c r="M45" s="14">
        <v>0</v>
      </c>
      <c r="O45" s="14">
        <v>0</v>
      </c>
      <c r="Q45" s="14">
        <f t="shared" si="7"/>
        <v>0</v>
      </c>
      <c r="S45" s="14">
        <f t="shared" si="8"/>
        <v>0</v>
      </c>
      <c r="U45" s="14">
        <f t="shared" si="9"/>
        <v>0</v>
      </c>
      <c r="W45" s="14">
        <f t="shared" si="10"/>
        <v>0</v>
      </c>
      <c r="Y45" s="14">
        <f t="shared" si="11"/>
        <v>0</v>
      </c>
      <c r="AA45" s="14">
        <f t="shared" si="12"/>
        <v>0</v>
      </c>
      <c r="AC45" s="14">
        <f t="shared" si="13"/>
        <v>0</v>
      </c>
    </row>
    <row r="46" spans="1:29" x14ac:dyDescent="0.2">
      <c r="A46" s="71"/>
      <c r="B46" s="43" t="s">
        <v>184</v>
      </c>
      <c r="C46" s="14">
        <v>0</v>
      </c>
      <c r="E46" s="14">
        <v>0</v>
      </c>
      <c r="G46" s="14">
        <v>0</v>
      </c>
      <c r="I46" s="14">
        <v>0</v>
      </c>
      <c r="K46" s="14">
        <v>0</v>
      </c>
      <c r="M46" s="14">
        <v>0</v>
      </c>
      <c r="O46" s="14">
        <v>0</v>
      </c>
      <c r="Q46" s="14">
        <f t="shared" si="7"/>
        <v>0</v>
      </c>
      <c r="S46" s="14">
        <f t="shared" si="8"/>
        <v>0</v>
      </c>
      <c r="U46" s="14">
        <f t="shared" si="9"/>
        <v>0</v>
      </c>
      <c r="W46" s="14">
        <f t="shared" si="10"/>
        <v>0</v>
      </c>
      <c r="Y46" s="14">
        <f t="shared" si="11"/>
        <v>0</v>
      </c>
      <c r="AA46" s="14">
        <f t="shared" si="12"/>
        <v>0</v>
      </c>
      <c r="AC46" s="14">
        <f t="shared" si="13"/>
        <v>0</v>
      </c>
    </row>
    <row r="47" spans="1:29" x14ac:dyDescent="0.2">
      <c r="A47" s="71"/>
      <c r="B47" s="3" t="s">
        <v>185</v>
      </c>
      <c r="C47" s="14">
        <v>0</v>
      </c>
      <c r="E47" s="14">
        <v>0</v>
      </c>
      <c r="G47" s="14">
        <v>0</v>
      </c>
      <c r="I47" s="14">
        <v>0</v>
      </c>
      <c r="K47" s="14">
        <v>0</v>
      </c>
      <c r="M47" s="14">
        <v>0</v>
      </c>
      <c r="O47" s="14">
        <v>0</v>
      </c>
      <c r="Q47" s="14">
        <f t="shared" si="7"/>
        <v>0</v>
      </c>
      <c r="S47" s="14">
        <f t="shared" si="8"/>
        <v>0</v>
      </c>
      <c r="U47" s="14">
        <f t="shared" si="9"/>
        <v>0</v>
      </c>
      <c r="W47" s="14">
        <f t="shared" si="10"/>
        <v>0</v>
      </c>
      <c r="Y47" s="14">
        <f t="shared" si="11"/>
        <v>0</v>
      </c>
      <c r="AA47" s="14">
        <f t="shared" si="12"/>
        <v>0</v>
      </c>
      <c r="AC47" s="14">
        <f t="shared" si="13"/>
        <v>0</v>
      </c>
    </row>
    <row r="48" spans="1:29" x14ac:dyDescent="0.2">
      <c r="A48" s="71"/>
      <c r="B48" s="3" t="s">
        <v>186</v>
      </c>
      <c r="C48" s="14">
        <v>0</v>
      </c>
      <c r="E48" s="14">
        <v>0</v>
      </c>
      <c r="G48" s="14">
        <v>0</v>
      </c>
      <c r="I48" s="14">
        <v>0</v>
      </c>
      <c r="K48" s="14">
        <v>0</v>
      </c>
      <c r="M48" s="14">
        <v>0</v>
      </c>
      <c r="O48" s="14">
        <v>0</v>
      </c>
      <c r="Q48" s="14">
        <f t="shared" si="7"/>
        <v>0</v>
      </c>
      <c r="S48" s="14">
        <f t="shared" si="8"/>
        <v>0</v>
      </c>
      <c r="U48" s="14">
        <f t="shared" si="9"/>
        <v>0</v>
      </c>
      <c r="W48" s="14">
        <f t="shared" si="10"/>
        <v>0</v>
      </c>
      <c r="Y48" s="14">
        <f t="shared" si="11"/>
        <v>0</v>
      </c>
      <c r="AA48" s="14">
        <f t="shared" si="12"/>
        <v>0</v>
      </c>
      <c r="AC48" s="14">
        <f t="shared" si="13"/>
        <v>0</v>
      </c>
    </row>
    <row r="49" spans="1:29" x14ac:dyDescent="0.2">
      <c r="A49" s="71"/>
      <c r="B49" s="12" t="s">
        <v>187</v>
      </c>
      <c r="C49" s="18">
        <f>SUM(C33:C48)</f>
        <v>0</v>
      </c>
      <c r="E49" s="18">
        <f>SUM(E33:E48)</f>
        <v>0</v>
      </c>
      <c r="G49" s="18">
        <f>SUM(G33:G48)</f>
        <v>0</v>
      </c>
      <c r="I49" s="18">
        <f>SUM(I33:I48)</f>
        <v>0</v>
      </c>
      <c r="K49" s="18">
        <f>SUM(K33:K48)</f>
        <v>0</v>
      </c>
      <c r="M49" s="18">
        <f>SUM(M33:M48)</f>
        <v>0</v>
      </c>
      <c r="O49" s="18">
        <f>SUM(O33:O48)</f>
        <v>0</v>
      </c>
      <c r="Q49" s="18">
        <f>SUM(Q33:Q48)</f>
        <v>0</v>
      </c>
      <c r="S49" s="18">
        <f>SUM(S33:S48)</f>
        <v>0</v>
      </c>
      <c r="U49" s="18">
        <f>SUM(U33:U48)</f>
        <v>0</v>
      </c>
      <c r="W49" s="18">
        <f>SUM(W33:W48)</f>
        <v>0</v>
      </c>
      <c r="Y49" s="18">
        <f>SUM(Y33:Y48)</f>
        <v>0</v>
      </c>
      <c r="AA49" s="18">
        <f>SUM(AA33:AA48)</f>
        <v>0</v>
      </c>
      <c r="AC49" s="18">
        <f>+Q49-AA49</f>
        <v>0</v>
      </c>
    </row>
    <row r="50" spans="1:29" x14ac:dyDescent="0.2">
      <c r="A50" s="71"/>
      <c r="C50" s="14"/>
      <c r="E50" s="14"/>
      <c r="G50" s="14"/>
      <c r="I50" s="14"/>
      <c r="K50" s="14"/>
      <c r="M50" s="14"/>
      <c r="O50" s="14"/>
      <c r="Q50" s="14"/>
      <c r="S50" s="14"/>
      <c r="U50" s="14"/>
      <c r="W50" s="14"/>
      <c r="Y50" s="14"/>
      <c r="AA50" s="14"/>
      <c r="AC50" s="14"/>
    </row>
    <row r="51" spans="1:29" x14ac:dyDescent="0.2">
      <c r="A51" s="71"/>
      <c r="B51" s="12" t="s">
        <v>15</v>
      </c>
      <c r="C51" s="14"/>
      <c r="E51" s="14"/>
      <c r="G51" s="14"/>
      <c r="I51" s="14"/>
      <c r="K51" s="14"/>
      <c r="M51" s="14"/>
      <c r="O51" s="14"/>
      <c r="Q51" s="14"/>
      <c r="S51" s="14"/>
      <c r="U51" s="14"/>
      <c r="W51" s="14"/>
      <c r="Y51" s="14"/>
      <c r="AA51" s="14"/>
      <c r="AC51" s="14"/>
    </row>
    <row r="52" spans="1:29" x14ac:dyDescent="0.2">
      <c r="A52" s="71"/>
      <c r="B52" s="43" t="s">
        <v>197</v>
      </c>
      <c r="C52" s="14">
        <v>0</v>
      </c>
      <c r="E52" s="14">
        <v>0</v>
      </c>
      <c r="G52" s="14">
        <v>0</v>
      </c>
      <c r="I52" s="14">
        <v>0</v>
      </c>
      <c r="K52" s="14">
        <v>0</v>
      </c>
      <c r="M52" s="14">
        <v>0</v>
      </c>
      <c r="O52" s="14">
        <v>0</v>
      </c>
      <c r="Q52" s="14">
        <f>SUM(C52:P52)</f>
        <v>0</v>
      </c>
      <c r="S52" s="14">
        <f>SUMIF($C$9:$P$9,"=Addition",$C52:$P52)</f>
        <v>0</v>
      </c>
      <c r="U52" s="14">
        <f>SUMIF($C$9:$P$9,"=Adjustment",$C52:$P52)</f>
        <v>0</v>
      </c>
      <c r="W52" s="14">
        <f>SUMIF($C$9:$P$9,"=Transfer",$C52:$P52)</f>
        <v>0</v>
      </c>
      <c r="Y52" s="14">
        <f>SUMIF($C$9:$P$9,"=Addition",$C52:$P52)</f>
        <v>0</v>
      </c>
      <c r="AA52" s="14">
        <f>SUM(S52:Y52)</f>
        <v>0</v>
      </c>
      <c r="AC52" s="14">
        <f>+Q52-AA52</f>
        <v>0</v>
      </c>
    </row>
    <row r="53" spans="1:29" x14ac:dyDescent="0.2">
      <c r="A53" s="71"/>
      <c r="B53" s="3" t="s">
        <v>198</v>
      </c>
      <c r="C53" s="14">
        <v>0</v>
      </c>
      <c r="E53" s="14">
        <v>0</v>
      </c>
      <c r="G53" s="14">
        <v>0</v>
      </c>
      <c r="I53" s="14">
        <v>0</v>
      </c>
      <c r="K53" s="14">
        <v>0</v>
      </c>
      <c r="M53" s="14">
        <v>0</v>
      </c>
      <c r="O53" s="14">
        <v>0</v>
      </c>
      <c r="Q53" s="14">
        <f>SUM(C53:P53)</f>
        <v>0</v>
      </c>
      <c r="S53" s="14">
        <f>SUMIF($C$9:$P$9,"=Addition",$C53:$P53)</f>
        <v>0</v>
      </c>
      <c r="U53" s="14">
        <f>SUMIF($C$9:$P$9,"=Adjustment",$C53:$P53)</f>
        <v>0</v>
      </c>
      <c r="W53" s="14">
        <f>SUMIF($C$9:$P$9,"=Transfer",$C53:$P53)</f>
        <v>0</v>
      </c>
      <c r="Y53" s="14">
        <f>SUMIF($C$9:$P$9,"=Addition",$C53:$P53)</f>
        <v>0</v>
      </c>
      <c r="AA53" s="14">
        <f>SUM(S53:Y53)</f>
        <v>0</v>
      </c>
      <c r="AC53" s="14">
        <f>+Q53-AA53</f>
        <v>0</v>
      </c>
    </row>
    <row r="54" spans="1:29" x14ac:dyDescent="0.2">
      <c r="A54" s="71"/>
      <c r="B54" s="3" t="s">
        <v>199</v>
      </c>
      <c r="C54" s="14">
        <v>0</v>
      </c>
      <c r="E54" s="14">
        <v>0</v>
      </c>
      <c r="G54" s="14">
        <v>0</v>
      </c>
      <c r="I54" s="14">
        <v>0</v>
      </c>
      <c r="K54" s="14">
        <v>0</v>
      </c>
      <c r="M54" s="14">
        <v>0</v>
      </c>
      <c r="O54" s="14">
        <v>0</v>
      </c>
      <c r="Q54" s="14">
        <f>SUM(C54:P54)</f>
        <v>0</v>
      </c>
      <c r="S54" s="14">
        <f>SUMIF($C$9:$P$9,"=Addition",$C54:$P54)</f>
        <v>0</v>
      </c>
      <c r="U54" s="14">
        <f>SUMIF($C$9:$P$9,"=Adjustment",$C54:$P54)</f>
        <v>0</v>
      </c>
      <c r="W54" s="14">
        <f>SUMIF($C$9:$P$9,"=Transfer",$C54:$P54)</f>
        <v>0</v>
      </c>
      <c r="Y54" s="14">
        <f>SUMIF($C$9:$P$9,"=Addition",$C54:$P54)</f>
        <v>0</v>
      </c>
      <c r="AA54" s="14">
        <f>SUM(S54:Y54)</f>
        <v>0</v>
      </c>
      <c r="AC54" s="14">
        <f>+Q54-AA54</f>
        <v>0</v>
      </c>
    </row>
    <row r="55" spans="1:29" x14ac:dyDescent="0.2">
      <c r="A55" s="71"/>
      <c r="B55" s="3" t="s">
        <v>200</v>
      </c>
      <c r="C55" s="14">
        <v>0</v>
      </c>
      <c r="E55" s="14">
        <v>0</v>
      </c>
      <c r="G55" s="14">
        <v>0</v>
      </c>
      <c r="I55" s="14">
        <v>0</v>
      </c>
      <c r="K55" s="14">
        <v>0</v>
      </c>
      <c r="M55" s="14">
        <v>0</v>
      </c>
      <c r="O55" s="14">
        <v>0</v>
      </c>
      <c r="Q55" s="14">
        <f>SUM(C55:P55)</f>
        <v>0</v>
      </c>
      <c r="S55" s="14">
        <f>SUMIF($C$9:$P$9,"=Addition",$C55:$P55)</f>
        <v>0</v>
      </c>
      <c r="U55" s="14">
        <f>SUMIF($C$9:$P$9,"=Adjustment",$C55:$P55)</f>
        <v>0</v>
      </c>
      <c r="W55" s="14">
        <f>SUMIF($C$9:$P$9,"=Transfer",$C55:$P55)</f>
        <v>0</v>
      </c>
      <c r="Y55" s="14">
        <f>SUMIF($C$9:$P$9,"=Addition",$C55:$P55)</f>
        <v>0</v>
      </c>
      <c r="AA55" s="14">
        <f>SUM(S55:Y55)</f>
        <v>0</v>
      </c>
      <c r="AC55" s="14">
        <f>+Q55-AA55</f>
        <v>0</v>
      </c>
    </row>
    <row r="56" spans="1:29" x14ac:dyDescent="0.2">
      <c r="A56" s="71"/>
      <c r="B56" s="12" t="s">
        <v>201</v>
      </c>
      <c r="C56" s="18">
        <f>SUM(C52:C55)</f>
        <v>0</v>
      </c>
      <c r="E56" s="18">
        <f>SUM(E52:E55)</f>
        <v>0</v>
      </c>
      <c r="G56" s="18">
        <f>SUM(G52:G55)</f>
        <v>0</v>
      </c>
      <c r="I56" s="18">
        <f>SUM(I52:I55)</f>
        <v>0</v>
      </c>
      <c r="K56" s="18">
        <f>SUM(K52:K55)</f>
        <v>0</v>
      </c>
      <c r="M56" s="18">
        <f>SUM(M52:M55)</f>
        <v>0</v>
      </c>
      <c r="O56" s="18">
        <f>SUM(O52:O55)</f>
        <v>0</v>
      </c>
      <c r="Q56" s="18">
        <f>SUM(Q52:Q55)</f>
        <v>0</v>
      </c>
      <c r="S56" s="18">
        <f>SUM(S52:S55)</f>
        <v>0</v>
      </c>
      <c r="U56" s="18">
        <f>SUM(U52:U55)</f>
        <v>0</v>
      </c>
      <c r="W56" s="18">
        <f>SUM(W52:W55)</f>
        <v>0</v>
      </c>
      <c r="Y56" s="18">
        <f>SUM(Y52:Y55)</f>
        <v>0</v>
      </c>
      <c r="AA56" s="18">
        <f>SUM(AA52:AA55)</f>
        <v>0</v>
      </c>
      <c r="AC56" s="18">
        <f>+Q56-AA56</f>
        <v>0</v>
      </c>
    </row>
    <row r="57" spans="1:29" x14ac:dyDescent="0.2">
      <c r="A57" s="71"/>
      <c r="C57" s="14"/>
      <c r="E57" s="14"/>
      <c r="G57" s="14"/>
      <c r="I57" s="14"/>
      <c r="K57" s="14"/>
      <c r="M57" s="14"/>
      <c r="O57" s="14"/>
      <c r="Q57" s="14"/>
      <c r="S57" s="14"/>
      <c r="U57" s="14"/>
      <c r="W57" s="14"/>
      <c r="Y57" s="14"/>
      <c r="AA57" s="14"/>
      <c r="AC57" s="14"/>
    </row>
    <row r="58" spans="1:29" x14ac:dyDescent="0.2">
      <c r="A58" s="8"/>
      <c r="B58" s="12" t="s">
        <v>18</v>
      </c>
      <c r="C58" s="14"/>
      <c r="E58" s="14"/>
      <c r="G58" s="14"/>
      <c r="I58" s="14"/>
      <c r="K58" s="14"/>
      <c r="M58" s="14"/>
      <c r="O58" s="14"/>
      <c r="Q58" s="14"/>
      <c r="S58" s="14"/>
      <c r="U58" s="14"/>
      <c r="W58" s="14"/>
      <c r="Y58" s="14"/>
      <c r="AA58" s="14"/>
      <c r="AC58" s="14"/>
    </row>
    <row r="59" spans="1:29" x14ac:dyDescent="0.2">
      <c r="A59" s="8"/>
      <c r="B59" s="3" t="s">
        <v>227</v>
      </c>
      <c r="C59" s="14">
        <v>0</v>
      </c>
      <c r="E59" s="14">
        <v>0</v>
      </c>
      <c r="G59" s="14">
        <v>0</v>
      </c>
      <c r="I59" s="14">
        <v>0</v>
      </c>
      <c r="K59" s="14">
        <v>0</v>
      </c>
      <c r="M59" s="14">
        <v>0</v>
      </c>
      <c r="O59" s="14">
        <v>0</v>
      </c>
      <c r="Q59" s="14">
        <f t="shared" ref="Q59:Q72" si="14">SUM(C59:P59)</f>
        <v>0</v>
      </c>
      <c r="S59" s="14">
        <f t="shared" ref="S59:S72" si="15">SUMIF($C$9:$P$9,"=Addition",$C59:$P59)</f>
        <v>0</v>
      </c>
      <c r="U59" s="14">
        <f t="shared" ref="U59:U72" si="16">SUMIF($C$9:$P$9,"=Adjustment",$C59:$P59)</f>
        <v>0</v>
      </c>
      <c r="W59" s="14">
        <f t="shared" ref="W59:W72" si="17">SUMIF($C$9:$P$9,"=Transfer",$C59:$P59)</f>
        <v>0</v>
      </c>
      <c r="Y59" s="14">
        <f t="shared" ref="Y59:Y72" si="18">SUMIF($C$9:$P$9,"=Addition",$C59:$P59)</f>
        <v>0</v>
      </c>
      <c r="AA59" s="14">
        <f t="shared" ref="AA59:AA72" si="19">SUM(S59:Y59)</f>
        <v>0</v>
      </c>
      <c r="AC59" s="14">
        <f>+Q59-AA59</f>
        <v>0</v>
      </c>
    </row>
    <row r="60" spans="1:29" x14ac:dyDescent="0.2">
      <c r="A60" s="8"/>
      <c r="B60" s="3" t="s">
        <v>228</v>
      </c>
      <c r="C60" s="14">
        <v>0</v>
      </c>
      <c r="E60" s="14">
        <v>0</v>
      </c>
      <c r="G60" s="14">
        <v>0</v>
      </c>
      <c r="I60" s="14">
        <v>0</v>
      </c>
      <c r="K60" s="14">
        <v>0</v>
      </c>
      <c r="M60" s="14">
        <v>0</v>
      </c>
      <c r="O60" s="14">
        <v>0</v>
      </c>
      <c r="Q60" s="14">
        <f t="shared" si="14"/>
        <v>0</v>
      </c>
      <c r="S60" s="14">
        <f t="shared" si="15"/>
        <v>0</v>
      </c>
      <c r="U60" s="14">
        <f t="shared" si="16"/>
        <v>0</v>
      </c>
      <c r="W60" s="14">
        <f t="shared" si="17"/>
        <v>0</v>
      </c>
      <c r="Y60" s="14">
        <f t="shared" si="18"/>
        <v>0</v>
      </c>
      <c r="AA60" s="14">
        <f t="shared" si="19"/>
        <v>0</v>
      </c>
      <c r="AC60" s="14">
        <f t="shared" ref="AC60:AC72" si="20">+Q60-AA60</f>
        <v>0</v>
      </c>
    </row>
    <row r="61" spans="1:29" x14ac:dyDescent="0.2">
      <c r="A61" s="8"/>
      <c r="B61" s="3" t="s">
        <v>229</v>
      </c>
      <c r="C61" s="14">
        <v>0</v>
      </c>
      <c r="E61" s="14">
        <v>0</v>
      </c>
      <c r="G61" s="14">
        <v>0</v>
      </c>
      <c r="I61" s="14">
        <v>0</v>
      </c>
      <c r="K61" s="14">
        <v>0</v>
      </c>
      <c r="M61" s="14">
        <v>0</v>
      </c>
      <c r="O61" s="14">
        <v>0</v>
      </c>
      <c r="Q61" s="14">
        <f t="shared" si="14"/>
        <v>0</v>
      </c>
      <c r="S61" s="14">
        <f t="shared" si="15"/>
        <v>0</v>
      </c>
      <c r="U61" s="14">
        <f t="shared" si="16"/>
        <v>0</v>
      </c>
      <c r="W61" s="14">
        <f t="shared" si="17"/>
        <v>0</v>
      </c>
      <c r="Y61" s="14">
        <f t="shared" si="18"/>
        <v>0</v>
      </c>
      <c r="AA61" s="14">
        <f t="shared" si="19"/>
        <v>0</v>
      </c>
      <c r="AC61" s="14">
        <f t="shared" si="20"/>
        <v>0</v>
      </c>
    </row>
    <row r="62" spans="1:29" x14ac:dyDescent="0.2">
      <c r="A62" s="8"/>
      <c r="B62" s="3" t="s">
        <v>230</v>
      </c>
      <c r="C62" s="14">
        <v>0</v>
      </c>
      <c r="E62" s="14">
        <v>0</v>
      </c>
      <c r="G62" s="14">
        <v>0</v>
      </c>
      <c r="I62" s="14">
        <v>0</v>
      </c>
      <c r="K62" s="14">
        <v>0</v>
      </c>
      <c r="M62" s="14">
        <v>0</v>
      </c>
      <c r="O62" s="14">
        <v>0</v>
      </c>
      <c r="Q62" s="14">
        <f t="shared" si="14"/>
        <v>0</v>
      </c>
      <c r="S62" s="14">
        <f t="shared" si="15"/>
        <v>0</v>
      </c>
      <c r="U62" s="14">
        <f t="shared" si="16"/>
        <v>0</v>
      </c>
      <c r="W62" s="14">
        <f t="shared" si="17"/>
        <v>0</v>
      </c>
      <c r="Y62" s="14">
        <f t="shared" si="18"/>
        <v>0</v>
      </c>
      <c r="AA62" s="14">
        <f t="shared" si="19"/>
        <v>0</v>
      </c>
      <c r="AC62" s="14">
        <f t="shared" si="20"/>
        <v>0</v>
      </c>
    </row>
    <row r="63" spans="1:29" x14ac:dyDescent="0.2">
      <c r="A63" s="8"/>
      <c r="B63" s="3" t="s">
        <v>231</v>
      </c>
      <c r="C63" s="14">
        <v>0</v>
      </c>
      <c r="E63" s="14">
        <v>0</v>
      </c>
      <c r="G63" s="14">
        <v>0</v>
      </c>
      <c r="I63" s="14">
        <v>0</v>
      </c>
      <c r="K63" s="14">
        <v>0</v>
      </c>
      <c r="M63" s="14">
        <v>0</v>
      </c>
      <c r="O63" s="14">
        <v>0</v>
      </c>
      <c r="Q63" s="14">
        <f t="shared" si="14"/>
        <v>0</v>
      </c>
      <c r="S63" s="14">
        <f t="shared" si="15"/>
        <v>0</v>
      </c>
      <c r="U63" s="14">
        <f t="shared" si="16"/>
        <v>0</v>
      </c>
      <c r="W63" s="14">
        <f t="shared" si="17"/>
        <v>0</v>
      </c>
      <c r="Y63" s="14">
        <f t="shared" si="18"/>
        <v>0</v>
      </c>
      <c r="AA63" s="14">
        <f t="shared" si="19"/>
        <v>0</v>
      </c>
      <c r="AC63" s="14">
        <f t="shared" si="20"/>
        <v>0</v>
      </c>
    </row>
    <row r="64" spans="1:29" x14ac:dyDescent="0.2">
      <c r="A64" s="8"/>
      <c r="B64" s="3" t="s">
        <v>232</v>
      </c>
      <c r="C64" s="14">
        <v>0</v>
      </c>
      <c r="E64" s="14">
        <v>0</v>
      </c>
      <c r="G64" s="14">
        <v>0</v>
      </c>
      <c r="I64" s="14">
        <v>0</v>
      </c>
      <c r="K64" s="14">
        <v>0</v>
      </c>
      <c r="M64" s="14">
        <v>0</v>
      </c>
      <c r="O64" s="14">
        <v>0</v>
      </c>
      <c r="Q64" s="14">
        <f t="shared" si="14"/>
        <v>0</v>
      </c>
      <c r="S64" s="14">
        <f t="shared" si="15"/>
        <v>0</v>
      </c>
      <c r="U64" s="14">
        <f t="shared" si="16"/>
        <v>0</v>
      </c>
      <c r="W64" s="14">
        <f t="shared" si="17"/>
        <v>0</v>
      </c>
      <c r="Y64" s="14">
        <f t="shared" si="18"/>
        <v>0</v>
      </c>
      <c r="AA64" s="14">
        <f t="shared" si="19"/>
        <v>0</v>
      </c>
      <c r="AC64" s="14">
        <f t="shared" si="20"/>
        <v>0</v>
      </c>
    </row>
    <row r="65" spans="1:29" x14ac:dyDescent="0.2">
      <c r="A65" s="8"/>
      <c r="B65" s="3" t="s">
        <v>233</v>
      </c>
      <c r="C65" s="14">
        <v>0</v>
      </c>
      <c r="E65" s="14">
        <v>0</v>
      </c>
      <c r="G65" s="14">
        <v>0</v>
      </c>
      <c r="I65" s="14">
        <v>0</v>
      </c>
      <c r="K65" s="14">
        <v>0</v>
      </c>
      <c r="M65" s="14">
        <v>0</v>
      </c>
      <c r="O65" s="14">
        <v>0</v>
      </c>
      <c r="Q65" s="14">
        <f t="shared" si="14"/>
        <v>0</v>
      </c>
      <c r="S65" s="14">
        <f t="shared" si="15"/>
        <v>0</v>
      </c>
      <c r="U65" s="14">
        <f t="shared" si="16"/>
        <v>0</v>
      </c>
      <c r="W65" s="14">
        <f t="shared" si="17"/>
        <v>0</v>
      </c>
      <c r="Y65" s="14">
        <f t="shared" si="18"/>
        <v>0</v>
      </c>
      <c r="AA65" s="14">
        <f t="shared" si="19"/>
        <v>0</v>
      </c>
      <c r="AC65" s="14">
        <f t="shared" si="20"/>
        <v>0</v>
      </c>
    </row>
    <row r="66" spans="1:29" x14ac:dyDescent="0.2">
      <c r="A66" s="8"/>
      <c r="B66" s="3" t="s">
        <v>234</v>
      </c>
      <c r="C66" s="14">
        <v>0</v>
      </c>
      <c r="E66" s="14">
        <v>0</v>
      </c>
      <c r="G66" s="14">
        <v>0</v>
      </c>
      <c r="I66" s="14">
        <v>0</v>
      </c>
      <c r="K66" s="14">
        <v>0</v>
      </c>
      <c r="M66" s="14">
        <v>0</v>
      </c>
      <c r="O66" s="14">
        <v>0</v>
      </c>
      <c r="Q66" s="14">
        <f t="shared" si="14"/>
        <v>0</v>
      </c>
      <c r="S66" s="14">
        <f t="shared" si="15"/>
        <v>0</v>
      </c>
      <c r="U66" s="14">
        <f t="shared" si="16"/>
        <v>0</v>
      </c>
      <c r="W66" s="14">
        <f t="shared" si="17"/>
        <v>0</v>
      </c>
      <c r="Y66" s="14">
        <f t="shared" si="18"/>
        <v>0</v>
      </c>
      <c r="AA66" s="14">
        <f t="shared" si="19"/>
        <v>0</v>
      </c>
      <c r="AC66" s="14">
        <f t="shared" si="20"/>
        <v>0</v>
      </c>
    </row>
    <row r="67" spans="1:29" x14ac:dyDescent="0.2">
      <c r="A67" s="8"/>
      <c r="B67" s="3" t="s">
        <v>235</v>
      </c>
      <c r="C67" s="14">
        <v>0</v>
      </c>
      <c r="E67" s="14">
        <v>0</v>
      </c>
      <c r="G67" s="14">
        <v>0</v>
      </c>
      <c r="I67" s="14">
        <v>0</v>
      </c>
      <c r="K67" s="14">
        <v>0</v>
      </c>
      <c r="M67" s="14">
        <v>0</v>
      </c>
      <c r="O67" s="14">
        <v>0</v>
      </c>
      <c r="Q67" s="14">
        <f t="shared" si="14"/>
        <v>0</v>
      </c>
      <c r="S67" s="14">
        <f t="shared" si="15"/>
        <v>0</v>
      </c>
      <c r="U67" s="14">
        <f t="shared" si="16"/>
        <v>0</v>
      </c>
      <c r="W67" s="14">
        <f t="shared" si="17"/>
        <v>0</v>
      </c>
      <c r="Y67" s="14">
        <f t="shared" si="18"/>
        <v>0</v>
      </c>
      <c r="AA67" s="14">
        <f t="shared" si="19"/>
        <v>0</v>
      </c>
      <c r="AC67" s="14">
        <f t="shared" si="20"/>
        <v>0</v>
      </c>
    </row>
    <row r="68" spans="1:29" x14ac:dyDescent="0.2">
      <c r="A68" s="8"/>
      <c r="B68" s="3" t="s">
        <v>236</v>
      </c>
      <c r="C68" s="14">
        <v>0</v>
      </c>
      <c r="E68" s="14">
        <v>0</v>
      </c>
      <c r="G68" s="14">
        <v>0</v>
      </c>
      <c r="I68" s="14">
        <v>0</v>
      </c>
      <c r="K68" s="14">
        <v>0</v>
      </c>
      <c r="M68" s="14">
        <v>0</v>
      </c>
      <c r="O68" s="14">
        <v>0</v>
      </c>
      <c r="Q68" s="14">
        <f t="shared" si="14"/>
        <v>0</v>
      </c>
      <c r="S68" s="14">
        <f t="shared" si="15"/>
        <v>0</v>
      </c>
      <c r="U68" s="14">
        <f t="shared" si="16"/>
        <v>0</v>
      </c>
      <c r="W68" s="14">
        <f t="shared" si="17"/>
        <v>0</v>
      </c>
      <c r="Y68" s="14">
        <f t="shared" si="18"/>
        <v>0</v>
      </c>
      <c r="AA68" s="14">
        <f t="shared" si="19"/>
        <v>0</v>
      </c>
      <c r="AC68" s="14">
        <f t="shared" si="20"/>
        <v>0</v>
      </c>
    </row>
    <row r="69" spans="1:29" x14ac:dyDescent="0.2">
      <c r="A69" s="8"/>
      <c r="B69" s="3" t="s">
        <v>237</v>
      </c>
      <c r="C69" s="14">
        <v>0</v>
      </c>
      <c r="E69" s="14">
        <v>0</v>
      </c>
      <c r="G69" s="14">
        <v>0</v>
      </c>
      <c r="I69" s="14">
        <v>0</v>
      </c>
      <c r="K69" s="14">
        <v>0</v>
      </c>
      <c r="M69" s="14">
        <v>0</v>
      </c>
      <c r="O69" s="14">
        <v>0</v>
      </c>
      <c r="Q69" s="14">
        <f t="shared" si="14"/>
        <v>0</v>
      </c>
      <c r="S69" s="14">
        <f t="shared" si="15"/>
        <v>0</v>
      </c>
      <c r="U69" s="14">
        <f t="shared" si="16"/>
        <v>0</v>
      </c>
      <c r="W69" s="14">
        <f t="shared" si="17"/>
        <v>0</v>
      </c>
      <c r="Y69" s="14">
        <f t="shared" si="18"/>
        <v>0</v>
      </c>
      <c r="AA69" s="14">
        <f t="shared" si="19"/>
        <v>0</v>
      </c>
      <c r="AC69" s="14">
        <f t="shared" si="20"/>
        <v>0</v>
      </c>
    </row>
    <row r="70" spans="1:29" x14ac:dyDescent="0.2">
      <c r="A70" s="8"/>
      <c r="B70" s="3" t="s">
        <v>238</v>
      </c>
      <c r="C70" s="14">
        <v>0</v>
      </c>
      <c r="E70" s="14">
        <v>0</v>
      </c>
      <c r="G70" s="14">
        <v>0</v>
      </c>
      <c r="I70" s="14">
        <v>0</v>
      </c>
      <c r="K70" s="14">
        <v>0</v>
      </c>
      <c r="M70" s="14">
        <v>0</v>
      </c>
      <c r="O70" s="14">
        <v>0</v>
      </c>
      <c r="Q70" s="14">
        <f t="shared" si="14"/>
        <v>0</v>
      </c>
      <c r="S70" s="14">
        <f t="shared" si="15"/>
        <v>0</v>
      </c>
      <c r="U70" s="14">
        <f t="shared" si="16"/>
        <v>0</v>
      </c>
      <c r="W70" s="14">
        <f t="shared" si="17"/>
        <v>0</v>
      </c>
      <c r="Y70" s="14">
        <f t="shared" si="18"/>
        <v>0</v>
      </c>
      <c r="AA70" s="14">
        <f t="shared" si="19"/>
        <v>0</v>
      </c>
      <c r="AC70" s="14">
        <f t="shared" si="20"/>
        <v>0</v>
      </c>
    </row>
    <row r="71" spans="1:29" x14ac:dyDescent="0.2">
      <c r="A71" s="8"/>
      <c r="B71" s="3" t="s">
        <v>239</v>
      </c>
      <c r="C71" s="14">
        <v>0</v>
      </c>
      <c r="E71" s="14">
        <v>0</v>
      </c>
      <c r="G71" s="14">
        <v>0</v>
      </c>
      <c r="I71" s="14">
        <v>0</v>
      </c>
      <c r="K71" s="14">
        <v>0</v>
      </c>
      <c r="M71" s="14">
        <v>0</v>
      </c>
      <c r="O71" s="14">
        <v>0</v>
      </c>
      <c r="Q71" s="14">
        <f t="shared" si="14"/>
        <v>0</v>
      </c>
      <c r="S71" s="14">
        <f t="shared" si="15"/>
        <v>0</v>
      </c>
      <c r="U71" s="14">
        <f t="shared" si="16"/>
        <v>0</v>
      </c>
      <c r="W71" s="14">
        <f t="shared" si="17"/>
        <v>0</v>
      </c>
      <c r="Y71" s="14">
        <f t="shared" si="18"/>
        <v>0</v>
      </c>
      <c r="AA71" s="14">
        <f t="shared" si="19"/>
        <v>0</v>
      </c>
      <c r="AC71" s="14">
        <f t="shared" si="20"/>
        <v>0</v>
      </c>
    </row>
    <row r="72" spans="1:29" x14ac:dyDescent="0.2">
      <c r="A72" s="8"/>
      <c r="B72" s="3" t="s">
        <v>240</v>
      </c>
      <c r="C72" s="14">
        <v>0</v>
      </c>
      <c r="E72" s="14">
        <v>0</v>
      </c>
      <c r="G72" s="14">
        <v>0</v>
      </c>
      <c r="I72" s="14">
        <v>0</v>
      </c>
      <c r="K72" s="14">
        <v>0</v>
      </c>
      <c r="M72" s="14">
        <v>0</v>
      </c>
      <c r="O72" s="14">
        <v>0</v>
      </c>
      <c r="Q72" s="14">
        <f t="shared" si="14"/>
        <v>0</v>
      </c>
      <c r="S72" s="14">
        <f t="shared" si="15"/>
        <v>0</v>
      </c>
      <c r="U72" s="14">
        <f t="shared" si="16"/>
        <v>0</v>
      </c>
      <c r="W72" s="14">
        <f t="shared" si="17"/>
        <v>0</v>
      </c>
      <c r="Y72" s="14">
        <f t="shared" si="18"/>
        <v>0</v>
      </c>
      <c r="AA72" s="14">
        <f t="shared" si="19"/>
        <v>0</v>
      </c>
      <c r="AC72" s="14">
        <f t="shared" si="20"/>
        <v>0</v>
      </c>
    </row>
    <row r="73" spans="1:29" x14ac:dyDescent="0.2">
      <c r="A73" s="8"/>
      <c r="B73" s="12" t="s">
        <v>241</v>
      </c>
      <c r="C73" s="18">
        <f>SUM(C59:C72)</f>
        <v>0</v>
      </c>
      <c r="E73" s="18">
        <f>SUM(E59:E72)</f>
        <v>0</v>
      </c>
      <c r="G73" s="18">
        <f>SUM(G59:G72)</f>
        <v>0</v>
      </c>
      <c r="I73" s="18">
        <f>SUM(I59:I72)</f>
        <v>0</v>
      </c>
      <c r="K73" s="18">
        <f>SUM(K59:K72)</f>
        <v>0</v>
      </c>
      <c r="M73" s="18">
        <f>SUM(M59:M72)</f>
        <v>0</v>
      </c>
      <c r="O73" s="18">
        <f>SUM(O59:O72)</f>
        <v>0</v>
      </c>
      <c r="Q73" s="18">
        <f>SUM(Q59:Q72)</f>
        <v>0</v>
      </c>
      <c r="S73" s="18">
        <f>SUM(S59:S72)</f>
        <v>0</v>
      </c>
      <c r="U73" s="18">
        <f>SUM(U59:U72)</f>
        <v>0</v>
      </c>
      <c r="W73" s="18">
        <f>SUM(W59:W72)</f>
        <v>0</v>
      </c>
      <c r="Y73" s="18">
        <f>SUM(Y59:Y72)</f>
        <v>0</v>
      </c>
      <c r="AA73" s="18">
        <f>SUM(AA59:AA72)</f>
        <v>0</v>
      </c>
      <c r="AC73" s="18">
        <f>+Q73-AA73</f>
        <v>0</v>
      </c>
    </row>
    <row r="74" spans="1:29" x14ac:dyDescent="0.2">
      <c r="A74" s="8"/>
      <c r="B74" s="12"/>
      <c r="C74" s="16"/>
      <c r="E74" s="16"/>
      <c r="G74" s="16"/>
      <c r="I74" s="16"/>
      <c r="K74" s="16"/>
      <c r="M74" s="16"/>
      <c r="O74" s="16"/>
      <c r="Q74" s="16"/>
      <c r="S74" s="16"/>
      <c r="U74" s="16"/>
      <c r="W74" s="16"/>
      <c r="Y74" s="16"/>
      <c r="AA74" s="16"/>
      <c r="AC74" s="16"/>
    </row>
    <row r="75" spans="1:29" x14ac:dyDescent="0.2">
      <c r="A75" s="8"/>
      <c r="C75" s="17"/>
      <c r="D75" s="14"/>
      <c r="E75" s="17"/>
      <c r="F75" s="14"/>
      <c r="G75" s="17"/>
      <c r="H75" s="14"/>
      <c r="I75" s="17"/>
      <c r="J75" s="14"/>
      <c r="K75" s="17"/>
      <c r="L75" s="14"/>
      <c r="M75" s="17"/>
      <c r="N75" s="14"/>
      <c r="O75" s="17"/>
      <c r="P75" s="14"/>
      <c r="Q75" s="17"/>
      <c r="R75" s="4"/>
      <c r="S75" s="17"/>
      <c r="T75" s="14"/>
      <c r="U75" s="17"/>
      <c r="V75" s="14"/>
      <c r="W75" s="17"/>
      <c r="X75" s="14"/>
      <c r="Y75" s="17"/>
      <c r="Z75" s="14"/>
      <c r="AA75" s="17"/>
      <c r="AB75" s="14"/>
      <c r="AC75" s="17"/>
    </row>
    <row r="76" spans="1:29" x14ac:dyDescent="0.2">
      <c r="A76" s="8"/>
      <c r="B76" s="12" t="s">
        <v>19</v>
      </c>
      <c r="C76" s="16">
        <f>+C30+C49+C56+C73</f>
        <v>0</v>
      </c>
      <c r="D76" s="14"/>
      <c r="E76" s="16">
        <f>+E30+E49+E56+E73</f>
        <v>0</v>
      </c>
      <c r="F76" s="14"/>
      <c r="G76" s="16">
        <f>+G30+G49+G56+G73</f>
        <v>0</v>
      </c>
      <c r="H76" s="14"/>
      <c r="I76" s="16">
        <f>+I30+I49+I56+I73</f>
        <v>0</v>
      </c>
      <c r="J76" s="14"/>
      <c r="K76" s="16">
        <f>+K30+K49+K56+K73</f>
        <v>0</v>
      </c>
      <c r="L76" s="14"/>
      <c r="M76" s="16">
        <f>+M30+M49+M56+M73</f>
        <v>0</v>
      </c>
      <c r="N76" s="14"/>
      <c r="O76" s="16">
        <f>+O30+O49+O56+O73</f>
        <v>0</v>
      </c>
      <c r="P76" s="14"/>
      <c r="Q76" s="16">
        <f>+Q30+Q49+Q56+Q73</f>
        <v>0</v>
      </c>
      <c r="R76" s="4"/>
      <c r="S76" s="16">
        <f>+S30+S49+S56+S73</f>
        <v>0</v>
      </c>
      <c r="T76" s="14"/>
      <c r="U76" s="16">
        <f>+U30+U49+U56+U73</f>
        <v>0</v>
      </c>
      <c r="V76" s="14"/>
      <c r="W76" s="16">
        <f>+W30+W49+W56+W73</f>
        <v>0</v>
      </c>
      <c r="X76" s="14"/>
      <c r="Y76" s="16">
        <f>+Y30+Y49+Y56+Y73</f>
        <v>0</v>
      </c>
      <c r="Z76" s="14"/>
      <c r="AA76" s="16">
        <f>+AA30+AA49+AA56+AA73</f>
        <v>0</v>
      </c>
      <c r="AB76" s="14"/>
      <c r="AC76" s="16">
        <f>+Q76-AA76</f>
        <v>0</v>
      </c>
    </row>
    <row r="77" spans="1:29" x14ac:dyDescent="0.2">
      <c r="A77" s="8"/>
      <c r="C77" s="12"/>
      <c r="D77" s="17"/>
      <c r="E77" s="12"/>
      <c r="F77" s="17"/>
      <c r="G77" s="12"/>
      <c r="H77" s="17"/>
      <c r="I77" s="12"/>
      <c r="J77" s="17"/>
      <c r="K77" s="12"/>
      <c r="L77" s="17"/>
      <c r="M77" s="12"/>
      <c r="N77" s="17"/>
      <c r="O77" s="12"/>
      <c r="P77" s="17"/>
      <c r="Q77" s="14"/>
      <c r="R77" s="17"/>
      <c r="S77" s="14"/>
      <c r="T77" s="17"/>
      <c r="U77" s="14"/>
      <c r="V77" s="17"/>
      <c r="W77" s="14"/>
      <c r="X77" s="17"/>
      <c r="Y77" s="14"/>
      <c r="Z77" s="17"/>
      <c r="AA77" s="14"/>
      <c r="AB77" s="17"/>
      <c r="AC77" s="14"/>
    </row>
    <row r="78" spans="1:29" x14ac:dyDescent="0.2">
      <c r="A78" s="71" t="s">
        <v>11</v>
      </c>
      <c r="B78" s="12"/>
    </row>
    <row r="79" spans="1:29" x14ac:dyDescent="0.2">
      <c r="A79" s="71"/>
      <c r="B79" s="12" t="s">
        <v>12</v>
      </c>
    </row>
    <row r="80" spans="1:29" x14ac:dyDescent="0.2">
      <c r="A80" s="71"/>
      <c r="B80" s="3" t="s">
        <v>155</v>
      </c>
      <c r="C80" s="14">
        <v>0</v>
      </c>
      <c r="E80" s="14">
        <v>0</v>
      </c>
      <c r="G80" s="14">
        <v>0</v>
      </c>
      <c r="I80" s="14">
        <v>0</v>
      </c>
      <c r="K80" s="14">
        <v>0</v>
      </c>
      <c r="M80" s="14">
        <v>0</v>
      </c>
      <c r="O80" s="14">
        <v>0</v>
      </c>
      <c r="Q80" s="14">
        <f t="shared" ref="Q80:Q88" si="21">SUM(C80:P80)</f>
        <v>0</v>
      </c>
      <c r="S80" s="14">
        <f t="shared" ref="S80:S88" si="22">SUMIF($C$9:$P$9,"=Addition",$C80:$P80)</f>
        <v>0</v>
      </c>
      <c r="U80" s="14">
        <f t="shared" ref="U80:U88" si="23">SUMIF($C$9:$P$9,"=Adjustment",$C80:$P80)</f>
        <v>0</v>
      </c>
      <c r="W80" s="14">
        <f t="shared" ref="W80:W88" si="24">SUMIF($C$9:$P$9,"=Transfer",$C80:$P80)</f>
        <v>0</v>
      </c>
      <c r="Y80" s="14">
        <f t="shared" ref="Y80:Y88" si="25">SUMIF($C$9:$P$9,"=Addition",$C80:$P80)</f>
        <v>0</v>
      </c>
      <c r="AA80" s="14">
        <f t="shared" ref="AA80:AA88" si="26">SUM(S80:Y80)</f>
        <v>0</v>
      </c>
      <c r="AC80" s="14">
        <f>+Q80-AA80</f>
        <v>0</v>
      </c>
    </row>
    <row r="81" spans="1:29" x14ac:dyDescent="0.2">
      <c r="A81" s="71"/>
      <c r="B81" s="3" t="s">
        <v>156</v>
      </c>
      <c r="C81" s="14">
        <v>0</v>
      </c>
      <c r="E81" s="14">
        <v>0</v>
      </c>
      <c r="G81" s="14">
        <v>0</v>
      </c>
      <c r="I81" s="14">
        <v>0</v>
      </c>
      <c r="K81" s="14">
        <v>0</v>
      </c>
      <c r="M81" s="14">
        <v>0</v>
      </c>
      <c r="O81" s="14">
        <v>0</v>
      </c>
      <c r="Q81" s="14">
        <f t="shared" si="21"/>
        <v>0</v>
      </c>
      <c r="S81" s="14">
        <f t="shared" si="22"/>
        <v>0</v>
      </c>
      <c r="U81" s="14">
        <f t="shared" si="23"/>
        <v>0</v>
      </c>
      <c r="W81" s="14">
        <f t="shared" si="24"/>
        <v>0</v>
      </c>
      <c r="Y81" s="14">
        <f t="shared" si="25"/>
        <v>0</v>
      </c>
      <c r="AA81" s="14">
        <f t="shared" si="26"/>
        <v>0</v>
      </c>
      <c r="AC81" s="14">
        <f t="shared" ref="AC81:AC88" si="27">+Q81-AA81</f>
        <v>0</v>
      </c>
    </row>
    <row r="82" spans="1:29" x14ac:dyDescent="0.2">
      <c r="A82" s="71"/>
      <c r="B82" s="3" t="s">
        <v>157</v>
      </c>
      <c r="C82" s="14">
        <v>0</v>
      </c>
      <c r="E82" s="14">
        <v>0</v>
      </c>
      <c r="G82" s="14">
        <v>0</v>
      </c>
      <c r="I82" s="14">
        <v>0</v>
      </c>
      <c r="K82" s="14">
        <v>0</v>
      </c>
      <c r="M82" s="14">
        <v>0</v>
      </c>
      <c r="O82" s="14">
        <v>0</v>
      </c>
      <c r="Q82" s="14">
        <f t="shared" si="21"/>
        <v>0</v>
      </c>
      <c r="S82" s="14">
        <f t="shared" si="22"/>
        <v>0</v>
      </c>
      <c r="U82" s="14">
        <f t="shared" si="23"/>
        <v>0</v>
      </c>
      <c r="W82" s="14">
        <f t="shared" si="24"/>
        <v>0</v>
      </c>
      <c r="Y82" s="14">
        <f t="shared" si="25"/>
        <v>0</v>
      </c>
      <c r="AA82" s="14">
        <f t="shared" si="26"/>
        <v>0</v>
      </c>
      <c r="AC82" s="14">
        <f t="shared" si="27"/>
        <v>0</v>
      </c>
    </row>
    <row r="83" spans="1:29" x14ac:dyDescent="0.2">
      <c r="A83" s="71"/>
      <c r="B83" s="3" t="s">
        <v>158</v>
      </c>
      <c r="C83" s="14">
        <v>0</v>
      </c>
      <c r="E83" s="14">
        <v>0</v>
      </c>
      <c r="G83" s="14">
        <v>0</v>
      </c>
      <c r="I83" s="14">
        <v>0</v>
      </c>
      <c r="K83" s="14">
        <v>0</v>
      </c>
      <c r="M83" s="14">
        <v>0</v>
      </c>
      <c r="O83" s="14">
        <v>0</v>
      </c>
      <c r="Q83" s="14">
        <f t="shared" si="21"/>
        <v>0</v>
      </c>
      <c r="S83" s="14">
        <f t="shared" si="22"/>
        <v>0</v>
      </c>
      <c r="U83" s="14">
        <f t="shared" si="23"/>
        <v>0</v>
      </c>
      <c r="W83" s="14">
        <f t="shared" si="24"/>
        <v>0</v>
      </c>
      <c r="Y83" s="14">
        <f t="shared" si="25"/>
        <v>0</v>
      </c>
      <c r="AA83" s="14">
        <f t="shared" si="26"/>
        <v>0</v>
      </c>
      <c r="AC83" s="14">
        <f t="shared" si="27"/>
        <v>0</v>
      </c>
    </row>
    <row r="84" spans="1:29" x14ac:dyDescent="0.2">
      <c r="A84" s="71"/>
      <c r="B84" s="3" t="s">
        <v>159</v>
      </c>
      <c r="C84" s="14">
        <v>0</v>
      </c>
      <c r="E84" s="14">
        <v>0</v>
      </c>
      <c r="G84" s="14">
        <v>0</v>
      </c>
      <c r="I84" s="14">
        <v>0</v>
      </c>
      <c r="K84" s="14">
        <v>0</v>
      </c>
      <c r="M84" s="14">
        <v>0</v>
      </c>
      <c r="O84" s="14">
        <v>0</v>
      </c>
      <c r="Q84" s="14">
        <f t="shared" si="21"/>
        <v>0</v>
      </c>
      <c r="S84" s="14">
        <f t="shared" si="22"/>
        <v>0</v>
      </c>
      <c r="U84" s="14">
        <f t="shared" si="23"/>
        <v>0</v>
      </c>
      <c r="W84" s="14">
        <f t="shared" si="24"/>
        <v>0</v>
      </c>
      <c r="Y84" s="14">
        <f t="shared" si="25"/>
        <v>0</v>
      </c>
      <c r="AA84" s="14">
        <f t="shared" si="26"/>
        <v>0</v>
      </c>
      <c r="AC84" s="14">
        <f t="shared" si="27"/>
        <v>0</v>
      </c>
    </row>
    <row r="85" spans="1:29" x14ac:dyDescent="0.2">
      <c r="A85" s="71"/>
      <c r="B85" s="3" t="s">
        <v>160</v>
      </c>
      <c r="C85" s="14">
        <v>0</v>
      </c>
      <c r="E85" s="14">
        <v>0</v>
      </c>
      <c r="G85" s="14">
        <v>0</v>
      </c>
      <c r="I85" s="14">
        <v>0</v>
      </c>
      <c r="K85" s="14">
        <v>0</v>
      </c>
      <c r="M85" s="14">
        <v>0</v>
      </c>
      <c r="O85" s="14">
        <v>0</v>
      </c>
      <c r="Q85" s="14">
        <f t="shared" si="21"/>
        <v>0</v>
      </c>
      <c r="S85" s="14">
        <f t="shared" si="22"/>
        <v>0</v>
      </c>
      <c r="U85" s="14">
        <f t="shared" si="23"/>
        <v>0</v>
      </c>
      <c r="W85" s="14">
        <f t="shared" si="24"/>
        <v>0</v>
      </c>
      <c r="Y85" s="14">
        <f t="shared" si="25"/>
        <v>0</v>
      </c>
      <c r="AA85" s="14">
        <f t="shared" si="26"/>
        <v>0</v>
      </c>
      <c r="AC85" s="14">
        <f t="shared" si="27"/>
        <v>0</v>
      </c>
    </row>
    <row r="86" spans="1:29" x14ac:dyDescent="0.2">
      <c r="A86" s="71"/>
      <c r="B86" s="3" t="s">
        <v>161</v>
      </c>
      <c r="C86" s="14">
        <v>0</v>
      </c>
      <c r="E86" s="14">
        <v>0</v>
      </c>
      <c r="G86" s="14">
        <v>0</v>
      </c>
      <c r="I86" s="14">
        <v>0</v>
      </c>
      <c r="K86" s="14">
        <v>0</v>
      </c>
      <c r="M86" s="14">
        <v>0</v>
      </c>
      <c r="O86" s="14">
        <v>0</v>
      </c>
      <c r="Q86" s="14">
        <f t="shared" si="21"/>
        <v>0</v>
      </c>
      <c r="S86" s="14">
        <f t="shared" si="22"/>
        <v>0</v>
      </c>
      <c r="U86" s="14">
        <f t="shared" si="23"/>
        <v>0</v>
      </c>
      <c r="W86" s="14">
        <f t="shared" si="24"/>
        <v>0</v>
      </c>
      <c r="Y86" s="14">
        <f t="shared" si="25"/>
        <v>0</v>
      </c>
      <c r="AA86" s="14">
        <f t="shared" si="26"/>
        <v>0</v>
      </c>
      <c r="AC86" s="14">
        <f t="shared" si="27"/>
        <v>0</v>
      </c>
    </row>
    <row r="87" spans="1:29" x14ac:dyDescent="0.2">
      <c r="A87" s="71"/>
      <c r="B87" s="3" t="s">
        <v>162</v>
      </c>
      <c r="C87" s="14">
        <v>0</v>
      </c>
      <c r="E87" s="14">
        <v>0</v>
      </c>
      <c r="G87" s="14">
        <v>0</v>
      </c>
      <c r="I87" s="14">
        <v>0</v>
      </c>
      <c r="K87" s="14">
        <v>0</v>
      </c>
      <c r="M87" s="14">
        <v>0</v>
      </c>
      <c r="O87" s="14">
        <v>0</v>
      </c>
      <c r="Q87" s="14">
        <f t="shared" si="21"/>
        <v>0</v>
      </c>
      <c r="S87" s="14">
        <f t="shared" si="22"/>
        <v>0</v>
      </c>
      <c r="U87" s="14">
        <f t="shared" si="23"/>
        <v>0</v>
      </c>
      <c r="W87" s="14">
        <f t="shared" si="24"/>
        <v>0</v>
      </c>
      <c r="Y87" s="14">
        <f t="shared" si="25"/>
        <v>0</v>
      </c>
      <c r="AA87" s="14">
        <f t="shared" si="26"/>
        <v>0</v>
      </c>
      <c r="AC87" s="14">
        <f t="shared" si="27"/>
        <v>0</v>
      </c>
    </row>
    <row r="88" spans="1:29" x14ac:dyDescent="0.2">
      <c r="A88" s="71"/>
      <c r="B88" s="3" t="s">
        <v>166</v>
      </c>
      <c r="C88" s="14">
        <v>0</v>
      </c>
      <c r="E88" s="14">
        <v>0</v>
      </c>
      <c r="G88" s="14">
        <v>0</v>
      </c>
      <c r="I88" s="14">
        <v>0</v>
      </c>
      <c r="K88" s="14">
        <v>0</v>
      </c>
      <c r="M88" s="14">
        <v>0</v>
      </c>
      <c r="O88" s="14">
        <v>0</v>
      </c>
      <c r="Q88" s="14">
        <f t="shared" si="21"/>
        <v>0</v>
      </c>
      <c r="S88" s="14">
        <f t="shared" si="22"/>
        <v>0</v>
      </c>
      <c r="U88" s="14">
        <f t="shared" si="23"/>
        <v>0</v>
      </c>
      <c r="W88" s="14">
        <f t="shared" si="24"/>
        <v>0</v>
      </c>
      <c r="Y88" s="14">
        <f t="shared" si="25"/>
        <v>0</v>
      </c>
      <c r="AA88" s="14">
        <f t="shared" si="26"/>
        <v>0</v>
      </c>
      <c r="AC88" s="14">
        <f t="shared" si="27"/>
        <v>0</v>
      </c>
    </row>
    <row r="89" spans="1:29" x14ac:dyDescent="0.2">
      <c r="A89" s="71"/>
      <c r="B89" s="75" t="s">
        <v>244</v>
      </c>
      <c r="C89" s="18">
        <f>SUM(C80:C88)</f>
        <v>0</v>
      </c>
      <c r="E89" s="18">
        <f>SUM(E80:E88)</f>
        <v>0</v>
      </c>
      <c r="G89" s="18">
        <f>SUM(G80:G88)</f>
        <v>0</v>
      </c>
      <c r="I89" s="18">
        <f>SUM(I80:I88)</f>
        <v>0</v>
      </c>
      <c r="K89" s="18">
        <f>SUM(K80:K88)</f>
        <v>0</v>
      </c>
      <c r="M89" s="18">
        <f>SUM(M80:M88)</f>
        <v>0</v>
      </c>
      <c r="O89" s="18">
        <f>SUM(O80:O88)</f>
        <v>0</v>
      </c>
      <c r="Q89" s="18">
        <f>SUM(Q80:Q88)</f>
        <v>0</v>
      </c>
      <c r="S89" s="18">
        <f>SUM(S80:S88)</f>
        <v>0</v>
      </c>
      <c r="U89" s="18">
        <f>SUM(U80:U88)</f>
        <v>0</v>
      </c>
      <c r="W89" s="18">
        <f>SUM(W80:W88)</f>
        <v>0</v>
      </c>
      <c r="Y89" s="18">
        <f>SUM(Y80:Y88)</f>
        <v>0</v>
      </c>
      <c r="AA89" s="18">
        <f>SUM(AA80:AA88)</f>
        <v>0</v>
      </c>
      <c r="AC89" s="18">
        <f>+Q89-AA89</f>
        <v>0</v>
      </c>
    </row>
    <row r="90" spans="1:29" x14ac:dyDescent="0.2">
      <c r="A90" s="71"/>
      <c r="C90" s="14"/>
      <c r="E90" s="14"/>
      <c r="G90" s="14"/>
      <c r="I90" s="14"/>
      <c r="K90" s="14"/>
      <c r="M90" s="14"/>
      <c r="O90" s="14"/>
      <c r="Q90" s="14"/>
      <c r="S90" s="14"/>
      <c r="U90" s="14"/>
      <c r="W90" s="14"/>
      <c r="Y90" s="14"/>
      <c r="AA90" s="14"/>
      <c r="AC90" s="14"/>
    </row>
    <row r="91" spans="1:29" x14ac:dyDescent="0.2">
      <c r="A91" s="71"/>
      <c r="B91" s="12" t="s">
        <v>13</v>
      </c>
      <c r="C91" s="14"/>
      <c r="E91" s="14"/>
      <c r="G91" s="14"/>
      <c r="I91" s="14"/>
      <c r="K91" s="14"/>
      <c r="M91" s="14"/>
      <c r="O91" s="14"/>
      <c r="Q91" s="14"/>
      <c r="S91" s="14"/>
      <c r="U91" s="14"/>
      <c r="W91" s="14"/>
      <c r="Y91" s="14"/>
      <c r="AA91" s="14"/>
      <c r="AC91" s="14"/>
    </row>
    <row r="92" spans="1:29" x14ac:dyDescent="0.2">
      <c r="A92" s="71"/>
      <c r="B92" s="3" t="s">
        <v>171</v>
      </c>
      <c r="C92" s="14">
        <v>0</v>
      </c>
      <c r="E92" s="14">
        <v>0</v>
      </c>
      <c r="G92" s="14">
        <v>0</v>
      </c>
      <c r="I92" s="14">
        <v>0</v>
      </c>
      <c r="K92" s="14">
        <v>0</v>
      </c>
      <c r="M92" s="14">
        <v>0</v>
      </c>
      <c r="O92" s="14">
        <v>0</v>
      </c>
      <c r="Q92" s="14">
        <f>SUM(C92:P92)</f>
        <v>0</v>
      </c>
      <c r="S92" s="14">
        <f>SUMIF($C$9:$P$9,"=Addition",$C92:$P92)</f>
        <v>0</v>
      </c>
      <c r="U92" s="14">
        <f>SUMIF($C$9:$P$9,"=Adjustment",$C92:$P92)</f>
        <v>0</v>
      </c>
      <c r="W92" s="14">
        <f>SUMIF($C$9:$P$9,"=Transfer",$C92:$P92)</f>
        <v>0</v>
      </c>
      <c r="Y92" s="14">
        <f>SUMIF($C$9:$P$9,"=Addition",$C92:$P92)</f>
        <v>0</v>
      </c>
      <c r="AA92" s="14">
        <f>SUM(S92:Y92)</f>
        <v>0</v>
      </c>
      <c r="AC92" s="14">
        <f>+Q92-AA92</f>
        <v>0</v>
      </c>
    </row>
    <row r="93" spans="1:29" x14ac:dyDescent="0.2">
      <c r="A93" s="71"/>
      <c r="B93" s="3" t="s">
        <v>180</v>
      </c>
      <c r="C93" s="14">
        <v>0</v>
      </c>
      <c r="E93" s="14">
        <v>0</v>
      </c>
      <c r="G93" s="14">
        <v>0</v>
      </c>
      <c r="I93" s="14">
        <v>0</v>
      </c>
      <c r="K93" s="14">
        <v>0</v>
      </c>
      <c r="M93" s="14">
        <v>0</v>
      </c>
      <c r="O93" s="14">
        <v>0</v>
      </c>
      <c r="Q93" s="14">
        <f>SUM(C93:P93)</f>
        <v>0</v>
      </c>
      <c r="S93" s="14">
        <f>SUMIF($C$9:$P$9,"=Addition",$C93:$P93)</f>
        <v>0</v>
      </c>
      <c r="U93" s="14">
        <f>SUMIF($C$9:$P$9,"=Adjustment",$C93:$P93)</f>
        <v>0</v>
      </c>
      <c r="W93" s="14">
        <f>SUMIF($C$9:$P$9,"=Transfer",$C93:$P93)</f>
        <v>0</v>
      </c>
      <c r="Y93" s="14">
        <f>SUMIF($C$9:$P$9,"=Addition",$C93:$P93)</f>
        <v>0</v>
      </c>
      <c r="AA93" s="14">
        <f>SUM(S93:Y93)</f>
        <v>0</v>
      </c>
      <c r="AC93" s="14">
        <f>+Q93-AA93</f>
        <v>0</v>
      </c>
    </row>
    <row r="94" spans="1:29" x14ac:dyDescent="0.2">
      <c r="A94" s="71"/>
      <c r="B94" s="3" t="s">
        <v>182</v>
      </c>
      <c r="C94" s="14">
        <v>0</v>
      </c>
      <c r="E94" s="14">
        <v>0</v>
      </c>
      <c r="G94" s="14">
        <v>0</v>
      </c>
      <c r="I94" s="14">
        <v>0</v>
      </c>
      <c r="K94" s="14">
        <v>0</v>
      </c>
      <c r="M94" s="14">
        <v>0</v>
      </c>
      <c r="O94" s="14">
        <v>0</v>
      </c>
      <c r="Q94" s="14">
        <f>SUM(C94:P94)</f>
        <v>0</v>
      </c>
      <c r="S94" s="14">
        <f>SUMIF($C$9:$P$9,"=Addition",$C94:$P94)</f>
        <v>0</v>
      </c>
      <c r="U94" s="14">
        <f>SUMIF($C$9:$P$9,"=Adjustment",$C94:$P94)</f>
        <v>0</v>
      </c>
      <c r="W94" s="14">
        <f>SUMIF($C$9:$P$9,"=Transfer",$C94:$P94)</f>
        <v>0</v>
      </c>
      <c r="Y94" s="14">
        <f>SUMIF($C$9:$P$9,"=Addition",$C94:$P94)</f>
        <v>0</v>
      </c>
      <c r="AA94" s="14">
        <f>SUM(S94:Y94)</f>
        <v>0</v>
      </c>
      <c r="AC94" s="14">
        <f>+Q94-AA94</f>
        <v>0</v>
      </c>
    </row>
    <row r="95" spans="1:29" x14ac:dyDescent="0.2">
      <c r="A95" s="71"/>
      <c r="B95" s="43" t="s">
        <v>183</v>
      </c>
      <c r="C95" s="14">
        <v>0</v>
      </c>
      <c r="E95" s="14">
        <v>0</v>
      </c>
      <c r="G95" s="14">
        <v>0</v>
      </c>
      <c r="I95" s="14">
        <v>0</v>
      </c>
      <c r="K95" s="14">
        <v>0</v>
      </c>
      <c r="M95" s="14">
        <v>0</v>
      </c>
      <c r="O95" s="14">
        <v>0</v>
      </c>
      <c r="Q95" s="14">
        <f>SUM(C95:P95)</f>
        <v>0</v>
      </c>
      <c r="S95" s="14">
        <f>SUMIF($C$9:$P$9,"=Addition",$C95:$P95)</f>
        <v>0</v>
      </c>
      <c r="U95" s="14">
        <f>SUMIF($C$9:$P$9,"=Adjustment",$C95:$P95)</f>
        <v>0</v>
      </c>
      <c r="W95" s="14">
        <f>SUMIF($C$9:$P$9,"=Transfer",$C95:$P95)</f>
        <v>0</v>
      </c>
      <c r="Y95" s="14">
        <f>SUMIF($C$9:$P$9,"=Addition",$C95:$P95)</f>
        <v>0</v>
      </c>
      <c r="AA95" s="14">
        <f>SUM(S95:Y95)</f>
        <v>0</v>
      </c>
      <c r="AC95" s="14">
        <f>+Q95-AA95</f>
        <v>0</v>
      </c>
    </row>
    <row r="96" spans="1:29" x14ac:dyDescent="0.2">
      <c r="A96" s="71"/>
      <c r="B96" s="43" t="s">
        <v>184</v>
      </c>
      <c r="C96" s="14">
        <v>0</v>
      </c>
      <c r="E96" s="14">
        <v>0</v>
      </c>
      <c r="G96" s="14">
        <v>0</v>
      </c>
      <c r="I96" s="14">
        <v>0</v>
      </c>
      <c r="K96" s="14">
        <v>0</v>
      </c>
      <c r="M96" s="14">
        <v>0</v>
      </c>
      <c r="O96" s="14">
        <v>0</v>
      </c>
      <c r="Q96" s="14">
        <f>SUM(C96:P96)</f>
        <v>0</v>
      </c>
      <c r="S96" s="14">
        <f>SUMIF($C$9:$P$9,"=Addition",$C96:$P96)</f>
        <v>0</v>
      </c>
      <c r="U96" s="14">
        <f>SUMIF($C$9:$P$9,"=Adjustment",$C96:$P96)</f>
        <v>0</v>
      </c>
      <c r="W96" s="14">
        <f>SUMIF($C$9:$P$9,"=Transfer",$C96:$P96)</f>
        <v>0</v>
      </c>
      <c r="Y96" s="14">
        <f>SUMIF($C$9:$P$9,"=Addition",$C96:$P96)</f>
        <v>0</v>
      </c>
      <c r="AA96" s="14">
        <f>SUM(S96:Y96)</f>
        <v>0</v>
      </c>
      <c r="AC96" s="14">
        <f>+Q96-AA96</f>
        <v>0</v>
      </c>
    </row>
    <row r="97" spans="1:29" x14ac:dyDescent="0.2">
      <c r="A97" s="71"/>
      <c r="B97" s="75" t="s">
        <v>245</v>
      </c>
      <c r="C97" s="18">
        <f>SUM(C92:C96)</f>
        <v>0</v>
      </c>
      <c r="E97" s="18">
        <f>SUM(E92:E96)</f>
        <v>0</v>
      </c>
      <c r="G97" s="18">
        <f>SUM(G92:G96)</f>
        <v>0</v>
      </c>
      <c r="I97" s="18">
        <f>SUM(I92:I96)</f>
        <v>0</v>
      </c>
      <c r="K97" s="18">
        <f>SUM(K92:K96)</f>
        <v>0</v>
      </c>
      <c r="M97" s="18">
        <f>SUM(M92:M96)</f>
        <v>0</v>
      </c>
      <c r="O97" s="18">
        <f>SUM(O92:O96)</f>
        <v>0</v>
      </c>
      <c r="Q97" s="18">
        <f>SUM(Q92:Q96)</f>
        <v>0</v>
      </c>
      <c r="S97" s="18">
        <f>SUM(S92:S96)</f>
        <v>0</v>
      </c>
      <c r="U97" s="18">
        <f>SUM(U92:U96)</f>
        <v>0</v>
      </c>
      <c r="W97" s="18">
        <f>SUM(W92:W96)</f>
        <v>0</v>
      </c>
      <c r="Y97" s="18">
        <f>SUM(Y92:Y96)</f>
        <v>0</v>
      </c>
      <c r="AA97" s="18">
        <f>SUM(AA92:AA96)</f>
        <v>0</v>
      </c>
      <c r="AC97" s="18">
        <f>+Q97+AA97</f>
        <v>0</v>
      </c>
    </row>
    <row r="98" spans="1:29" x14ac:dyDescent="0.2">
      <c r="A98" s="71"/>
      <c r="C98" s="14"/>
      <c r="E98" s="14"/>
      <c r="G98" s="14"/>
      <c r="I98" s="14"/>
      <c r="K98" s="14"/>
      <c r="M98" s="14"/>
      <c r="O98" s="14"/>
      <c r="Q98" s="14"/>
      <c r="S98" s="14"/>
      <c r="U98" s="14"/>
      <c r="W98" s="14"/>
      <c r="Y98" s="14"/>
      <c r="AA98" s="14"/>
      <c r="AC98" s="14"/>
    </row>
    <row r="99" spans="1:29" x14ac:dyDescent="0.2">
      <c r="A99" s="8"/>
      <c r="B99" s="12" t="s">
        <v>18</v>
      </c>
      <c r="C99" s="14"/>
      <c r="E99" s="14"/>
      <c r="G99" s="14"/>
      <c r="I99" s="14"/>
      <c r="K99" s="14"/>
      <c r="M99" s="14"/>
      <c r="O99" s="14"/>
      <c r="Q99" s="14"/>
      <c r="S99" s="14"/>
      <c r="U99" s="14"/>
      <c r="W99" s="14"/>
      <c r="Y99" s="14"/>
      <c r="AA99" s="14"/>
      <c r="AC99" s="14"/>
    </row>
    <row r="100" spans="1:29" x14ac:dyDescent="0.2">
      <c r="A100" s="8"/>
      <c r="B100" s="3" t="s">
        <v>229</v>
      </c>
      <c r="C100" s="14">
        <v>0</v>
      </c>
      <c r="E100" s="14">
        <v>0</v>
      </c>
      <c r="G100" s="14">
        <v>0</v>
      </c>
      <c r="I100" s="14">
        <v>0</v>
      </c>
      <c r="K100" s="14">
        <v>0</v>
      </c>
      <c r="M100" s="14">
        <v>0</v>
      </c>
      <c r="O100" s="14">
        <v>0</v>
      </c>
      <c r="Q100" s="14">
        <f>SUM(C100:P100)</f>
        <v>0</v>
      </c>
      <c r="S100" s="14">
        <f>SUMIF($C$9:$P$9,"=Addition",$C100:$P100)</f>
        <v>0</v>
      </c>
      <c r="U100" s="14">
        <f>SUMIF($C$9:$P$9,"=Adjustment",$C100:$P100)</f>
        <v>0</v>
      </c>
      <c r="W100" s="14">
        <f>SUMIF($C$9:$P$9,"=Transfer",$C100:$P100)</f>
        <v>0</v>
      </c>
      <c r="Y100" s="14">
        <f>SUMIF($C$9:$P$9,"=Addition",$C100:$P100)</f>
        <v>0</v>
      </c>
      <c r="AA100" s="14">
        <f>SUM(S100:Y100)</f>
        <v>0</v>
      </c>
      <c r="AC100" s="14">
        <f>+Q100-AA100</f>
        <v>0</v>
      </c>
    </row>
    <row r="101" spans="1:29" x14ac:dyDescent="0.2">
      <c r="A101" s="8"/>
      <c r="B101" s="3" t="s">
        <v>231</v>
      </c>
      <c r="C101" s="14">
        <v>0</v>
      </c>
      <c r="E101" s="14">
        <v>0</v>
      </c>
      <c r="G101" s="14">
        <v>0</v>
      </c>
      <c r="I101" s="14">
        <v>0</v>
      </c>
      <c r="K101" s="14">
        <v>0</v>
      </c>
      <c r="M101" s="14">
        <v>0</v>
      </c>
      <c r="O101" s="14">
        <v>0</v>
      </c>
      <c r="Q101" s="14">
        <f>SUM(C101:P101)</f>
        <v>0</v>
      </c>
      <c r="S101" s="14">
        <f>SUMIF($C$9:$P$9,"=Addition",$C101:$P101)</f>
        <v>0</v>
      </c>
      <c r="U101" s="14">
        <f>SUMIF($C$9:$P$9,"=Adjustment",$C101:$P101)</f>
        <v>0</v>
      </c>
      <c r="W101" s="14">
        <f>SUMIF($C$9:$P$9,"=Transfer",$C101:$P101)</f>
        <v>0</v>
      </c>
      <c r="Y101" s="14">
        <f>SUMIF($C$9:$P$9,"=Addition",$C101:$P101)</f>
        <v>0</v>
      </c>
      <c r="AA101" s="14">
        <f>SUM(S101:Y101)</f>
        <v>0</v>
      </c>
      <c r="AC101" s="14">
        <f>+Q101-AA101</f>
        <v>0</v>
      </c>
    </row>
    <row r="102" spans="1:29" x14ac:dyDescent="0.2">
      <c r="A102" s="8"/>
      <c r="B102" s="3" t="s">
        <v>235</v>
      </c>
      <c r="C102" s="14">
        <v>0</v>
      </c>
      <c r="E102" s="14">
        <v>0</v>
      </c>
      <c r="G102" s="14">
        <v>0</v>
      </c>
      <c r="I102" s="14">
        <v>0</v>
      </c>
      <c r="K102" s="14">
        <v>0</v>
      </c>
      <c r="M102" s="14">
        <v>0</v>
      </c>
      <c r="O102" s="14">
        <v>0</v>
      </c>
      <c r="Q102" s="14">
        <f>SUM(C102:P102)</f>
        <v>0</v>
      </c>
      <c r="S102" s="14">
        <f>SUMIF($C$9:$P$9,"=Addition",$C102:$P102)</f>
        <v>0</v>
      </c>
      <c r="U102" s="14">
        <f>SUMIF($C$9:$P$9,"=Adjustment",$C102:$P102)</f>
        <v>0</v>
      </c>
      <c r="W102" s="14">
        <f>SUMIF($C$9:$P$9,"=Transfer",$C102:$P102)</f>
        <v>0</v>
      </c>
      <c r="Y102" s="14">
        <f>SUMIF($C$9:$P$9,"=Addition",$C102:$P102)</f>
        <v>0</v>
      </c>
      <c r="AA102" s="14">
        <f>SUM(S102:Y102)</f>
        <v>0</v>
      </c>
      <c r="AC102" s="14">
        <f>+Q102-AA102</f>
        <v>0</v>
      </c>
    </row>
    <row r="103" spans="1:29" x14ac:dyDescent="0.2">
      <c r="A103" s="8"/>
      <c r="B103" s="3" t="s">
        <v>236</v>
      </c>
      <c r="C103" s="14">
        <v>0</v>
      </c>
      <c r="E103" s="14">
        <v>0</v>
      </c>
      <c r="G103" s="14">
        <v>0</v>
      </c>
      <c r="I103" s="14">
        <v>0</v>
      </c>
      <c r="K103" s="14">
        <v>0</v>
      </c>
      <c r="M103" s="14">
        <v>0</v>
      </c>
      <c r="O103" s="14">
        <v>0</v>
      </c>
      <c r="Q103" s="14">
        <f>SUM(C103:P103)</f>
        <v>0</v>
      </c>
      <c r="S103" s="14">
        <f>SUMIF($C$9:$P$9,"=Addition",$C103:$P103)</f>
        <v>0</v>
      </c>
      <c r="U103" s="14">
        <f>SUMIF($C$9:$P$9,"=Adjustment",$C103:$P103)</f>
        <v>0</v>
      </c>
      <c r="W103" s="14">
        <f>SUMIF($C$9:$P$9,"=Transfer",$C103:$P103)</f>
        <v>0</v>
      </c>
      <c r="Y103" s="14">
        <f>SUMIF($C$9:$P$9,"=Addition",$C103:$P103)</f>
        <v>0</v>
      </c>
      <c r="AA103" s="14">
        <f>SUM(S103:Y103)</f>
        <v>0</v>
      </c>
      <c r="AC103" s="14">
        <f>+Q103-AA103</f>
        <v>0</v>
      </c>
    </row>
    <row r="104" spans="1:29" ht="13.5" customHeight="1" x14ac:dyDescent="0.2">
      <c r="A104" s="8"/>
      <c r="B104" s="75" t="s">
        <v>250</v>
      </c>
      <c r="C104" s="18">
        <f>SUM(C100:C103)</f>
        <v>0</v>
      </c>
      <c r="E104" s="18">
        <f>SUM(E100:E103)</f>
        <v>0</v>
      </c>
      <c r="G104" s="18">
        <f>SUM(G100:G103)</f>
        <v>0</v>
      </c>
      <c r="I104" s="18">
        <f>SUM(I100:I103)</f>
        <v>0</v>
      </c>
      <c r="K104" s="18">
        <f>SUM(K100:K103)</f>
        <v>0</v>
      </c>
      <c r="M104" s="18">
        <f>SUM(M100:M103)</f>
        <v>0</v>
      </c>
      <c r="O104" s="18">
        <f>SUM(O100:O103)</f>
        <v>0</v>
      </c>
      <c r="Q104" s="18">
        <f>SUM(Q100:Q103)</f>
        <v>0</v>
      </c>
      <c r="S104" s="18">
        <f>SUM(S100:S103)</f>
        <v>0</v>
      </c>
      <c r="U104" s="18">
        <f>SUM(U100:U103)</f>
        <v>0</v>
      </c>
      <c r="W104" s="18">
        <f>SUM(W100:W103)</f>
        <v>0</v>
      </c>
      <c r="Y104" s="18">
        <f>SUM(Y100:Y103)</f>
        <v>0</v>
      </c>
      <c r="AA104" s="18">
        <f>SUM(AA100:AA103)</f>
        <v>0</v>
      </c>
      <c r="AC104" s="18">
        <f>+Q104+AA104</f>
        <v>0</v>
      </c>
    </row>
    <row r="105" spans="1:29" ht="13.5" customHeight="1" x14ac:dyDescent="0.2">
      <c r="A105" s="8"/>
      <c r="B105" s="75"/>
      <c r="C105" s="17"/>
      <c r="E105" s="17"/>
      <c r="G105" s="17"/>
      <c r="I105" s="17"/>
      <c r="K105" s="17"/>
      <c r="M105" s="17"/>
      <c r="O105" s="17"/>
      <c r="Q105" s="17"/>
      <c r="S105" s="17"/>
      <c r="U105" s="17"/>
      <c r="W105" s="17"/>
      <c r="Y105" s="17"/>
      <c r="AA105" s="17"/>
      <c r="AC105" s="17"/>
    </row>
    <row r="106" spans="1:29" x14ac:dyDescent="0.2">
      <c r="A106" s="8"/>
      <c r="B106" s="75" t="s">
        <v>26</v>
      </c>
      <c r="C106" s="16">
        <f>+C89+C97+C104</f>
        <v>0</v>
      </c>
      <c r="D106" s="14"/>
      <c r="E106" s="16">
        <f>+E89+E97+E104</f>
        <v>0</v>
      </c>
      <c r="F106" s="14"/>
      <c r="G106" s="16">
        <f>+G89+G97+G104</f>
        <v>0</v>
      </c>
      <c r="H106" s="14"/>
      <c r="I106" s="16">
        <f>+I89+I97+I104</f>
        <v>0</v>
      </c>
      <c r="J106" s="14"/>
      <c r="K106" s="16">
        <f>+K89+K97+K104</f>
        <v>0</v>
      </c>
      <c r="L106" s="14"/>
      <c r="M106" s="16">
        <f>+M89+M97+M104</f>
        <v>0</v>
      </c>
      <c r="N106" s="14"/>
      <c r="O106" s="16">
        <f>+O89+O97+O104</f>
        <v>0</v>
      </c>
      <c r="P106" s="14"/>
      <c r="Q106" s="16">
        <f>+Q89+Q97+Q104</f>
        <v>0</v>
      </c>
      <c r="S106" s="16">
        <f>+S89+S97++S104</f>
        <v>0</v>
      </c>
      <c r="T106" s="14"/>
      <c r="U106" s="16">
        <f>+U89+U97+U104</f>
        <v>0</v>
      </c>
      <c r="V106" s="14"/>
      <c r="W106" s="16">
        <f>+W89+W97+W104</f>
        <v>0</v>
      </c>
      <c r="X106" s="14"/>
      <c r="Y106" s="16">
        <f>+Y89+Y97+Y104</f>
        <v>0</v>
      </c>
      <c r="Z106" s="14"/>
      <c r="AA106" s="16">
        <f>+AA89+AA97+AA104</f>
        <v>0</v>
      </c>
      <c r="AB106" s="14"/>
      <c r="AC106" s="16">
        <f>+Q106-AA106</f>
        <v>0</v>
      </c>
    </row>
    <row r="107" spans="1:29" x14ac:dyDescent="0.2">
      <c r="A107" s="8"/>
      <c r="B107" s="12"/>
      <c r="C107" s="17"/>
      <c r="D107" s="14"/>
      <c r="E107" s="17"/>
      <c r="F107" s="14"/>
      <c r="G107" s="17"/>
      <c r="H107" s="14"/>
      <c r="I107" s="17"/>
      <c r="J107" s="14"/>
      <c r="K107" s="17"/>
      <c r="L107" s="14"/>
      <c r="M107" s="17"/>
      <c r="N107" s="14"/>
      <c r="O107" s="17"/>
      <c r="P107" s="14"/>
      <c r="Q107" s="17"/>
      <c r="R107" s="130"/>
      <c r="S107" s="17"/>
      <c r="T107" s="14"/>
      <c r="U107" s="17"/>
      <c r="V107" s="14"/>
      <c r="W107" s="17"/>
      <c r="X107" s="14"/>
      <c r="Y107" s="17"/>
      <c r="Z107" s="14"/>
      <c r="AA107" s="17"/>
      <c r="AB107" s="14"/>
      <c r="AC107" s="17"/>
    </row>
    <row r="108" spans="1:29" ht="13.5" thickBot="1" x14ac:dyDescent="0.25">
      <c r="A108" s="8"/>
      <c r="B108" s="12" t="s">
        <v>251</v>
      </c>
      <c r="C108" s="78">
        <f>C76+C106</f>
        <v>0</v>
      </c>
      <c r="D108" s="78">
        <f t="shared" ref="D108:AB108" si="28">D76+D106</f>
        <v>0</v>
      </c>
      <c r="E108" s="78">
        <f t="shared" si="28"/>
        <v>0</v>
      </c>
      <c r="F108" s="78">
        <f t="shared" si="28"/>
        <v>0</v>
      </c>
      <c r="G108" s="78">
        <f>G76+G106</f>
        <v>0</v>
      </c>
      <c r="H108" s="78">
        <f t="shared" si="28"/>
        <v>0</v>
      </c>
      <c r="I108" s="78">
        <f t="shared" si="28"/>
        <v>0</v>
      </c>
      <c r="J108" s="78">
        <f t="shared" si="28"/>
        <v>0</v>
      </c>
      <c r="K108" s="78">
        <f t="shared" si="28"/>
        <v>0</v>
      </c>
      <c r="L108" s="78">
        <f t="shared" si="28"/>
        <v>0</v>
      </c>
      <c r="M108" s="78">
        <f t="shared" si="28"/>
        <v>0</v>
      </c>
      <c r="N108" s="78">
        <f t="shared" si="28"/>
        <v>0</v>
      </c>
      <c r="O108" s="78">
        <f t="shared" si="28"/>
        <v>0</v>
      </c>
      <c r="P108" s="78">
        <f t="shared" si="28"/>
        <v>0</v>
      </c>
      <c r="Q108" s="78">
        <f t="shared" si="28"/>
        <v>0</v>
      </c>
      <c r="R108" s="17"/>
      <c r="S108" s="78">
        <f t="shared" si="28"/>
        <v>0</v>
      </c>
      <c r="T108" s="78">
        <f t="shared" si="28"/>
        <v>0</v>
      </c>
      <c r="U108" s="78">
        <f t="shared" si="28"/>
        <v>0</v>
      </c>
      <c r="V108" s="78">
        <f t="shared" si="28"/>
        <v>0</v>
      </c>
      <c r="W108" s="78">
        <f t="shared" si="28"/>
        <v>0</v>
      </c>
      <c r="X108" s="78">
        <f t="shared" si="28"/>
        <v>0</v>
      </c>
      <c r="Y108" s="78">
        <f t="shared" si="28"/>
        <v>0</v>
      </c>
      <c r="Z108" s="78">
        <f t="shared" si="28"/>
        <v>0</v>
      </c>
      <c r="AA108" s="78">
        <f t="shared" si="28"/>
        <v>0</v>
      </c>
      <c r="AB108" s="78">
        <f t="shared" si="28"/>
        <v>0</v>
      </c>
      <c r="AC108" s="78">
        <f>AC76-AC106</f>
        <v>0</v>
      </c>
    </row>
    <row r="109" spans="1:29" ht="13.5" thickTop="1" x14ac:dyDescent="0.2">
      <c r="A109" s="8"/>
      <c r="B109" s="12"/>
      <c r="C109" s="17"/>
      <c r="D109" s="14"/>
      <c r="E109" s="17"/>
      <c r="F109" s="14"/>
      <c r="G109" s="17"/>
      <c r="H109" s="14"/>
      <c r="I109" s="17"/>
      <c r="J109" s="14"/>
      <c r="K109" s="17"/>
      <c r="L109" s="14"/>
      <c r="M109" s="17"/>
      <c r="N109" s="14"/>
      <c r="O109" s="17"/>
      <c r="P109" s="14"/>
      <c r="Q109" s="17"/>
      <c r="R109" s="130"/>
      <c r="S109" s="17"/>
      <c r="T109" s="14"/>
      <c r="U109" s="17"/>
      <c r="V109" s="14"/>
      <c r="W109" s="17"/>
      <c r="X109" s="14"/>
      <c r="Y109" s="17"/>
      <c r="Z109" s="14"/>
      <c r="AA109" s="17"/>
      <c r="AB109" s="14"/>
      <c r="AC109" s="17"/>
    </row>
    <row r="110" spans="1:29" x14ac:dyDescent="0.2">
      <c r="A110" s="8"/>
      <c r="B110" s="12"/>
      <c r="C110" s="17"/>
      <c r="D110" s="14"/>
      <c r="E110" s="17"/>
      <c r="F110" s="14"/>
      <c r="G110" s="17"/>
      <c r="H110" s="14"/>
      <c r="I110" s="17"/>
      <c r="J110" s="14"/>
      <c r="K110" s="17"/>
      <c r="L110" s="14"/>
      <c r="M110" s="17"/>
      <c r="N110" s="14"/>
      <c r="O110" s="17"/>
      <c r="P110" s="14"/>
      <c r="Q110" s="17"/>
      <c r="R110" s="130"/>
      <c r="S110" s="17"/>
      <c r="T110" s="14"/>
      <c r="U110" s="17"/>
      <c r="V110" s="14"/>
      <c r="W110" s="17"/>
      <c r="X110" s="14"/>
      <c r="Y110" s="17"/>
      <c r="Z110" s="14"/>
      <c r="AA110" s="17"/>
      <c r="AB110" s="14"/>
      <c r="AC110" s="17"/>
    </row>
    <row r="111" spans="1:29" x14ac:dyDescent="0.2"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13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</row>
    <row r="112" spans="1:29" x14ac:dyDescent="0.2">
      <c r="A112" s="80"/>
      <c r="B112" s="43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</row>
    <row r="113" spans="1:29" x14ac:dyDescent="0.2">
      <c r="A113" s="80"/>
      <c r="B113" s="96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</row>
    <row r="114" spans="1:29" x14ac:dyDescent="0.2">
      <c r="A114" s="132"/>
      <c r="B114" s="43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</row>
    <row r="115" spans="1:29" x14ac:dyDescent="0.2"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</row>
    <row r="116" spans="1:29" x14ac:dyDescent="0.2"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</row>
    <row r="117" spans="1:29" x14ac:dyDescent="0.2"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</row>
    <row r="118" spans="1:29" x14ac:dyDescent="0.2"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</row>
    <row r="119" spans="1:29" x14ac:dyDescent="0.2"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</row>
    <row r="120" spans="1:29" x14ac:dyDescent="0.2"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</row>
    <row r="121" spans="1:29" x14ac:dyDescent="0.2"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</row>
    <row r="122" spans="1:29" x14ac:dyDescent="0.2"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</row>
    <row r="123" spans="1:29" x14ac:dyDescent="0.2"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</row>
    <row r="124" spans="1:29" x14ac:dyDescent="0.2"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</row>
    <row r="125" spans="1:29" x14ac:dyDescent="0.2"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</row>
    <row r="126" spans="1:29" x14ac:dyDescent="0.2"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</row>
    <row r="127" spans="1:29" x14ac:dyDescent="0.2"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</row>
    <row r="128" spans="1:29" x14ac:dyDescent="0.2"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</row>
    <row r="129" spans="3:29" x14ac:dyDescent="0.2"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</row>
    <row r="130" spans="3:29" x14ac:dyDescent="0.2"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</row>
    <row r="131" spans="3:29" x14ac:dyDescent="0.2"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</row>
    <row r="132" spans="3:29" x14ac:dyDescent="0.2"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</row>
    <row r="133" spans="3:29" x14ac:dyDescent="0.2"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</row>
    <row r="134" spans="3:29" x14ac:dyDescent="0.2"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</row>
    <row r="135" spans="3:29" x14ac:dyDescent="0.2"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  <c r="Z135" s="34"/>
      <c r="AA135" s="34"/>
      <c r="AB135" s="34"/>
      <c r="AC135" s="34"/>
    </row>
    <row r="136" spans="3:29" x14ac:dyDescent="0.2"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  <c r="Z136" s="34"/>
      <c r="AA136" s="34"/>
      <c r="AB136" s="34"/>
      <c r="AC136" s="34"/>
    </row>
    <row r="137" spans="3:29" x14ac:dyDescent="0.2"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  <c r="Z137" s="34"/>
      <c r="AA137" s="34"/>
      <c r="AB137" s="34"/>
      <c r="AC137" s="34"/>
    </row>
    <row r="138" spans="3:29" x14ac:dyDescent="0.2"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  <c r="Z138" s="34"/>
      <c r="AA138" s="34"/>
      <c r="AB138" s="34"/>
      <c r="AC138" s="34"/>
    </row>
    <row r="139" spans="3:29" x14ac:dyDescent="0.2"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  <c r="Z139" s="34"/>
      <c r="AA139" s="34"/>
      <c r="AB139" s="34"/>
      <c r="AC139" s="34"/>
    </row>
    <row r="140" spans="3:29" x14ac:dyDescent="0.2"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  <c r="Z140" s="34"/>
      <c r="AA140" s="34"/>
      <c r="AB140" s="34"/>
      <c r="AC140" s="34"/>
    </row>
    <row r="141" spans="3:29" x14ac:dyDescent="0.2"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  <c r="Z141" s="34"/>
      <c r="AA141" s="34"/>
      <c r="AB141" s="34"/>
      <c r="AC141" s="34"/>
    </row>
    <row r="142" spans="3:29" x14ac:dyDescent="0.2"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  <c r="Z142" s="34"/>
      <c r="AA142" s="34"/>
      <c r="AB142" s="34"/>
      <c r="AC142" s="34"/>
    </row>
    <row r="143" spans="3:29" x14ac:dyDescent="0.2"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  <c r="Z143" s="34"/>
      <c r="AA143" s="34"/>
      <c r="AB143" s="34"/>
      <c r="AC143" s="34"/>
    </row>
    <row r="144" spans="3:29" x14ac:dyDescent="0.2"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  <c r="Z144" s="34"/>
      <c r="AA144" s="34"/>
      <c r="AB144" s="34"/>
      <c r="AC144" s="34"/>
    </row>
    <row r="145" spans="3:29" x14ac:dyDescent="0.2"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  <c r="Z145" s="34"/>
      <c r="AA145" s="34"/>
      <c r="AB145" s="34"/>
      <c r="AC145" s="34"/>
    </row>
    <row r="146" spans="3:29" x14ac:dyDescent="0.2"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  <c r="Z146" s="34"/>
      <c r="AA146" s="34"/>
      <c r="AB146" s="34"/>
      <c r="AC146" s="34"/>
    </row>
    <row r="147" spans="3:29" x14ac:dyDescent="0.2"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  <c r="Z147" s="34"/>
      <c r="AA147" s="34"/>
      <c r="AB147" s="34"/>
      <c r="AC147" s="34"/>
    </row>
    <row r="148" spans="3:29" x14ac:dyDescent="0.2"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  <c r="Z148" s="34"/>
      <c r="AA148" s="34"/>
      <c r="AB148" s="34"/>
      <c r="AC148" s="34"/>
    </row>
    <row r="149" spans="3:29" x14ac:dyDescent="0.2"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  <c r="Z149" s="34"/>
      <c r="AA149" s="34"/>
      <c r="AB149" s="34"/>
      <c r="AC149" s="34"/>
    </row>
    <row r="150" spans="3:29" x14ac:dyDescent="0.2"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  <c r="Z150" s="34"/>
      <c r="AA150" s="34"/>
      <c r="AB150" s="34"/>
      <c r="AC150" s="34"/>
    </row>
    <row r="151" spans="3:29" x14ac:dyDescent="0.2"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  <c r="Z151" s="34"/>
      <c r="AA151" s="34"/>
      <c r="AB151" s="34"/>
      <c r="AC151" s="34"/>
    </row>
    <row r="152" spans="3:29" x14ac:dyDescent="0.2"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  <c r="Z152" s="34"/>
      <c r="AA152" s="34"/>
      <c r="AB152" s="34"/>
      <c r="AC152" s="34"/>
    </row>
    <row r="153" spans="3:29" x14ac:dyDescent="0.2"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  <c r="Z153" s="34"/>
      <c r="AA153" s="34"/>
      <c r="AB153" s="34"/>
      <c r="AC153" s="34"/>
    </row>
    <row r="154" spans="3:29" x14ac:dyDescent="0.2"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  <c r="Z154" s="34"/>
      <c r="AA154" s="34"/>
      <c r="AB154" s="34"/>
      <c r="AC154" s="34"/>
    </row>
    <row r="155" spans="3:29" x14ac:dyDescent="0.2"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  <c r="Z155" s="34"/>
      <c r="AA155" s="34"/>
      <c r="AB155" s="34"/>
      <c r="AC155" s="34"/>
    </row>
    <row r="156" spans="3:29" x14ac:dyDescent="0.2"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  <c r="Z156" s="34"/>
      <c r="AA156" s="34"/>
      <c r="AB156" s="34"/>
      <c r="AC156" s="34"/>
    </row>
    <row r="157" spans="3:29" x14ac:dyDescent="0.2"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  <c r="Z157" s="34"/>
      <c r="AA157" s="34"/>
      <c r="AB157" s="34"/>
      <c r="AC157" s="34"/>
    </row>
    <row r="158" spans="3:29" x14ac:dyDescent="0.2"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  <c r="Z158" s="34"/>
      <c r="AA158" s="34"/>
      <c r="AB158" s="34"/>
      <c r="AC158" s="34"/>
    </row>
    <row r="159" spans="3:29" x14ac:dyDescent="0.2"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  <c r="Z159" s="34"/>
      <c r="AA159" s="34"/>
      <c r="AB159" s="34"/>
      <c r="AC159" s="34"/>
    </row>
    <row r="160" spans="3:29" x14ac:dyDescent="0.2"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  <c r="Z160" s="34"/>
      <c r="AA160" s="34"/>
      <c r="AB160" s="34"/>
      <c r="AC160" s="34"/>
    </row>
    <row r="161" spans="3:29" x14ac:dyDescent="0.2"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  <c r="Z161" s="34"/>
      <c r="AA161" s="34"/>
      <c r="AB161" s="34"/>
      <c r="AC161" s="34"/>
    </row>
    <row r="162" spans="3:29" x14ac:dyDescent="0.2"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  <c r="Z162" s="34"/>
      <c r="AA162" s="34"/>
      <c r="AB162" s="34"/>
      <c r="AC162" s="34"/>
    </row>
    <row r="163" spans="3:29" x14ac:dyDescent="0.2"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  <c r="Z163" s="34"/>
      <c r="AA163" s="34"/>
      <c r="AB163" s="34"/>
      <c r="AC163" s="34"/>
    </row>
    <row r="164" spans="3:29" x14ac:dyDescent="0.2"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  <c r="Z164" s="34"/>
      <c r="AA164" s="34"/>
      <c r="AB164" s="34"/>
      <c r="AC164" s="34"/>
    </row>
    <row r="165" spans="3:29" x14ac:dyDescent="0.2"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  <c r="Z165" s="34"/>
      <c r="AA165" s="34"/>
      <c r="AB165" s="34"/>
      <c r="AC165" s="34"/>
    </row>
    <row r="166" spans="3:29" x14ac:dyDescent="0.2"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  <c r="Z166" s="34"/>
      <c r="AA166" s="34"/>
      <c r="AB166" s="34"/>
      <c r="AC166" s="34"/>
    </row>
    <row r="167" spans="3:29" x14ac:dyDescent="0.2"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  <c r="Z167" s="34"/>
      <c r="AA167" s="34"/>
      <c r="AB167" s="34"/>
      <c r="AC167" s="34"/>
    </row>
    <row r="168" spans="3:29" x14ac:dyDescent="0.2"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  <c r="Z168" s="34"/>
      <c r="AA168" s="34"/>
      <c r="AB168" s="34"/>
      <c r="AC168" s="34"/>
    </row>
    <row r="169" spans="3:29" x14ac:dyDescent="0.2"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  <c r="Z169" s="34"/>
      <c r="AA169" s="34"/>
      <c r="AB169" s="34"/>
      <c r="AC169" s="34"/>
    </row>
    <row r="170" spans="3:29" x14ac:dyDescent="0.2"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  <c r="Z170" s="34"/>
      <c r="AA170" s="34"/>
      <c r="AB170" s="34"/>
      <c r="AC170" s="34"/>
    </row>
    <row r="171" spans="3:29" x14ac:dyDescent="0.2"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  <c r="Z171" s="34"/>
      <c r="AA171" s="34"/>
      <c r="AB171" s="34"/>
      <c r="AC171" s="34"/>
    </row>
    <row r="172" spans="3:29" x14ac:dyDescent="0.2"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34"/>
      <c r="W172" s="34"/>
      <c r="X172" s="34"/>
      <c r="Y172" s="34"/>
      <c r="Z172" s="34"/>
      <c r="AA172" s="34"/>
      <c r="AB172" s="34"/>
      <c r="AC172" s="34"/>
    </row>
    <row r="173" spans="3:29" x14ac:dyDescent="0.2"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4"/>
      <c r="W173" s="34"/>
      <c r="X173" s="34"/>
      <c r="Y173" s="34"/>
      <c r="Z173" s="34"/>
      <c r="AA173" s="34"/>
      <c r="AB173" s="34"/>
      <c r="AC173" s="34"/>
    </row>
    <row r="174" spans="3:29" x14ac:dyDescent="0.2"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U174" s="34"/>
      <c r="V174" s="34"/>
      <c r="W174" s="34"/>
      <c r="X174" s="34"/>
      <c r="Y174" s="34"/>
      <c r="Z174" s="34"/>
      <c r="AA174" s="34"/>
      <c r="AB174" s="34"/>
      <c r="AC174" s="34"/>
    </row>
    <row r="175" spans="3:29" x14ac:dyDescent="0.2"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4"/>
      <c r="X175" s="34"/>
      <c r="Y175" s="34"/>
      <c r="Z175" s="34"/>
      <c r="AA175" s="34"/>
      <c r="AB175" s="34"/>
      <c r="AC175" s="34"/>
    </row>
    <row r="176" spans="3:29" x14ac:dyDescent="0.2"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  <c r="AA176" s="34"/>
      <c r="AB176" s="34"/>
      <c r="AC176" s="34"/>
    </row>
    <row r="177" spans="3:29" x14ac:dyDescent="0.2"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4"/>
      <c r="S177" s="34"/>
      <c r="T177" s="34"/>
      <c r="U177" s="34"/>
      <c r="V177" s="34"/>
      <c r="W177" s="34"/>
      <c r="X177" s="34"/>
      <c r="Y177" s="34"/>
      <c r="Z177" s="34"/>
      <c r="AA177" s="34"/>
      <c r="AB177" s="34"/>
      <c r="AC177" s="34"/>
    </row>
    <row r="178" spans="3:29" x14ac:dyDescent="0.2"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  <c r="R178" s="34"/>
      <c r="S178" s="34"/>
      <c r="T178" s="34"/>
      <c r="U178" s="34"/>
      <c r="V178" s="34"/>
      <c r="W178" s="34"/>
      <c r="X178" s="34"/>
      <c r="Y178" s="34"/>
      <c r="Z178" s="34"/>
      <c r="AA178" s="34"/>
      <c r="AB178" s="34"/>
      <c r="AC178" s="34"/>
    </row>
    <row r="179" spans="3:29" x14ac:dyDescent="0.2"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  <c r="W179" s="34"/>
      <c r="X179" s="34"/>
      <c r="Y179" s="34"/>
      <c r="Z179" s="34"/>
      <c r="AA179" s="34"/>
      <c r="AB179" s="34"/>
      <c r="AC179" s="34"/>
    </row>
    <row r="180" spans="3:29" x14ac:dyDescent="0.2"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  <c r="R180" s="34"/>
      <c r="S180" s="34"/>
      <c r="T180" s="34"/>
      <c r="U180" s="34"/>
      <c r="V180" s="34"/>
      <c r="W180" s="34"/>
      <c r="X180" s="34"/>
      <c r="Y180" s="34"/>
      <c r="Z180" s="34"/>
      <c r="AA180" s="34"/>
      <c r="AB180" s="34"/>
      <c r="AC180" s="34"/>
    </row>
    <row r="181" spans="3:29" x14ac:dyDescent="0.2"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  <c r="R181" s="34"/>
      <c r="S181" s="34"/>
      <c r="T181" s="34"/>
      <c r="U181" s="34"/>
      <c r="V181" s="34"/>
      <c r="W181" s="34"/>
      <c r="X181" s="34"/>
      <c r="Y181" s="34"/>
      <c r="Z181" s="34"/>
      <c r="AA181" s="34"/>
      <c r="AB181" s="34"/>
      <c r="AC181" s="34"/>
    </row>
    <row r="182" spans="3:29" x14ac:dyDescent="0.2"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  <c r="R182" s="34"/>
      <c r="S182" s="34"/>
      <c r="T182" s="34"/>
      <c r="U182" s="34"/>
      <c r="V182" s="34"/>
      <c r="W182" s="34"/>
      <c r="X182" s="34"/>
      <c r="Y182" s="34"/>
      <c r="Z182" s="34"/>
      <c r="AA182" s="34"/>
      <c r="AB182" s="34"/>
      <c r="AC182" s="34"/>
    </row>
    <row r="183" spans="3:29" x14ac:dyDescent="0.2"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  <c r="R183" s="34"/>
      <c r="S183" s="34"/>
      <c r="T183" s="34"/>
      <c r="U183" s="34"/>
      <c r="V183" s="34"/>
      <c r="W183" s="34"/>
      <c r="X183" s="34"/>
      <c r="Y183" s="34"/>
      <c r="Z183" s="34"/>
      <c r="AA183" s="34"/>
      <c r="AB183" s="34"/>
      <c r="AC183" s="34"/>
    </row>
    <row r="184" spans="3:29" x14ac:dyDescent="0.2"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  <c r="R184" s="34"/>
      <c r="S184" s="34"/>
      <c r="T184" s="34"/>
      <c r="U184" s="34"/>
      <c r="V184" s="34"/>
      <c r="W184" s="34"/>
      <c r="X184" s="34"/>
      <c r="Y184" s="34"/>
      <c r="Z184" s="34"/>
      <c r="AA184" s="34"/>
      <c r="AB184" s="34"/>
      <c r="AC184" s="34"/>
    </row>
    <row r="185" spans="3:29" x14ac:dyDescent="0.2"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  <c r="R185" s="34"/>
      <c r="S185" s="34"/>
      <c r="T185" s="34"/>
      <c r="U185" s="34"/>
      <c r="V185" s="34"/>
      <c r="W185" s="34"/>
      <c r="X185" s="34"/>
      <c r="Y185" s="34"/>
      <c r="Z185" s="34"/>
      <c r="AA185" s="34"/>
      <c r="AB185" s="34"/>
      <c r="AC185" s="34"/>
    </row>
    <row r="186" spans="3:29" x14ac:dyDescent="0.2"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34"/>
      <c r="S186" s="34"/>
      <c r="T186" s="34"/>
      <c r="U186" s="34"/>
      <c r="V186" s="34"/>
      <c r="W186" s="34"/>
      <c r="X186" s="34"/>
      <c r="Y186" s="34"/>
      <c r="Z186" s="34"/>
      <c r="AA186" s="34"/>
      <c r="AB186" s="34"/>
      <c r="AC186" s="34"/>
    </row>
    <row r="187" spans="3:29" x14ac:dyDescent="0.2"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  <c r="R187" s="34"/>
      <c r="S187" s="34"/>
      <c r="T187" s="34"/>
      <c r="U187" s="34"/>
      <c r="V187" s="34"/>
      <c r="W187" s="34"/>
      <c r="X187" s="34"/>
      <c r="Y187" s="34"/>
      <c r="Z187" s="34"/>
      <c r="AA187" s="34"/>
      <c r="AB187" s="34"/>
      <c r="AC187" s="34"/>
    </row>
    <row r="188" spans="3:29" x14ac:dyDescent="0.2"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  <c r="R188" s="34"/>
      <c r="S188" s="34"/>
      <c r="T188" s="34"/>
      <c r="U188" s="34"/>
      <c r="V188" s="34"/>
      <c r="W188" s="34"/>
      <c r="X188" s="34"/>
      <c r="Y188" s="34"/>
      <c r="Z188" s="34"/>
      <c r="AA188" s="34"/>
      <c r="AB188" s="34"/>
      <c r="AC188" s="34"/>
    </row>
    <row r="189" spans="3:29" x14ac:dyDescent="0.2"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  <c r="R189" s="34"/>
      <c r="S189" s="34"/>
      <c r="T189" s="34"/>
      <c r="U189" s="34"/>
      <c r="V189" s="34"/>
      <c r="W189" s="34"/>
      <c r="X189" s="34"/>
      <c r="Y189" s="34"/>
      <c r="Z189" s="34"/>
      <c r="AA189" s="34"/>
      <c r="AB189" s="34"/>
      <c r="AC189" s="34"/>
    </row>
    <row r="190" spans="3:29" x14ac:dyDescent="0.2"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  <c r="R190" s="34"/>
      <c r="S190" s="34"/>
      <c r="T190" s="34"/>
      <c r="U190" s="34"/>
      <c r="V190" s="34"/>
      <c r="W190" s="34"/>
      <c r="X190" s="34"/>
      <c r="Y190" s="34"/>
      <c r="Z190" s="34"/>
      <c r="AA190" s="34"/>
      <c r="AB190" s="34"/>
      <c r="AC190" s="34"/>
    </row>
    <row r="191" spans="3:29" x14ac:dyDescent="0.2"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  <c r="R191" s="34"/>
      <c r="S191" s="34"/>
      <c r="T191" s="34"/>
      <c r="U191" s="34"/>
      <c r="V191" s="34"/>
      <c r="W191" s="34"/>
      <c r="X191" s="34"/>
      <c r="Y191" s="34"/>
      <c r="Z191" s="34"/>
      <c r="AA191" s="34"/>
      <c r="AB191" s="34"/>
      <c r="AC191" s="34"/>
    </row>
    <row r="192" spans="3:29" x14ac:dyDescent="0.2"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  <c r="R192" s="34"/>
      <c r="S192" s="34"/>
      <c r="T192" s="34"/>
      <c r="U192" s="34"/>
      <c r="V192" s="34"/>
      <c r="W192" s="34"/>
      <c r="X192" s="34"/>
      <c r="Y192" s="34"/>
      <c r="Z192" s="34"/>
      <c r="AA192" s="34"/>
      <c r="AB192" s="34"/>
      <c r="AC192" s="34"/>
    </row>
    <row r="193" spans="3:29" x14ac:dyDescent="0.2"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  <c r="R193" s="34"/>
      <c r="S193" s="34"/>
      <c r="T193" s="34"/>
      <c r="U193" s="34"/>
      <c r="V193" s="34"/>
      <c r="W193" s="34"/>
      <c r="X193" s="34"/>
      <c r="Y193" s="34"/>
      <c r="Z193" s="34"/>
      <c r="AA193" s="34"/>
      <c r="AB193" s="34"/>
      <c r="AC193" s="34"/>
    </row>
    <row r="194" spans="3:29" x14ac:dyDescent="0.2"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  <c r="R194" s="34"/>
      <c r="S194" s="34"/>
      <c r="T194" s="34"/>
      <c r="U194" s="34"/>
      <c r="V194" s="34"/>
      <c r="W194" s="34"/>
      <c r="X194" s="34"/>
      <c r="Y194" s="34"/>
      <c r="Z194" s="34"/>
      <c r="AA194" s="34"/>
      <c r="AB194" s="34"/>
      <c r="AC194" s="34"/>
    </row>
    <row r="195" spans="3:29" x14ac:dyDescent="0.2"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  <c r="R195" s="34"/>
      <c r="S195" s="34"/>
      <c r="T195" s="34"/>
      <c r="U195" s="34"/>
      <c r="V195" s="34"/>
      <c r="W195" s="34"/>
      <c r="X195" s="34"/>
      <c r="Y195" s="34"/>
      <c r="Z195" s="34"/>
      <c r="AA195" s="34"/>
      <c r="AB195" s="34"/>
      <c r="AC195" s="34"/>
    </row>
    <row r="196" spans="3:29" x14ac:dyDescent="0.2"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  <c r="R196" s="34"/>
      <c r="S196" s="34"/>
      <c r="T196" s="34"/>
      <c r="U196" s="34"/>
      <c r="V196" s="34"/>
      <c r="W196" s="34"/>
      <c r="X196" s="34"/>
      <c r="Y196" s="34"/>
      <c r="Z196" s="34"/>
      <c r="AA196" s="34"/>
      <c r="AB196" s="34"/>
      <c r="AC196" s="34"/>
    </row>
    <row r="197" spans="3:29" x14ac:dyDescent="0.2"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  <c r="R197" s="34"/>
      <c r="S197" s="34"/>
      <c r="T197" s="34"/>
      <c r="U197" s="34"/>
      <c r="V197" s="34"/>
      <c r="W197" s="34"/>
      <c r="X197" s="34"/>
      <c r="Y197" s="34"/>
      <c r="Z197" s="34"/>
      <c r="AA197" s="34"/>
      <c r="AB197" s="34"/>
      <c r="AC197" s="34"/>
    </row>
    <row r="198" spans="3:29" x14ac:dyDescent="0.2"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  <c r="R198" s="34"/>
      <c r="S198" s="34"/>
      <c r="T198" s="34"/>
      <c r="U198" s="34"/>
      <c r="V198" s="34"/>
      <c r="W198" s="34"/>
      <c r="X198" s="34"/>
      <c r="Y198" s="34"/>
      <c r="Z198" s="34"/>
      <c r="AA198" s="34"/>
      <c r="AB198" s="34"/>
      <c r="AC198" s="34"/>
    </row>
    <row r="199" spans="3:29" x14ac:dyDescent="0.2"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  <c r="R199" s="34"/>
      <c r="S199" s="34"/>
      <c r="T199" s="34"/>
      <c r="U199" s="34"/>
      <c r="V199" s="34"/>
      <c r="W199" s="34"/>
      <c r="X199" s="34"/>
      <c r="Y199" s="34"/>
      <c r="Z199" s="34"/>
      <c r="AA199" s="34"/>
      <c r="AB199" s="34"/>
      <c r="AC199" s="34"/>
    </row>
    <row r="200" spans="3:29" x14ac:dyDescent="0.2"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4"/>
      <c r="R200" s="34"/>
      <c r="S200" s="34"/>
      <c r="T200" s="34"/>
      <c r="U200" s="34"/>
      <c r="V200" s="34"/>
      <c r="W200" s="34"/>
      <c r="X200" s="34"/>
      <c r="Y200" s="34"/>
      <c r="Z200" s="34"/>
      <c r="AA200" s="34"/>
      <c r="AB200" s="34"/>
      <c r="AC200" s="34"/>
    </row>
    <row r="201" spans="3:29" x14ac:dyDescent="0.2"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  <c r="R201" s="34"/>
      <c r="S201" s="34"/>
      <c r="T201" s="34"/>
      <c r="U201" s="34"/>
      <c r="V201" s="34"/>
      <c r="W201" s="34"/>
      <c r="X201" s="34"/>
      <c r="Y201" s="34"/>
      <c r="Z201" s="34"/>
      <c r="AA201" s="34"/>
      <c r="AB201" s="34"/>
      <c r="AC201" s="34"/>
    </row>
    <row r="202" spans="3:29" x14ac:dyDescent="0.2"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  <c r="R202" s="34"/>
      <c r="S202" s="34"/>
      <c r="T202" s="34"/>
      <c r="U202" s="34"/>
      <c r="V202" s="34"/>
      <c r="W202" s="34"/>
      <c r="X202" s="34"/>
      <c r="Y202" s="34"/>
      <c r="Z202" s="34"/>
      <c r="AA202" s="34"/>
      <c r="AB202" s="34"/>
      <c r="AC202" s="34"/>
    </row>
    <row r="203" spans="3:29" x14ac:dyDescent="0.2"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  <c r="R203" s="34"/>
      <c r="S203" s="34"/>
      <c r="T203" s="34"/>
      <c r="U203" s="34"/>
      <c r="V203" s="34"/>
      <c r="W203" s="34"/>
      <c r="X203" s="34"/>
      <c r="Y203" s="34"/>
      <c r="Z203" s="34"/>
      <c r="AA203" s="34"/>
      <c r="AB203" s="34"/>
      <c r="AC203" s="34"/>
    </row>
    <row r="204" spans="3:29" x14ac:dyDescent="0.2"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  <c r="R204" s="34"/>
      <c r="S204" s="34"/>
      <c r="T204" s="34"/>
      <c r="U204" s="34"/>
      <c r="V204" s="34"/>
      <c r="W204" s="34"/>
      <c r="X204" s="34"/>
      <c r="Y204" s="34"/>
      <c r="Z204" s="34"/>
      <c r="AA204" s="34"/>
      <c r="AB204" s="34"/>
      <c r="AC204" s="34"/>
    </row>
    <row r="205" spans="3:29" x14ac:dyDescent="0.2"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  <c r="R205" s="34"/>
      <c r="S205" s="34"/>
      <c r="T205" s="34"/>
      <c r="U205" s="34"/>
      <c r="V205" s="34"/>
      <c r="W205" s="34"/>
      <c r="X205" s="34"/>
      <c r="Y205" s="34"/>
      <c r="Z205" s="34"/>
      <c r="AA205" s="34"/>
      <c r="AB205" s="34"/>
      <c r="AC205" s="34"/>
    </row>
    <row r="206" spans="3:29" x14ac:dyDescent="0.2"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  <c r="R206" s="34"/>
      <c r="S206" s="34"/>
      <c r="T206" s="34"/>
      <c r="U206" s="34"/>
      <c r="V206" s="34"/>
      <c r="W206" s="34"/>
      <c r="X206" s="34"/>
      <c r="Y206" s="34"/>
      <c r="Z206" s="34"/>
      <c r="AA206" s="34"/>
      <c r="AB206" s="34"/>
      <c r="AC206" s="34"/>
    </row>
    <row r="207" spans="3:29" x14ac:dyDescent="0.2"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  <c r="R207" s="34"/>
      <c r="S207" s="34"/>
      <c r="T207" s="34"/>
      <c r="U207" s="34"/>
      <c r="V207" s="34"/>
      <c r="W207" s="34"/>
      <c r="X207" s="34"/>
      <c r="Y207" s="34"/>
      <c r="Z207" s="34"/>
      <c r="AA207" s="34"/>
      <c r="AB207" s="34"/>
      <c r="AC207" s="34"/>
    </row>
    <row r="208" spans="3:29" x14ac:dyDescent="0.2"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  <c r="R208" s="34"/>
      <c r="S208" s="34"/>
      <c r="T208" s="34"/>
      <c r="U208" s="34"/>
      <c r="V208" s="34"/>
      <c r="W208" s="34"/>
      <c r="X208" s="34"/>
      <c r="Y208" s="34"/>
      <c r="Z208" s="34"/>
      <c r="AA208" s="34"/>
      <c r="AB208" s="34"/>
      <c r="AC208" s="34"/>
    </row>
    <row r="209" spans="3:29" x14ac:dyDescent="0.2"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  <c r="R209" s="34"/>
      <c r="S209" s="34"/>
      <c r="T209" s="34"/>
      <c r="U209" s="34"/>
      <c r="V209" s="34"/>
      <c r="W209" s="34"/>
      <c r="X209" s="34"/>
      <c r="Y209" s="34"/>
      <c r="Z209" s="34"/>
      <c r="AA209" s="34"/>
      <c r="AB209" s="34"/>
      <c r="AC209" s="34"/>
    </row>
    <row r="210" spans="3:29" x14ac:dyDescent="0.2"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  <c r="R210" s="34"/>
      <c r="S210" s="34"/>
      <c r="T210" s="34"/>
      <c r="U210" s="34"/>
      <c r="V210" s="34"/>
      <c r="W210" s="34"/>
      <c r="X210" s="34"/>
      <c r="Y210" s="34"/>
      <c r="Z210" s="34"/>
      <c r="AA210" s="34"/>
      <c r="AB210" s="34"/>
      <c r="AC210" s="34"/>
    </row>
    <row r="211" spans="3:29" x14ac:dyDescent="0.2"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  <c r="R211" s="34"/>
      <c r="S211" s="34"/>
      <c r="T211" s="34"/>
      <c r="U211" s="34"/>
      <c r="V211" s="34"/>
      <c r="W211" s="34"/>
      <c r="X211" s="34"/>
      <c r="Y211" s="34"/>
      <c r="Z211" s="34"/>
      <c r="AA211" s="34"/>
      <c r="AB211" s="34"/>
      <c r="AC211" s="34"/>
    </row>
    <row r="212" spans="3:29" x14ac:dyDescent="0.2"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  <c r="R212" s="34"/>
      <c r="S212" s="34"/>
      <c r="T212" s="34"/>
      <c r="U212" s="34"/>
      <c r="V212" s="34"/>
      <c r="W212" s="34"/>
      <c r="X212" s="34"/>
      <c r="Y212" s="34"/>
      <c r="Z212" s="34"/>
      <c r="AA212" s="34"/>
      <c r="AB212" s="34"/>
      <c r="AC212" s="34"/>
    </row>
    <row r="213" spans="3:29" x14ac:dyDescent="0.2"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  <c r="R213" s="34"/>
      <c r="S213" s="34"/>
      <c r="T213" s="34"/>
      <c r="U213" s="34"/>
      <c r="V213" s="34"/>
      <c r="W213" s="34"/>
      <c r="X213" s="34"/>
      <c r="Y213" s="34"/>
      <c r="Z213" s="34"/>
      <c r="AA213" s="34"/>
      <c r="AB213" s="34"/>
      <c r="AC213" s="34"/>
    </row>
    <row r="214" spans="3:29" x14ac:dyDescent="0.2"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  <c r="R214" s="34"/>
      <c r="S214" s="34"/>
      <c r="T214" s="34"/>
      <c r="U214" s="34"/>
      <c r="V214" s="34"/>
      <c r="W214" s="34"/>
      <c r="X214" s="34"/>
      <c r="Y214" s="34"/>
      <c r="Z214" s="34"/>
      <c r="AA214" s="34"/>
      <c r="AB214" s="34"/>
      <c r="AC214" s="34"/>
    </row>
    <row r="215" spans="3:29" x14ac:dyDescent="0.2"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  <c r="R215" s="34"/>
      <c r="S215" s="34"/>
      <c r="T215" s="34"/>
      <c r="U215" s="34"/>
      <c r="V215" s="34"/>
      <c r="W215" s="34"/>
      <c r="X215" s="34"/>
      <c r="Y215" s="34"/>
      <c r="Z215" s="34"/>
      <c r="AA215" s="34"/>
      <c r="AB215" s="34"/>
      <c r="AC215" s="34"/>
    </row>
    <row r="216" spans="3:29" x14ac:dyDescent="0.2"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  <c r="R216" s="34"/>
      <c r="S216" s="34"/>
      <c r="T216" s="34"/>
      <c r="U216" s="34"/>
      <c r="V216" s="34"/>
      <c r="W216" s="34"/>
      <c r="X216" s="34"/>
      <c r="Y216" s="34"/>
      <c r="Z216" s="34"/>
      <c r="AA216" s="34"/>
      <c r="AB216" s="34"/>
      <c r="AC216" s="34"/>
    </row>
    <row r="217" spans="3:29" x14ac:dyDescent="0.2"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  <c r="R217" s="34"/>
      <c r="S217" s="34"/>
      <c r="T217" s="34"/>
      <c r="U217" s="34"/>
      <c r="V217" s="34"/>
      <c r="W217" s="34"/>
      <c r="X217" s="34"/>
      <c r="Y217" s="34"/>
      <c r="Z217" s="34"/>
      <c r="AA217" s="34"/>
      <c r="AB217" s="34"/>
      <c r="AC217" s="34"/>
    </row>
    <row r="218" spans="3:29" x14ac:dyDescent="0.2"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  <c r="R218" s="34"/>
      <c r="S218" s="34"/>
      <c r="T218" s="34"/>
      <c r="U218" s="34"/>
      <c r="V218" s="34"/>
      <c r="W218" s="34"/>
      <c r="X218" s="34"/>
      <c r="Y218" s="34"/>
      <c r="Z218" s="34"/>
      <c r="AA218" s="34"/>
      <c r="AB218" s="34"/>
      <c r="AC218" s="34"/>
    </row>
    <row r="219" spans="3:29" x14ac:dyDescent="0.2"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  <c r="R219" s="34"/>
      <c r="S219" s="34"/>
      <c r="T219" s="34"/>
      <c r="U219" s="34"/>
      <c r="V219" s="34"/>
      <c r="W219" s="34"/>
      <c r="X219" s="34"/>
      <c r="Y219" s="34"/>
      <c r="Z219" s="34"/>
      <c r="AA219" s="34"/>
      <c r="AB219" s="34"/>
      <c r="AC219" s="34"/>
    </row>
    <row r="220" spans="3:29" x14ac:dyDescent="0.2"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  <c r="R220" s="34"/>
      <c r="S220" s="34"/>
      <c r="T220" s="34"/>
      <c r="U220" s="34"/>
      <c r="V220" s="34"/>
      <c r="W220" s="34"/>
      <c r="X220" s="34"/>
      <c r="Y220" s="34"/>
      <c r="Z220" s="34"/>
      <c r="AA220" s="34"/>
      <c r="AB220" s="34"/>
      <c r="AC220" s="34"/>
    </row>
    <row r="221" spans="3:29" x14ac:dyDescent="0.2"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  <c r="R221" s="34"/>
      <c r="S221" s="34"/>
      <c r="T221" s="34"/>
      <c r="U221" s="34"/>
      <c r="V221" s="34"/>
      <c r="W221" s="34"/>
      <c r="X221" s="34"/>
      <c r="Y221" s="34"/>
      <c r="Z221" s="34"/>
      <c r="AA221" s="34"/>
      <c r="AB221" s="34"/>
      <c r="AC221" s="34"/>
    </row>
    <row r="222" spans="3:29" x14ac:dyDescent="0.2"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  <c r="R222" s="34"/>
      <c r="S222" s="34"/>
      <c r="T222" s="34"/>
      <c r="U222" s="34"/>
      <c r="V222" s="34"/>
      <c r="W222" s="34"/>
      <c r="X222" s="34"/>
      <c r="Y222" s="34"/>
      <c r="Z222" s="34"/>
      <c r="AA222" s="34"/>
      <c r="AB222" s="34"/>
      <c r="AC222" s="34"/>
    </row>
    <row r="223" spans="3:29" x14ac:dyDescent="0.2"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  <c r="R223" s="34"/>
      <c r="S223" s="34"/>
      <c r="T223" s="34"/>
      <c r="U223" s="34"/>
      <c r="V223" s="34"/>
      <c r="W223" s="34"/>
      <c r="X223" s="34"/>
      <c r="Y223" s="34"/>
      <c r="Z223" s="34"/>
      <c r="AA223" s="34"/>
      <c r="AB223" s="34"/>
      <c r="AC223" s="34"/>
    </row>
    <row r="224" spans="3:29" x14ac:dyDescent="0.2"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  <c r="R224" s="34"/>
      <c r="S224" s="34"/>
      <c r="T224" s="34"/>
      <c r="U224" s="34"/>
      <c r="V224" s="34"/>
      <c r="W224" s="34"/>
      <c r="X224" s="34"/>
      <c r="Y224" s="34"/>
      <c r="Z224" s="34"/>
      <c r="AA224" s="34"/>
      <c r="AB224" s="34"/>
      <c r="AC224" s="34"/>
    </row>
    <row r="225" spans="3:29" x14ac:dyDescent="0.2"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  <c r="R225" s="34"/>
      <c r="S225" s="34"/>
      <c r="T225" s="34"/>
      <c r="U225" s="34"/>
      <c r="V225" s="34"/>
      <c r="W225" s="34"/>
      <c r="X225" s="34"/>
      <c r="Y225" s="34"/>
      <c r="Z225" s="34"/>
      <c r="AA225" s="34"/>
      <c r="AB225" s="34"/>
      <c r="AC225" s="34"/>
    </row>
    <row r="226" spans="3:29" x14ac:dyDescent="0.2"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  <c r="R226" s="34"/>
      <c r="S226" s="34"/>
      <c r="T226" s="34"/>
      <c r="U226" s="34"/>
      <c r="V226" s="34"/>
      <c r="W226" s="34"/>
      <c r="X226" s="34"/>
      <c r="Y226" s="34"/>
      <c r="Z226" s="34"/>
      <c r="AA226" s="34"/>
      <c r="AB226" s="34"/>
      <c r="AC226" s="34"/>
    </row>
    <row r="227" spans="3:29" x14ac:dyDescent="0.2"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  <c r="R227" s="34"/>
      <c r="S227" s="34"/>
      <c r="T227" s="34"/>
      <c r="U227" s="34"/>
      <c r="V227" s="34"/>
      <c r="W227" s="34"/>
      <c r="X227" s="34"/>
      <c r="Y227" s="34"/>
      <c r="Z227" s="34"/>
      <c r="AA227" s="34"/>
      <c r="AB227" s="34"/>
      <c r="AC227" s="34"/>
    </row>
    <row r="228" spans="3:29" x14ac:dyDescent="0.2"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  <c r="R228" s="34"/>
      <c r="S228" s="34"/>
      <c r="T228" s="34"/>
      <c r="U228" s="34"/>
      <c r="V228" s="34"/>
      <c r="W228" s="34"/>
      <c r="X228" s="34"/>
      <c r="Y228" s="34"/>
      <c r="Z228" s="34"/>
      <c r="AA228" s="34"/>
      <c r="AB228" s="34"/>
      <c r="AC228" s="34"/>
    </row>
    <row r="229" spans="3:29" x14ac:dyDescent="0.2"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  <c r="R229" s="34"/>
      <c r="S229" s="34"/>
      <c r="T229" s="34"/>
      <c r="U229" s="34"/>
      <c r="V229" s="34"/>
      <c r="W229" s="34"/>
      <c r="X229" s="34"/>
      <c r="Y229" s="34"/>
      <c r="Z229" s="34"/>
      <c r="AA229" s="34"/>
      <c r="AB229" s="34"/>
      <c r="AC229" s="34"/>
    </row>
    <row r="230" spans="3:29" x14ac:dyDescent="0.2"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  <c r="R230" s="34"/>
      <c r="S230" s="34"/>
      <c r="T230" s="34"/>
      <c r="U230" s="34"/>
      <c r="V230" s="34"/>
      <c r="W230" s="34"/>
      <c r="X230" s="34"/>
      <c r="Y230" s="34"/>
      <c r="Z230" s="34"/>
      <c r="AA230" s="34"/>
      <c r="AB230" s="34"/>
      <c r="AC230" s="34"/>
    </row>
    <row r="231" spans="3:29" x14ac:dyDescent="0.2"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  <c r="R231" s="34"/>
      <c r="S231" s="34"/>
      <c r="T231" s="34"/>
      <c r="U231" s="34"/>
      <c r="V231" s="34"/>
      <c r="W231" s="34"/>
      <c r="X231" s="34"/>
      <c r="Y231" s="34"/>
      <c r="Z231" s="34"/>
      <c r="AA231" s="34"/>
      <c r="AB231" s="34"/>
      <c r="AC231" s="34"/>
    </row>
    <row r="232" spans="3:29" x14ac:dyDescent="0.2"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  <c r="R232" s="34"/>
      <c r="S232" s="34"/>
      <c r="T232" s="34"/>
      <c r="U232" s="34"/>
      <c r="V232" s="34"/>
      <c r="W232" s="34"/>
      <c r="X232" s="34"/>
      <c r="Y232" s="34"/>
      <c r="Z232" s="34"/>
      <c r="AA232" s="34"/>
      <c r="AB232" s="34"/>
      <c r="AC232" s="34"/>
    </row>
    <row r="233" spans="3:29" x14ac:dyDescent="0.2"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  <c r="R233" s="34"/>
      <c r="S233" s="34"/>
      <c r="T233" s="34"/>
      <c r="U233" s="34"/>
      <c r="V233" s="34"/>
      <c r="W233" s="34"/>
      <c r="X233" s="34"/>
      <c r="Y233" s="34"/>
      <c r="Z233" s="34"/>
      <c r="AA233" s="34"/>
      <c r="AB233" s="34"/>
      <c r="AC233" s="34"/>
    </row>
  </sheetData>
  <mergeCells count="3">
    <mergeCell ref="A1:Q1"/>
    <mergeCell ref="A2:Q2"/>
    <mergeCell ref="A3:Q3"/>
  </mergeCells>
  <dataValidations count="1">
    <dataValidation type="list" allowBlank="1" showInputMessage="1" showErrorMessage="1" sqref="O9 C9 M9 G9 I9 K9 E9">
      <formula1>$AC$1:$AC$4</formula1>
    </dataValidation>
  </dataValidations>
  <printOptions horizontalCentered="1"/>
  <pageMargins left="0.75" right="0.75" top="1" bottom="1" header="0.5" footer="0.5"/>
  <pageSetup scale="67" orientation="landscape" r:id="rId1"/>
  <headerFooter alignWithMargins="0">
    <oddFooter>&amp;R&amp;"Times New Roman,Bold"&amp;12Case No. 2018-00295
Attachment 6 to Response to US DOD-2 Question No. 7   
Page &amp;P of &amp;N
Garrett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0"/>
  <sheetViews>
    <sheetView workbookViewId="0">
      <selection sqref="A1:R1"/>
    </sheetView>
  </sheetViews>
  <sheetFormatPr defaultRowHeight="15.75" x14ac:dyDescent="0.25"/>
  <cols>
    <col min="1" max="1" width="9.140625" style="113"/>
    <col min="2" max="2" width="5.140625" style="113" customWidth="1"/>
    <col min="3" max="3" width="35.28515625" style="113" customWidth="1"/>
    <col min="4" max="4" width="4" style="113" customWidth="1"/>
    <col min="5" max="5" width="14.42578125" style="84" customWidth="1"/>
    <col min="6" max="6" width="2.85546875" style="84" customWidth="1"/>
    <col min="7" max="7" width="14.7109375" style="84" customWidth="1"/>
    <col min="8" max="8" width="2.7109375" style="84" customWidth="1"/>
    <col min="9" max="9" width="14.5703125" style="84" bestFit="1" customWidth="1"/>
    <col min="10" max="10" width="2.28515625" style="113" customWidth="1"/>
    <col min="11" max="11" width="15.28515625" style="113" bestFit="1" customWidth="1"/>
    <col min="12" max="12" width="3.140625" style="113" customWidth="1"/>
    <col min="13" max="13" width="11.5703125" style="113" bestFit="1" customWidth="1"/>
    <col min="14" max="14" width="12" style="113" bestFit="1" customWidth="1"/>
    <col min="15" max="255" width="9.140625" style="113"/>
    <col min="256" max="256" width="5.140625" style="113" customWidth="1"/>
    <col min="257" max="257" width="19.85546875" style="113" customWidth="1"/>
    <col min="258" max="258" width="4" style="113" customWidth="1"/>
    <col min="259" max="259" width="14.42578125" style="113" customWidth="1"/>
    <col min="260" max="260" width="2.85546875" style="113" customWidth="1"/>
    <col min="261" max="261" width="14.7109375" style="113" customWidth="1"/>
    <col min="262" max="262" width="2.7109375" style="113" customWidth="1"/>
    <col min="263" max="263" width="14.5703125" style="113" bestFit="1" customWidth="1"/>
    <col min="264" max="264" width="2.28515625" style="113" customWidth="1"/>
    <col min="265" max="265" width="15.28515625" style="113" bestFit="1" customWidth="1"/>
    <col min="266" max="266" width="13.5703125" style="113" bestFit="1" customWidth="1"/>
    <col min="267" max="267" width="14" style="113" bestFit="1" customWidth="1"/>
    <col min="268" max="268" width="13.42578125" style="113" bestFit="1" customWidth="1"/>
    <col min="269" max="511" width="9.140625" style="113"/>
    <col min="512" max="512" width="5.140625" style="113" customWidth="1"/>
    <col min="513" max="513" width="19.85546875" style="113" customWidth="1"/>
    <col min="514" max="514" width="4" style="113" customWidth="1"/>
    <col min="515" max="515" width="14.42578125" style="113" customWidth="1"/>
    <col min="516" max="516" width="2.85546875" style="113" customWidth="1"/>
    <col min="517" max="517" width="14.7109375" style="113" customWidth="1"/>
    <col min="518" max="518" width="2.7109375" style="113" customWidth="1"/>
    <col min="519" max="519" width="14.5703125" style="113" bestFit="1" customWidth="1"/>
    <col min="520" max="520" width="2.28515625" style="113" customWidth="1"/>
    <col min="521" max="521" width="15.28515625" style="113" bestFit="1" customWidth="1"/>
    <col min="522" max="522" width="13.5703125" style="113" bestFit="1" customWidth="1"/>
    <col min="523" max="523" width="14" style="113" bestFit="1" customWidth="1"/>
    <col min="524" max="524" width="13.42578125" style="113" bestFit="1" customWidth="1"/>
    <col min="525" max="767" width="9.140625" style="113"/>
    <col min="768" max="768" width="5.140625" style="113" customWidth="1"/>
    <col min="769" max="769" width="19.85546875" style="113" customWidth="1"/>
    <col min="770" max="770" width="4" style="113" customWidth="1"/>
    <col min="771" max="771" width="14.42578125" style="113" customWidth="1"/>
    <col min="772" max="772" width="2.85546875" style="113" customWidth="1"/>
    <col min="773" max="773" width="14.7109375" style="113" customWidth="1"/>
    <col min="774" max="774" width="2.7109375" style="113" customWidth="1"/>
    <col min="775" max="775" width="14.5703125" style="113" bestFit="1" customWidth="1"/>
    <col min="776" max="776" width="2.28515625" style="113" customWidth="1"/>
    <col min="777" max="777" width="15.28515625" style="113" bestFit="1" customWidth="1"/>
    <col min="778" max="778" width="13.5703125" style="113" bestFit="1" customWidth="1"/>
    <col min="779" max="779" width="14" style="113" bestFit="1" customWidth="1"/>
    <col min="780" max="780" width="13.42578125" style="113" bestFit="1" customWidth="1"/>
    <col min="781" max="1023" width="9.140625" style="113"/>
    <col min="1024" max="1024" width="5.140625" style="113" customWidth="1"/>
    <col min="1025" max="1025" width="19.85546875" style="113" customWidth="1"/>
    <col min="1026" max="1026" width="4" style="113" customWidth="1"/>
    <col min="1027" max="1027" width="14.42578125" style="113" customWidth="1"/>
    <col min="1028" max="1028" width="2.85546875" style="113" customWidth="1"/>
    <col min="1029" max="1029" width="14.7109375" style="113" customWidth="1"/>
    <col min="1030" max="1030" width="2.7109375" style="113" customWidth="1"/>
    <col min="1031" max="1031" width="14.5703125" style="113" bestFit="1" customWidth="1"/>
    <col min="1032" max="1032" width="2.28515625" style="113" customWidth="1"/>
    <col min="1033" max="1033" width="15.28515625" style="113" bestFit="1" customWidth="1"/>
    <col min="1034" max="1034" width="13.5703125" style="113" bestFit="1" customWidth="1"/>
    <col min="1035" max="1035" width="14" style="113" bestFit="1" customWidth="1"/>
    <col min="1036" max="1036" width="13.42578125" style="113" bestFit="1" customWidth="1"/>
    <col min="1037" max="1279" width="9.140625" style="113"/>
    <col min="1280" max="1280" width="5.140625" style="113" customWidth="1"/>
    <col min="1281" max="1281" width="19.85546875" style="113" customWidth="1"/>
    <col min="1282" max="1282" width="4" style="113" customWidth="1"/>
    <col min="1283" max="1283" width="14.42578125" style="113" customWidth="1"/>
    <col min="1284" max="1284" width="2.85546875" style="113" customWidth="1"/>
    <col min="1285" max="1285" width="14.7109375" style="113" customWidth="1"/>
    <col min="1286" max="1286" width="2.7109375" style="113" customWidth="1"/>
    <col min="1287" max="1287" width="14.5703125" style="113" bestFit="1" customWidth="1"/>
    <col min="1288" max="1288" width="2.28515625" style="113" customWidth="1"/>
    <col min="1289" max="1289" width="15.28515625" style="113" bestFit="1" customWidth="1"/>
    <col min="1290" max="1290" width="13.5703125" style="113" bestFit="1" customWidth="1"/>
    <col min="1291" max="1291" width="14" style="113" bestFit="1" customWidth="1"/>
    <col min="1292" max="1292" width="13.42578125" style="113" bestFit="1" customWidth="1"/>
    <col min="1293" max="1535" width="9.140625" style="113"/>
    <col min="1536" max="1536" width="5.140625" style="113" customWidth="1"/>
    <col min="1537" max="1537" width="19.85546875" style="113" customWidth="1"/>
    <col min="1538" max="1538" width="4" style="113" customWidth="1"/>
    <col min="1539" max="1539" width="14.42578125" style="113" customWidth="1"/>
    <col min="1540" max="1540" width="2.85546875" style="113" customWidth="1"/>
    <col min="1541" max="1541" width="14.7109375" style="113" customWidth="1"/>
    <col min="1542" max="1542" width="2.7109375" style="113" customWidth="1"/>
    <col min="1543" max="1543" width="14.5703125" style="113" bestFit="1" customWidth="1"/>
    <col min="1544" max="1544" width="2.28515625" style="113" customWidth="1"/>
    <col min="1545" max="1545" width="15.28515625" style="113" bestFit="1" customWidth="1"/>
    <col min="1546" max="1546" width="13.5703125" style="113" bestFit="1" customWidth="1"/>
    <col min="1547" max="1547" width="14" style="113" bestFit="1" customWidth="1"/>
    <col min="1548" max="1548" width="13.42578125" style="113" bestFit="1" customWidth="1"/>
    <col min="1549" max="1791" width="9.140625" style="113"/>
    <col min="1792" max="1792" width="5.140625" style="113" customWidth="1"/>
    <col min="1793" max="1793" width="19.85546875" style="113" customWidth="1"/>
    <col min="1794" max="1794" width="4" style="113" customWidth="1"/>
    <col min="1795" max="1795" width="14.42578125" style="113" customWidth="1"/>
    <col min="1796" max="1796" width="2.85546875" style="113" customWidth="1"/>
    <col min="1797" max="1797" width="14.7109375" style="113" customWidth="1"/>
    <col min="1798" max="1798" width="2.7109375" style="113" customWidth="1"/>
    <col min="1799" max="1799" width="14.5703125" style="113" bestFit="1" customWidth="1"/>
    <col min="1800" max="1800" width="2.28515625" style="113" customWidth="1"/>
    <col min="1801" max="1801" width="15.28515625" style="113" bestFit="1" customWidth="1"/>
    <col min="1802" max="1802" width="13.5703125" style="113" bestFit="1" customWidth="1"/>
    <col min="1803" max="1803" width="14" style="113" bestFit="1" customWidth="1"/>
    <col min="1804" max="1804" width="13.42578125" style="113" bestFit="1" customWidth="1"/>
    <col min="1805" max="2047" width="9.140625" style="113"/>
    <col min="2048" max="2048" width="5.140625" style="113" customWidth="1"/>
    <col min="2049" max="2049" width="19.85546875" style="113" customWidth="1"/>
    <col min="2050" max="2050" width="4" style="113" customWidth="1"/>
    <col min="2051" max="2051" width="14.42578125" style="113" customWidth="1"/>
    <col min="2052" max="2052" width="2.85546875" style="113" customWidth="1"/>
    <col min="2053" max="2053" width="14.7109375" style="113" customWidth="1"/>
    <col min="2054" max="2054" width="2.7109375" style="113" customWidth="1"/>
    <col min="2055" max="2055" width="14.5703125" style="113" bestFit="1" customWidth="1"/>
    <col min="2056" max="2056" width="2.28515625" style="113" customWidth="1"/>
    <col min="2057" max="2057" width="15.28515625" style="113" bestFit="1" customWidth="1"/>
    <col min="2058" max="2058" width="13.5703125" style="113" bestFit="1" customWidth="1"/>
    <col min="2059" max="2059" width="14" style="113" bestFit="1" customWidth="1"/>
    <col min="2060" max="2060" width="13.42578125" style="113" bestFit="1" customWidth="1"/>
    <col min="2061" max="2303" width="9.140625" style="113"/>
    <col min="2304" max="2304" width="5.140625" style="113" customWidth="1"/>
    <col min="2305" max="2305" width="19.85546875" style="113" customWidth="1"/>
    <col min="2306" max="2306" width="4" style="113" customWidth="1"/>
    <col min="2307" max="2307" width="14.42578125" style="113" customWidth="1"/>
    <col min="2308" max="2308" width="2.85546875" style="113" customWidth="1"/>
    <col min="2309" max="2309" width="14.7109375" style="113" customWidth="1"/>
    <col min="2310" max="2310" width="2.7109375" style="113" customWidth="1"/>
    <col min="2311" max="2311" width="14.5703125" style="113" bestFit="1" customWidth="1"/>
    <col min="2312" max="2312" width="2.28515625" style="113" customWidth="1"/>
    <col min="2313" max="2313" width="15.28515625" style="113" bestFit="1" customWidth="1"/>
    <col min="2314" max="2314" width="13.5703125" style="113" bestFit="1" customWidth="1"/>
    <col min="2315" max="2315" width="14" style="113" bestFit="1" customWidth="1"/>
    <col min="2316" max="2316" width="13.42578125" style="113" bestFit="1" customWidth="1"/>
    <col min="2317" max="2559" width="9.140625" style="113"/>
    <col min="2560" max="2560" width="5.140625" style="113" customWidth="1"/>
    <col min="2561" max="2561" width="19.85546875" style="113" customWidth="1"/>
    <col min="2562" max="2562" width="4" style="113" customWidth="1"/>
    <col min="2563" max="2563" width="14.42578125" style="113" customWidth="1"/>
    <col min="2564" max="2564" width="2.85546875" style="113" customWidth="1"/>
    <col min="2565" max="2565" width="14.7109375" style="113" customWidth="1"/>
    <col min="2566" max="2566" width="2.7109375" style="113" customWidth="1"/>
    <col min="2567" max="2567" width="14.5703125" style="113" bestFit="1" customWidth="1"/>
    <col min="2568" max="2568" width="2.28515625" style="113" customWidth="1"/>
    <col min="2569" max="2569" width="15.28515625" style="113" bestFit="1" customWidth="1"/>
    <col min="2570" max="2570" width="13.5703125" style="113" bestFit="1" customWidth="1"/>
    <col min="2571" max="2571" width="14" style="113" bestFit="1" customWidth="1"/>
    <col min="2572" max="2572" width="13.42578125" style="113" bestFit="1" customWidth="1"/>
    <col min="2573" max="2815" width="9.140625" style="113"/>
    <col min="2816" max="2816" width="5.140625" style="113" customWidth="1"/>
    <col min="2817" max="2817" width="19.85546875" style="113" customWidth="1"/>
    <col min="2818" max="2818" width="4" style="113" customWidth="1"/>
    <col min="2819" max="2819" width="14.42578125" style="113" customWidth="1"/>
    <col min="2820" max="2820" width="2.85546875" style="113" customWidth="1"/>
    <col min="2821" max="2821" width="14.7109375" style="113" customWidth="1"/>
    <col min="2822" max="2822" width="2.7109375" style="113" customWidth="1"/>
    <col min="2823" max="2823" width="14.5703125" style="113" bestFit="1" customWidth="1"/>
    <col min="2824" max="2824" width="2.28515625" style="113" customWidth="1"/>
    <col min="2825" max="2825" width="15.28515625" style="113" bestFit="1" customWidth="1"/>
    <col min="2826" max="2826" width="13.5703125" style="113" bestFit="1" customWidth="1"/>
    <col min="2827" max="2827" width="14" style="113" bestFit="1" customWidth="1"/>
    <col min="2828" max="2828" width="13.42578125" style="113" bestFit="1" customWidth="1"/>
    <col min="2829" max="3071" width="9.140625" style="113"/>
    <col min="3072" max="3072" width="5.140625" style="113" customWidth="1"/>
    <col min="3073" max="3073" width="19.85546875" style="113" customWidth="1"/>
    <col min="3074" max="3074" width="4" style="113" customWidth="1"/>
    <col min="3075" max="3075" width="14.42578125" style="113" customWidth="1"/>
    <col min="3076" max="3076" width="2.85546875" style="113" customWidth="1"/>
    <col min="3077" max="3077" width="14.7109375" style="113" customWidth="1"/>
    <col min="3078" max="3078" width="2.7109375" style="113" customWidth="1"/>
    <col min="3079" max="3079" width="14.5703125" style="113" bestFit="1" customWidth="1"/>
    <col min="3080" max="3080" width="2.28515625" style="113" customWidth="1"/>
    <col min="3081" max="3081" width="15.28515625" style="113" bestFit="1" customWidth="1"/>
    <col min="3082" max="3082" width="13.5703125" style="113" bestFit="1" customWidth="1"/>
    <col min="3083" max="3083" width="14" style="113" bestFit="1" customWidth="1"/>
    <col min="3084" max="3084" width="13.42578125" style="113" bestFit="1" customWidth="1"/>
    <col min="3085" max="3327" width="9.140625" style="113"/>
    <col min="3328" max="3328" width="5.140625" style="113" customWidth="1"/>
    <col min="3329" max="3329" width="19.85546875" style="113" customWidth="1"/>
    <col min="3330" max="3330" width="4" style="113" customWidth="1"/>
    <col min="3331" max="3331" width="14.42578125" style="113" customWidth="1"/>
    <col min="3332" max="3332" width="2.85546875" style="113" customWidth="1"/>
    <col min="3333" max="3333" width="14.7109375" style="113" customWidth="1"/>
    <col min="3334" max="3334" width="2.7109375" style="113" customWidth="1"/>
    <col min="3335" max="3335" width="14.5703125" style="113" bestFit="1" customWidth="1"/>
    <col min="3336" max="3336" width="2.28515625" style="113" customWidth="1"/>
    <col min="3337" max="3337" width="15.28515625" style="113" bestFit="1" customWidth="1"/>
    <col min="3338" max="3338" width="13.5703125" style="113" bestFit="1" customWidth="1"/>
    <col min="3339" max="3339" width="14" style="113" bestFit="1" customWidth="1"/>
    <col min="3340" max="3340" width="13.42578125" style="113" bestFit="1" customWidth="1"/>
    <col min="3341" max="3583" width="9.140625" style="113"/>
    <col min="3584" max="3584" width="5.140625" style="113" customWidth="1"/>
    <col min="3585" max="3585" width="19.85546875" style="113" customWidth="1"/>
    <col min="3586" max="3586" width="4" style="113" customWidth="1"/>
    <col min="3587" max="3587" width="14.42578125" style="113" customWidth="1"/>
    <col min="3588" max="3588" width="2.85546875" style="113" customWidth="1"/>
    <col min="3589" max="3589" width="14.7109375" style="113" customWidth="1"/>
    <col min="3590" max="3590" width="2.7109375" style="113" customWidth="1"/>
    <col min="3591" max="3591" width="14.5703125" style="113" bestFit="1" customWidth="1"/>
    <col min="3592" max="3592" width="2.28515625" style="113" customWidth="1"/>
    <col min="3593" max="3593" width="15.28515625" style="113" bestFit="1" customWidth="1"/>
    <col min="3594" max="3594" width="13.5703125" style="113" bestFit="1" customWidth="1"/>
    <col min="3595" max="3595" width="14" style="113" bestFit="1" customWidth="1"/>
    <col min="3596" max="3596" width="13.42578125" style="113" bestFit="1" customWidth="1"/>
    <col min="3597" max="3839" width="9.140625" style="113"/>
    <col min="3840" max="3840" width="5.140625" style="113" customWidth="1"/>
    <col min="3841" max="3841" width="19.85546875" style="113" customWidth="1"/>
    <col min="3842" max="3842" width="4" style="113" customWidth="1"/>
    <col min="3843" max="3843" width="14.42578125" style="113" customWidth="1"/>
    <col min="3844" max="3844" width="2.85546875" style="113" customWidth="1"/>
    <col min="3845" max="3845" width="14.7109375" style="113" customWidth="1"/>
    <col min="3846" max="3846" width="2.7109375" style="113" customWidth="1"/>
    <col min="3847" max="3847" width="14.5703125" style="113" bestFit="1" customWidth="1"/>
    <col min="3848" max="3848" width="2.28515625" style="113" customWidth="1"/>
    <col min="3849" max="3849" width="15.28515625" style="113" bestFit="1" customWidth="1"/>
    <col min="3850" max="3850" width="13.5703125" style="113" bestFit="1" customWidth="1"/>
    <col min="3851" max="3851" width="14" style="113" bestFit="1" customWidth="1"/>
    <col min="3852" max="3852" width="13.42578125" style="113" bestFit="1" customWidth="1"/>
    <col min="3853" max="4095" width="9.140625" style="113"/>
    <col min="4096" max="4096" width="5.140625" style="113" customWidth="1"/>
    <col min="4097" max="4097" width="19.85546875" style="113" customWidth="1"/>
    <col min="4098" max="4098" width="4" style="113" customWidth="1"/>
    <col min="4099" max="4099" width="14.42578125" style="113" customWidth="1"/>
    <col min="4100" max="4100" width="2.85546875" style="113" customWidth="1"/>
    <col min="4101" max="4101" width="14.7109375" style="113" customWidth="1"/>
    <col min="4102" max="4102" width="2.7109375" style="113" customWidth="1"/>
    <col min="4103" max="4103" width="14.5703125" style="113" bestFit="1" customWidth="1"/>
    <col min="4104" max="4104" width="2.28515625" style="113" customWidth="1"/>
    <col min="4105" max="4105" width="15.28515625" style="113" bestFit="1" customWidth="1"/>
    <col min="4106" max="4106" width="13.5703125" style="113" bestFit="1" customWidth="1"/>
    <col min="4107" max="4107" width="14" style="113" bestFit="1" customWidth="1"/>
    <col min="4108" max="4108" width="13.42578125" style="113" bestFit="1" customWidth="1"/>
    <col min="4109" max="4351" width="9.140625" style="113"/>
    <col min="4352" max="4352" width="5.140625" style="113" customWidth="1"/>
    <col min="4353" max="4353" width="19.85546875" style="113" customWidth="1"/>
    <col min="4354" max="4354" width="4" style="113" customWidth="1"/>
    <col min="4355" max="4355" width="14.42578125" style="113" customWidth="1"/>
    <col min="4356" max="4356" width="2.85546875" style="113" customWidth="1"/>
    <col min="4357" max="4357" width="14.7109375" style="113" customWidth="1"/>
    <col min="4358" max="4358" width="2.7109375" style="113" customWidth="1"/>
    <col min="4359" max="4359" width="14.5703125" style="113" bestFit="1" customWidth="1"/>
    <col min="4360" max="4360" width="2.28515625" style="113" customWidth="1"/>
    <col min="4361" max="4361" width="15.28515625" style="113" bestFit="1" customWidth="1"/>
    <col min="4362" max="4362" width="13.5703125" style="113" bestFit="1" customWidth="1"/>
    <col min="4363" max="4363" width="14" style="113" bestFit="1" customWidth="1"/>
    <col min="4364" max="4364" width="13.42578125" style="113" bestFit="1" customWidth="1"/>
    <col min="4365" max="4607" width="9.140625" style="113"/>
    <col min="4608" max="4608" width="5.140625" style="113" customWidth="1"/>
    <col min="4609" max="4609" width="19.85546875" style="113" customWidth="1"/>
    <col min="4610" max="4610" width="4" style="113" customWidth="1"/>
    <col min="4611" max="4611" width="14.42578125" style="113" customWidth="1"/>
    <col min="4612" max="4612" width="2.85546875" style="113" customWidth="1"/>
    <col min="4613" max="4613" width="14.7109375" style="113" customWidth="1"/>
    <col min="4614" max="4614" width="2.7109375" style="113" customWidth="1"/>
    <col min="4615" max="4615" width="14.5703125" style="113" bestFit="1" customWidth="1"/>
    <col min="4616" max="4616" width="2.28515625" style="113" customWidth="1"/>
    <col min="4617" max="4617" width="15.28515625" style="113" bestFit="1" customWidth="1"/>
    <col min="4618" max="4618" width="13.5703125" style="113" bestFit="1" customWidth="1"/>
    <col min="4619" max="4619" width="14" style="113" bestFit="1" customWidth="1"/>
    <col min="4620" max="4620" width="13.42578125" style="113" bestFit="1" customWidth="1"/>
    <col min="4621" max="4863" width="9.140625" style="113"/>
    <col min="4864" max="4864" width="5.140625" style="113" customWidth="1"/>
    <col min="4865" max="4865" width="19.85546875" style="113" customWidth="1"/>
    <col min="4866" max="4866" width="4" style="113" customWidth="1"/>
    <col min="4867" max="4867" width="14.42578125" style="113" customWidth="1"/>
    <col min="4868" max="4868" width="2.85546875" style="113" customWidth="1"/>
    <col min="4869" max="4869" width="14.7109375" style="113" customWidth="1"/>
    <col min="4870" max="4870" width="2.7109375" style="113" customWidth="1"/>
    <col min="4871" max="4871" width="14.5703125" style="113" bestFit="1" customWidth="1"/>
    <col min="4872" max="4872" width="2.28515625" style="113" customWidth="1"/>
    <col min="4873" max="4873" width="15.28515625" style="113" bestFit="1" customWidth="1"/>
    <col min="4874" max="4874" width="13.5703125" style="113" bestFit="1" customWidth="1"/>
    <col min="4875" max="4875" width="14" style="113" bestFit="1" customWidth="1"/>
    <col min="4876" max="4876" width="13.42578125" style="113" bestFit="1" customWidth="1"/>
    <col min="4877" max="5119" width="9.140625" style="113"/>
    <col min="5120" max="5120" width="5.140625" style="113" customWidth="1"/>
    <col min="5121" max="5121" width="19.85546875" style="113" customWidth="1"/>
    <col min="5122" max="5122" width="4" style="113" customWidth="1"/>
    <col min="5123" max="5123" width="14.42578125" style="113" customWidth="1"/>
    <col min="5124" max="5124" width="2.85546875" style="113" customWidth="1"/>
    <col min="5125" max="5125" width="14.7109375" style="113" customWidth="1"/>
    <col min="5126" max="5126" width="2.7109375" style="113" customWidth="1"/>
    <col min="5127" max="5127" width="14.5703125" style="113" bestFit="1" customWidth="1"/>
    <col min="5128" max="5128" width="2.28515625" style="113" customWidth="1"/>
    <col min="5129" max="5129" width="15.28515625" style="113" bestFit="1" customWidth="1"/>
    <col min="5130" max="5130" width="13.5703125" style="113" bestFit="1" customWidth="1"/>
    <col min="5131" max="5131" width="14" style="113" bestFit="1" customWidth="1"/>
    <col min="5132" max="5132" width="13.42578125" style="113" bestFit="1" customWidth="1"/>
    <col min="5133" max="5375" width="9.140625" style="113"/>
    <col min="5376" max="5376" width="5.140625" style="113" customWidth="1"/>
    <col min="5377" max="5377" width="19.85546875" style="113" customWidth="1"/>
    <col min="5378" max="5378" width="4" style="113" customWidth="1"/>
    <col min="5379" max="5379" width="14.42578125" style="113" customWidth="1"/>
    <col min="5380" max="5380" width="2.85546875" style="113" customWidth="1"/>
    <col min="5381" max="5381" width="14.7109375" style="113" customWidth="1"/>
    <col min="5382" max="5382" width="2.7109375" style="113" customWidth="1"/>
    <col min="5383" max="5383" width="14.5703125" style="113" bestFit="1" customWidth="1"/>
    <col min="5384" max="5384" width="2.28515625" style="113" customWidth="1"/>
    <col min="5385" max="5385" width="15.28515625" style="113" bestFit="1" customWidth="1"/>
    <col min="5386" max="5386" width="13.5703125" style="113" bestFit="1" customWidth="1"/>
    <col min="5387" max="5387" width="14" style="113" bestFit="1" customWidth="1"/>
    <col min="5388" max="5388" width="13.42578125" style="113" bestFit="1" customWidth="1"/>
    <col min="5389" max="5631" width="9.140625" style="113"/>
    <col min="5632" max="5632" width="5.140625" style="113" customWidth="1"/>
    <col min="5633" max="5633" width="19.85546875" style="113" customWidth="1"/>
    <col min="5634" max="5634" width="4" style="113" customWidth="1"/>
    <col min="5635" max="5635" width="14.42578125" style="113" customWidth="1"/>
    <col min="5636" max="5636" width="2.85546875" style="113" customWidth="1"/>
    <col min="5637" max="5637" width="14.7109375" style="113" customWidth="1"/>
    <col min="5638" max="5638" width="2.7109375" style="113" customWidth="1"/>
    <col min="5639" max="5639" width="14.5703125" style="113" bestFit="1" customWidth="1"/>
    <col min="5640" max="5640" width="2.28515625" style="113" customWidth="1"/>
    <col min="5641" max="5641" width="15.28515625" style="113" bestFit="1" customWidth="1"/>
    <col min="5642" max="5642" width="13.5703125" style="113" bestFit="1" customWidth="1"/>
    <col min="5643" max="5643" width="14" style="113" bestFit="1" customWidth="1"/>
    <col min="5644" max="5644" width="13.42578125" style="113" bestFit="1" customWidth="1"/>
    <col min="5645" max="5887" width="9.140625" style="113"/>
    <col min="5888" max="5888" width="5.140625" style="113" customWidth="1"/>
    <col min="5889" max="5889" width="19.85546875" style="113" customWidth="1"/>
    <col min="5890" max="5890" width="4" style="113" customWidth="1"/>
    <col min="5891" max="5891" width="14.42578125" style="113" customWidth="1"/>
    <col min="5892" max="5892" width="2.85546875" style="113" customWidth="1"/>
    <col min="5893" max="5893" width="14.7109375" style="113" customWidth="1"/>
    <col min="5894" max="5894" width="2.7109375" style="113" customWidth="1"/>
    <col min="5895" max="5895" width="14.5703125" style="113" bestFit="1" customWidth="1"/>
    <col min="5896" max="5896" width="2.28515625" style="113" customWidth="1"/>
    <col min="5897" max="5897" width="15.28515625" style="113" bestFit="1" customWidth="1"/>
    <col min="5898" max="5898" width="13.5703125" style="113" bestFit="1" customWidth="1"/>
    <col min="5899" max="5899" width="14" style="113" bestFit="1" customWidth="1"/>
    <col min="5900" max="5900" width="13.42578125" style="113" bestFit="1" customWidth="1"/>
    <col min="5901" max="6143" width="9.140625" style="113"/>
    <col min="6144" max="6144" width="5.140625" style="113" customWidth="1"/>
    <col min="6145" max="6145" width="19.85546875" style="113" customWidth="1"/>
    <col min="6146" max="6146" width="4" style="113" customWidth="1"/>
    <col min="6147" max="6147" width="14.42578125" style="113" customWidth="1"/>
    <col min="6148" max="6148" width="2.85546875" style="113" customWidth="1"/>
    <col min="6149" max="6149" width="14.7109375" style="113" customWidth="1"/>
    <col min="6150" max="6150" width="2.7109375" style="113" customWidth="1"/>
    <col min="6151" max="6151" width="14.5703125" style="113" bestFit="1" customWidth="1"/>
    <col min="6152" max="6152" width="2.28515625" style="113" customWidth="1"/>
    <col min="6153" max="6153" width="15.28515625" style="113" bestFit="1" customWidth="1"/>
    <col min="6154" max="6154" width="13.5703125" style="113" bestFit="1" customWidth="1"/>
    <col min="6155" max="6155" width="14" style="113" bestFit="1" customWidth="1"/>
    <col min="6156" max="6156" width="13.42578125" style="113" bestFit="1" customWidth="1"/>
    <col min="6157" max="6399" width="9.140625" style="113"/>
    <col min="6400" max="6400" width="5.140625" style="113" customWidth="1"/>
    <col min="6401" max="6401" width="19.85546875" style="113" customWidth="1"/>
    <col min="6402" max="6402" width="4" style="113" customWidth="1"/>
    <col min="6403" max="6403" width="14.42578125" style="113" customWidth="1"/>
    <col min="6404" max="6404" width="2.85546875" style="113" customWidth="1"/>
    <col min="6405" max="6405" width="14.7109375" style="113" customWidth="1"/>
    <col min="6406" max="6406" width="2.7109375" style="113" customWidth="1"/>
    <col min="6407" max="6407" width="14.5703125" style="113" bestFit="1" customWidth="1"/>
    <col min="6408" max="6408" width="2.28515625" style="113" customWidth="1"/>
    <col min="6409" max="6409" width="15.28515625" style="113" bestFit="1" customWidth="1"/>
    <col min="6410" max="6410" width="13.5703125" style="113" bestFit="1" customWidth="1"/>
    <col min="6411" max="6411" width="14" style="113" bestFit="1" customWidth="1"/>
    <col min="6412" max="6412" width="13.42578125" style="113" bestFit="1" customWidth="1"/>
    <col min="6413" max="6655" width="9.140625" style="113"/>
    <col min="6656" max="6656" width="5.140625" style="113" customWidth="1"/>
    <col min="6657" max="6657" width="19.85546875" style="113" customWidth="1"/>
    <col min="6658" max="6658" width="4" style="113" customWidth="1"/>
    <col min="6659" max="6659" width="14.42578125" style="113" customWidth="1"/>
    <col min="6660" max="6660" width="2.85546875" style="113" customWidth="1"/>
    <col min="6661" max="6661" width="14.7109375" style="113" customWidth="1"/>
    <col min="6662" max="6662" width="2.7109375" style="113" customWidth="1"/>
    <col min="6663" max="6663" width="14.5703125" style="113" bestFit="1" customWidth="1"/>
    <col min="6664" max="6664" width="2.28515625" style="113" customWidth="1"/>
    <col min="6665" max="6665" width="15.28515625" style="113" bestFit="1" customWidth="1"/>
    <col min="6666" max="6666" width="13.5703125" style="113" bestFit="1" customWidth="1"/>
    <col min="6667" max="6667" width="14" style="113" bestFit="1" customWidth="1"/>
    <col min="6668" max="6668" width="13.42578125" style="113" bestFit="1" customWidth="1"/>
    <col min="6669" max="6911" width="9.140625" style="113"/>
    <col min="6912" max="6912" width="5.140625" style="113" customWidth="1"/>
    <col min="6913" max="6913" width="19.85546875" style="113" customWidth="1"/>
    <col min="6914" max="6914" width="4" style="113" customWidth="1"/>
    <col min="6915" max="6915" width="14.42578125" style="113" customWidth="1"/>
    <col min="6916" max="6916" width="2.85546875" style="113" customWidth="1"/>
    <col min="6917" max="6917" width="14.7109375" style="113" customWidth="1"/>
    <col min="6918" max="6918" width="2.7109375" style="113" customWidth="1"/>
    <col min="6919" max="6919" width="14.5703125" style="113" bestFit="1" customWidth="1"/>
    <col min="6920" max="6920" width="2.28515625" style="113" customWidth="1"/>
    <col min="6921" max="6921" width="15.28515625" style="113" bestFit="1" customWidth="1"/>
    <col min="6922" max="6922" width="13.5703125" style="113" bestFit="1" customWidth="1"/>
    <col min="6923" max="6923" width="14" style="113" bestFit="1" customWidth="1"/>
    <col min="6924" max="6924" width="13.42578125" style="113" bestFit="1" customWidth="1"/>
    <col min="6925" max="7167" width="9.140625" style="113"/>
    <col min="7168" max="7168" width="5.140625" style="113" customWidth="1"/>
    <col min="7169" max="7169" width="19.85546875" style="113" customWidth="1"/>
    <col min="7170" max="7170" width="4" style="113" customWidth="1"/>
    <col min="7171" max="7171" width="14.42578125" style="113" customWidth="1"/>
    <col min="7172" max="7172" width="2.85546875" style="113" customWidth="1"/>
    <col min="7173" max="7173" width="14.7109375" style="113" customWidth="1"/>
    <col min="7174" max="7174" width="2.7109375" style="113" customWidth="1"/>
    <col min="7175" max="7175" width="14.5703125" style="113" bestFit="1" customWidth="1"/>
    <col min="7176" max="7176" width="2.28515625" style="113" customWidth="1"/>
    <col min="7177" max="7177" width="15.28515625" style="113" bestFit="1" customWidth="1"/>
    <col min="7178" max="7178" width="13.5703125" style="113" bestFit="1" customWidth="1"/>
    <col min="7179" max="7179" width="14" style="113" bestFit="1" customWidth="1"/>
    <col min="7180" max="7180" width="13.42578125" style="113" bestFit="1" customWidth="1"/>
    <col min="7181" max="7423" width="9.140625" style="113"/>
    <col min="7424" max="7424" width="5.140625" style="113" customWidth="1"/>
    <col min="7425" max="7425" width="19.85546875" style="113" customWidth="1"/>
    <col min="7426" max="7426" width="4" style="113" customWidth="1"/>
    <col min="7427" max="7427" width="14.42578125" style="113" customWidth="1"/>
    <col min="7428" max="7428" width="2.85546875" style="113" customWidth="1"/>
    <col min="7429" max="7429" width="14.7109375" style="113" customWidth="1"/>
    <col min="7430" max="7430" width="2.7109375" style="113" customWidth="1"/>
    <col min="7431" max="7431" width="14.5703125" style="113" bestFit="1" customWidth="1"/>
    <col min="7432" max="7432" width="2.28515625" style="113" customWidth="1"/>
    <col min="7433" max="7433" width="15.28515625" style="113" bestFit="1" customWidth="1"/>
    <col min="7434" max="7434" width="13.5703125" style="113" bestFit="1" customWidth="1"/>
    <col min="7435" max="7435" width="14" style="113" bestFit="1" customWidth="1"/>
    <col min="7436" max="7436" width="13.42578125" style="113" bestFit="1" customWidth="1"/>
    <col min="7437" max="7679" width="9.140625" style="113"/>
    <col min="7680" max="7680" width="5.140625" style="113" customWidth="1"/>
    <col min="7681" max="7681" width="19.85546875" style="113" customWidth="1"/>
    <col min="7682" max="7682" width="4" style="113" customWidth="1"/>
    <col min="7683" max="7683" width="14.42578125" style="113" customWidth="1"/>
    <col min="7684" max="7684" width="2.85546875" style="113" customWidth="1"/>
    <col min="7685" max="7685" width="14.7109375" style="113" customWidth="1"/>
    <col min="7686" max="7686" width="2.7109375" style="113" customWidth="1"/>
    <col min="7687" max="7687" width="14.5703125" style="113" bestFit="1" customWidth="1"/>
    <col min="7688" max="7688" width="2.28515625" style="113" customWidth="1"/>
    <col min="7689" max="7689" width="15.28515625" style="113" bestFit="1" customWidth="1"/>
    <col min="7690" max="7690" width="13.5703125" style="113" bestFit="1" customWidth="1"/>
    <col min="7691" max="7691" width="14" style="113" bestFit="1" customWidth="1"/>
    <col min="7692" max="7692" width="13.42578125" style="113" bestFit="1" customWidth="1"/>
    <col min="7693" max="7935" width="9.140625" style="113"/>
    <col min="7936" max="7936" width="5.140625" style="113" customWidth="1"/>
    <col min="7937" max="7937" width="19.85546875" style="113" customWidth="1"/>
    <col min="7938" max="7938" width="4" style="113" customWidth="1"/>
    <col min="7939" max="7939" width="14.42578125" style="113" customWidth="1"/>
    <col min="7940" max="7940" width="2.85546875" style="113" customWidth="1"/>
    <col min="7941" max="7941" width="14.7109375" style="113" customWidth="1"/>
    <col min="7942" max="7942" width="2.7109375" style="113" customWidth="1"/>
    <col min="7943" max="7943" width="14.5703125" style="113" bestFit="1" customWidth="1"/>
    <col min="7944" max="7944" width="2.28515625" style="113" customWidth="1"/>
    <col min="7945" max="7945" width="15.28515625" style="113" bestFit="1" customWidth="1"/>
    <col min="7946" max="7946" width="13.5703125" style="113" bestFit="1" customWidth="1"/>
    <col min="7947" max="7947" width="14" style="113" bestFit="1" customWidth="1"/>
    <col min="7948" max="7948" width="13.42578125" style="113" bestFit="1" customWidth="1"/>
    <col min="7949" max="8191" width="9.140625" style="113"/>
    <col min="8192" max="8192" width="5.140625" style="113" customWidth="1"/>
    <col min="8193" max="8193" width="19.85546875" style="113" customWidth="1"/>
    <col min="8194" max="8194" width="4" style="113" customWidth="1"/>
    <col min="8195" max="8195" width="14.42578125" style="113" customWidth="1"/>
    <col min="8196" max="8196" width="2.85546875" style="113" customWidth="1"/>
    <col min="8197" max="8197" width="14.7109375" style="113" customWidth="1"/>
    <col min="8198" max="8198" width="2.7109375" style="113" customWidth="1"/>
    <col min="8199" max="8199" width="14.5703125" style="113" bestFit="1" customWidth="1"/>
    <col min="8200" max="8200" width="2.28515625" style="113" customWidth="1"/>
    <col min="8201" max="8201" width="15.28515625" style="113" bestFit="1" customWidth="1"/>
    <col min="8202" max="8202" width="13.5703125" style="113" bestFit="1" customWidth="1"/>
    <col min="8203" max="8203" width="14" style="113" bestFit="1" customWidth="1"/>
    <col min="8204" max="8204" width="13.42578125" style="113" bestFit="1" customWidth="1"/>
    <col min="8205" max="8447" width="9.140625" style="113"/>
    <col min="8448" max="8448" width="5.140625" style="113" customWidth="1"/>
    <col min="8449" max="8449" width="19.85546875" style="113" customWidth="1"/>
    <col min="8450" max="8450" width="4" style="113" customWidth="1"/>
    <col min="8451" max="8451" width="14.42578125" style="113" customWidth="1"/>
    <col min="8452" max="8452" width="2.85546875" style="113" customWidth="1"/>
    <col min="8453" max="8453" width="14.7109375" style="113" customWidth="1"/>
    <col min="8454" max="8454" width="2.7109375" style="113" customWidth="1"/>
    <col min="8455" max="8455" width="14.5703125" style="113" bestFit="1" customWidth="1"/>
    <col min="8456" max="8456" width="2.28515625" style="113" customWidth="1"/>
    <col min="8457" max="8457" width="15.28515625" style="113" bestFit="1" customWidth="1"/>
    <col min="8458" max="8458" width="13.5703125" style="113" bestFit="1" customWidth="1"/>
    <col min="8459" max="8459" width="14" style="113" bestFit="1" customWidth="1"/>
    <col min="8460" max="8460" width="13.42578125" style="113" bestFit="1" customWidth="1"/>
    <col min="8461" max="8703" width="9.140625" style="113"/>
    <col min="8704" max="8704" width="5.140625" style="113" customWidth="1"/>
    <col min="8705" max="8705" width="19.85546875" style="113" customWidth="1"/>
    <col min="8706" max="8706" width="4" style="113" customWidth="1"/>
    <col min="8707" max="8707" width="14.42578125" style="113" customWidth="1"/>
    <col min="8708" max="8708" width="2.85546875" style="113" customWidth="1"/>
    <col min="8709" max="8709" width="14.7109375" style="113" customWidth="1"/>
    <col min="8710" max="8710" width="2.7109375" style="113" customWidth="1"/>
    <col min="8711" max="8711" width="14.5703125" style="113" bestFit="1" customWidth="1"/>
    <col min="8712" max="8712" width="2.28515625" style="113" customWidth="1"/>
    <col min="8713" max="8713" width="15.28515625" style="113" bestFit="1" customWidth="1"/>
    <col min="8714" max="8714" width="13.5703125" style="113" bestFit="1" customWidth="1"/>
    <col min="8715" max="8715" width="14" style="113" bestFit="1" customWidth="1"/>
    <col min="8716" max="8716" width="13.42578125" style="113" bestFit="1" customWidth="1"/>
    <col min="8717" max="8959" width="9.140625" style="113"/>
    <col min="8960" max="8960" width="5.140625" style="113" customWidth="1"/>
    <col min="8961" max="8961" width="19.85546875" style="113" customWidth="1"/>
    <col min="8962" max="8962" width="4" style="113" customWidth="1"/>
    <col min="8963" max="8963" width="14.42578125" style="113" customWidth="1"/>
    <col min="8964" max="8964" width="2.85546875" style="113" customWidth="1"/>
    <col min="8965" max="8965" width="14.7109375" style="113" customWidth="1"/>
    <col min="8966" max="8966" width="2.7109375" style="113" customWidth="1"/>
    <col min="8967" max="8967" width="14.5703125" style="113" bestFit="1" customWidth="1"/>
    <col min="8968" max="8968" width="2.28515625" style="113" customWidth="1"/>
    <col min="8969" max="8969" width="15.28515625" style="113" bestFit="1" customWidth="1"/>
    <col min="8970" max="8970" width="13.5703125" style="113" bestFit="1" customWidth="1"/>
    <col min="8971" max="8971" width="14" style="113" bestFit="1" customWidth="1"/>
    <col min="8972" max="8972" width="13.42578125" style="113" bestFit="1" customWidth="1"/>
    <col min="8973" max="9215" width="9.140625" style="113"/>
    <col min="9216" max="9216" width="5.140625" style="113" customWidth="1"/>
    <col min="9217" max="9217" width="19.85546875" style="113" customWidth="1"/>
    <col min="9218" max="9218" width="4" style="113" customWidth="1"/>
    <col min="9219" max="9219" width="14.42578125" style="113" customWidth="1"/>
    <col min="9220" max="9220" width="2.85546875" style="113" customWidth="1"/>
    <col min="9221" max="9221" width="14.7109375" style="113" customWidth="1"/>
    <col min="9222" max="9222" width="2.7109375" style="113" customWidth="1"/>
    <col min="9223" max="9223" width="14.5703125" style="113" bestFit="1" customWidth="1"/>
    <col min="9224" max="9224" width="2.28515625" style="113" customWidth="1"/>
    <col min="9225" max="9225" width="15.28515625" style="113" bestFit="1" customWidth="1"/>
    <col min="9226" max="9226" width="13.5703125" style="113" bestFit="1" customWidth="1"/>
    <col min="9227" max="9227" width="14" style="113" bestFit="1" customWidth="1"/>
    <col min="9228" max="9228" width="13.42578125" style="113" bestFit="1" customWidth="1"/>
    <col min="9229" max="9471" width="9.140625" style="113"/>
    <col min="9472" max="9472" width="5.140625" style="113" customWidth="1"/>
    <col min="9473" max="9473" width="19.85546875" style="113" customWidth="1"/>
    <col min="9474" max="9474" width="4" style="113" customWidth="1"/>
    <col min="9475" max="9475" width="14.42578125" style="113" customWidth="1"/>
    <col min="9476" max="9476" width="2.85546875" style="113" customWidth="1"/>
    <col min="9477" max="9477" width="14.7109375" style="113" customWidth="1"/>
    <col min="9478" max="9478" width="2.7109375" style="113" customWidth="1"/>
    <col min="9479" max="9479" width="14.5703125" style="113" bestFit="1" customWidth="1"/>
    <col min="9480" max="9480" width="2.28515625" style="113" customWidth="1"/>
    <col min="9481" max="9481" width="15.28515625" style="113" bestFit="1" customWidth="1"/>
    <col min="9482" max="9482" width="13.5703125" style="113" bestFit="1" customWidth="1"/>
    <col min="9483" max="9483" width="14" style="113" bestFit="1" customWidth="1"/>
    <col min="9484" max="9484" width="13.42578125" style="113" bestFit="1" customWidth="1"/>
    <col min="9485" max="9727" width="9.140625" style="113"/>
    <col min="9728" max="9728" width="5.140625" style="113" customWidth="1"/>
    <col min="9729" max="9729" width="19.85546875" style="113" customWidth="1"/>
    <col min="9730" max="9730" width="4" style="113" customWidth="1"/>
    <col min="9731" max="9731" width="14.42578125" style="113" customWidth="1"/>
    <col min="9732" max="9732" width="2.85546875" style="113" customWidth="1"/>
    <col min="9733" max="9733" width="14.7109375" style="113" customWidth="1"/>
    <col min="9734" max="9734" width="2.7109375" style="113" customWidth="1"/>
    <col min="9735" max="9735" width="14.5703125" style="113" bestFit="1" customWidth="1"/>
    <col min="9736" max="9736" width="2.28515625" style="113" customWidth="1"/>
    <col min="9737" max="9737" width="15.28515625" style="113" bestFit="1" customWidth="1"/>
    <col min="9738" max="9738" width="13.5703125" style="113" bestFit="1" customWidth="1"/>
    <col min="9739" max="9739" width="14" style="113" bestFit="1" customWidth="1"/>
    <col min="9740" max="9740" width="13.42578125" style="113" bestFit="1" customWidth="1"/>
    <col min="9741" max="9983" width="9.140625" style="113"/>
    <col min="9984" max="9984" width="5.140625" style="113" customWidth="1"/>
    <col min="9985" max="9985" width="19.85546875" style="113" customWidth="1"/>
    <col min="9986" max="9986" width="4" style="113" customWidth="1"/>
    <col min="9987" max="9987" width="14.42578125" style="113" customWidth="1"/>
    <col min="9988" max="9988" width="2.85546875" style="113" customWidth="1"/>
    <col min="9989" max="9989" width="14.7109375" style="113" customWidth="1"/>
    <col min="9990" max="9990" width="2.7109375" style="113" customWidth="1"/>
    <col min="9991" max="9991" width="14.5703125" style="113" bestFit="1" customWidth="1"/>
    <col min="9992" max="9992" width="2.28515625" style="113" customWidth="1"/>
    <col min="9993" max="9993" width="15.28515625" style="113" bestFit="1" customWidth="1"/>
    <col min="9994" max="9994" width="13.5703125" style="113" bestFit="1" customWidth="1"/>
    <col min="9995" max="9995" width="14" style="113" bestFit="1" customWidth="1"/>
    <col min="9996" max="9996" width="13.42578125" style="113" bestFit="1" customWidth="1"/>
    <col min="9997" max="10239" width="9.140625" style="113"/>
    <col min="10240" max="10240" width="5.140625" style="113" customWidth="1"/>
    <col min="10241" max="10241" width="19.85546875" style="113" customWidth="1"/>
    <col min="10242" max="10242" width="4" style="113" customWidth="1"/>
    <col min="10243" max="10243" width="14.42578125" style="113" customWidth="1"/>
    <col min="10244" max="10244" width="2.85546875" style="113" customWidth="1"/>
    <col min="10245" max="10245" width="14.7109375" style="113" customWidth="1"/>
    <col min="10246" max="10246" width="2.7109375" style="113" customWidth="1"/>
    <col min="10247" max="10247" width="14.5703125" style="113" bestFit="1" customWidth="1"/>
    <col min="10248" max="10248" width="2.28515625" style="113" customWidth="1"/>
    <col min="10249" max="10249" width="15.28515625" style="113" bestFit="1" customWidth="1"/>
    <col min="10250" max="10250" width="13.5703125" style="113" bestFit="1" customWidth="1"/>
    <col min="10251" max="10251" width="14" style="113" bestFit="1" customWidth="1"/>
    <col min="10252" max="10252" width="13.42578125" style="113" bestFit="1" customWidth="1"/>
    <col min="10253" max="10495" width="9.140625" style="113"/>
    <col min="10496" max="10496" width="5.140625" style="113" customWidth="1"/>
    <col min="10497" max="10497" width="19.85546875" style="113" customWidth="1"/>
    <col min="10498" max="10498" width="4" style="113" customWidth="1"/>
    <col min="10499" max="10499" width="14.42578125" style="113" customWidth="1"/>
    <col min="10500" max="10500" width="2.85546875" style="113" customWidth="1"/>
    <col min="10501" max="10501" width="14.7109375" style="113" customWidth="1"/>
    <col min="10502" max="10502" width="2.7109375" style="113" customWidth="1"/>
    <col min="10503" max="10503" width="14.5703125" style="113" bestFit="1" customWidth="1"/>
    <col min="10504" max="10504" width="2.28515625" style="113" customWidth="1"/>
    <col min="10505" max="10505" width="15.28515625" style="113" bestFit="1" customWidth="1"/>
    <col min="10506" max="10506" width="13.5703125" style="113" bestFit="1" customWidth="1"/>
    <col min="10507" max="10507" width="14" style="113" bestFit="1" customWidth="1"/>
    <col min="10508" max="10508" width="13.42578125" style="113" bestFit="1" customWidth="1"/>
    <col min="10509" max="10751" width="9.140625" style="113"/>
    <col min="10752" max="10752" width="5.140625" style="113" customWidth="1"/>
    <col min="10753" max="10753" width="19.85546875" style="113" customWidth="1"/>
    <col min="10754" max="10754" width="4" style="113" customWidth="1"/>
    <col min="10755" max="10755" width="14.42578125" style="113" customWidth="1"/>
    <col min="10756" max="10756" width="2.85546875" style="113" customWidth="1"/>
    <col min="10757" max="10757" width="14.7109375" style="113" customWidth="1"/>
    <col min="10758" max="10758" width="2.7109375" style="113" customWidth="1"/>
    <col min="10759" max="10759" width="14.5703125" style="113" bestFit="1" customWidth="1"/>
    <col min="10760" max="10760" width="2.28515625" style="113" customWidth="1"/>
    <col min="10761" max="10761" width="15.28515625" style="113" bestFit="1" customWidth="1"/>
    <col min="10762" max="10762" width="13.5703125" style="113" bestFit="1" customWidth="1"/>
    <col min="10763" max="10763" width="14" style="113" bestFit="1" customWidth="1"/>
    <col min="10764" max="10764" width="13.42578125" style="113" bestFit="1" customWidth="1"/>
    <col min="10765" max="11007" width="9.140625" style="113"/>
    <col min="11008" max="11008" width="5.140625" style="113" customWidth="1"/>
    <col min="11009" max="11009" width="19.85546875" style="113" customWidth="1"/>
    <col min="11010" max="11010" width="4" style="113" customWidth="1"/>
    <col min="11011" max="11011" width="14.42578125" style="113" customWidth="1"/>
    <col min="11012" max="11012" width="2.85546875" style="113" customWidth="1"/>
    <col min="11013" max="11013" width="14.7109375" style="113" customWidth="1"/>
    <col min="11014" max="11014" width="2.7109375" style="113" customWidth="1"/>
    <col min="11015" max="11015" width="14.5703125" style="113" bestFit="1" customWidth="1"/>
    <col min="11016" max="11016" width="2.28515625" style="113" customWidth="1"/>
    <col min="11017" max="11017" width="15.28515625" style="113" bestFit="1" customWidth="1"/>
    <col min="11018" max="11018" width="13.5703125" style="113" bestFit="1" customWidth="1"/>
    <col min="11019" max="11019" width="14" style="113" bestFit="1" customWidth="1"/>
    <col min="11020" max="11020" width="13.42578125" style="113" bestFit="1" customWidth="1"/>
    <col min="11021" max="11263" width="9.140625" style="113"/>
    <col min="11264" max="11264" width="5.140625" style="113" customWidth="1"/>
    <col min="11265" max="11265" width="19.85546875" style="113" customWidth="1"/>
    <col min="11266" max="11266" width="4" style="113" customWidth="1"/>
    <col min="11267" max="11267" width="14.42578125" style="113" customWidth="1"/>
    <col min="11268" max="11268" width="2.85546875" style="113" customWidth="1"/>
    <col min="11269" max="11269" width="14.7109375" style="113" customWidth="1"/>
    <col min="11270" max="11270" width="2.7109375" style="113" customWidth="1"/>
    <col min="11271" max="11271" width="14.5703125" style="113" bestFit="1" customWidth="1"/>
    <col min="11272" max="11272" width="2.28515625" style="113" customWidth="1"/>
    <col min="11273" max="11273" width="15.28515625" style="113" bestFit="1" customWidth="1"/>
    <col min="11274" max="11274" width="13.5703125" style="113" bestFit="1" customWidth="1"/>
    <col min="11275" max="11275" width="14" style="113" bestFit="1" customWidth="1"/>
    <col min="11276" max="11276" width="13.42578125" style="113" bestFit="1" customWidth="1"/>
    <col min="11277" max="11519" width="9.140625" style="113"/>
    <col min="11520" max="11520" width="5.140625" style="113" customWidth="1"/>
    <col min="11521" max="11521" width="19.85546875" style="113" customWidth="1"/>
    <col min="11522" max="11522" width="4" style="113" customWidth="1"/>
    <col min="11523" max="11523" width="14.42578125" style="113" customWidth="1"/>
    <col min="11524" max="11524" width="2.85546875" style="113" customWidth="1"/>
    <col min="11525" max="11525" width="14.7109375" style="113" customWidth="1"/>
    <col min="11526" max="11526" width="2.7109375" style="113" customWidth="1"/>
    <col min="11527" max="11527" width="14.5703125" style="113" bestFit="1" customWidth="1"/>
    <col min="11528" max="11528" width="2.28515625" style="113" customWidth="1"/>
    <col min="11529" max="11529" width="15.28515625" style="113" bestFit="1" customWidth="1"/>
    <col min="11530" max="11530" width="13.5703125" style="113" bestFit="1" customWidth="1"/>
    <col min="11531" max="11531" width="14" style="113" bestFit="1" customWidth="1"/>
    <col min="11532" max="11532" width="13.42578125" style="113" bestFit="1" customWidth="1"/>
    <col min="11533" max="11775" width="9.140625" style="113"/>
    <col min="11776" max="11776" width="5.140625" style="113" customWidth="1"/>
    <col min="11777" max="11777" width="19.85546875" style="113" customWidth="1"/>
    <col min="11778" max="11778" width="4" style="113" customWidth="1"/>
    <col min="11779" max="11779" width="14.42578125" style="113" customWidth="1"/>
    <col min="11780" max="11780" width="2.85546875" style="113" customWidth="1"/>
    <col min="11781" max="11781" width="14.7109375" style="113" customWidth="1"/>
    <col min="11782" max="11782" width="2.7109375" style="113" customWidth="1"/>
    <col min="11783" max="11783" width="14.5703125" style="113" bestFit="1" customWidth="1"/>
    <col min="11784" max="11784" width="2.28515625" style="113" customWidth="1"/>
    <col min="11785" max="11785" width="15.28515625" style="113" bestFit="1" customWidth="1"/>
    <col min="11786" max="11786" width="13.5703125" style="113" bestFit="1" customWidth="1"/>
    <col min="11787" max="11787" width="14" style="113" bestFit="1" customWidth="1"/>
    <col min="11788" max="11788" width="13.42578125" style="113" bestFit="1" customWidth="1"/>
    <col min="11789" max="12031" width="9.140625" style="113"/>
    <col min="12032" max="12032" width="5.140625" style="113" customWidth="1"/>
    <col min="12033" max="12033" width="19.85546875" style="113" customWidth="1"/>
    <col min="12034" max="12034" width="4" style="113" customWidth="1"/>
    <col min="12035" max="12035" width="14.42578125" style="113" customWidth="1"/>
    <col min="12036" max="12036" width="2.85546875" style="113" customWidth="1"/>
    <col min="12037" max="12037" width="14.7109375" style="113" customWidth="1"/>
    <col min="12038" max="12038" width="2.7109375" style="113" customWidth="1"/>
    <col min="12039" max="12039" width="14.5703125" style="113" bestFit="1" customWidth="1"/>
    <col min="12040" max="12040" width="2.28515625" style="113" customWidth="1"/>
    <col min="12041" max="12041" width="15.28515625" style="113" bestFit="1" customWidth="1"/>
    <col min="12042" max="12042" width="13.5703125" style="113" bestFit="1" customWidth="1"/>
    <col min="12043" max="12043" width="14" style="113" bestFit="1" customWidth="1"/>
    <col min="12044" max="12044" width="13.42578125" style="113" bestFit="1" customWidth="1"/>
    <col min="12045" max="12287" width="9.140625" style="113"/>
    <col min="12288" max="12288" width="5.140625" style="113" customWidth="1"/>
    <col min="12289" max="12289" width="19.85546875" style="113" customWidth="1"/>
    <col min="12290" max="12290" width="4" style="113" customWidth="1"/>
    <col min="12291" max="12291" width="14.42578125" style="113" customWidth="1"/>
    <col min="12292" max="12292" width="2.85546875" style="113" customWidth="1"/>
    <col min="12293" max="12293" width="14.7109375" style="113" customWidth="1"/>
    <col min="12294" max="12294" width="2.7109375" style="113" customWidth="1"/>
    <col min="12295" max="12295" width="14.5703125" style="113" bestFit="1" customWidth="1"/>
    <col min="12296" max="12296" width="2.28515625" style="113" customWidth="1"/>
    <col min="12297" max="12297" width="15.28515625" style="113" bestFit="1" customWidth="1"/>
    <col min="12298" max="12298" width="13.5703125" style="113" bestFit="1" customWidth="1"/>
    <col min="12299" max="12299" width="14" style="113" bestFit="1" customWidth="1"/>
    <col min="12300" max="12300" width="13.42578125" style="113" bestFit="1" customWidth="1"/>
    <col min="12301" max="12543" width="9.140625" style="113"/>
    <col min="12544" max="12544" width="5.140625" style="113" customWidth="1"/>
    <col min="12545" max="12545" width="19.85546875" style="113" customWidth="1"/>
    <col min="12546" max="12546" width="4" style="113" customWidth="1"/>
    <col min="12547" max="12547" width="14.42578125" style="113" customWidth="1"/>
    <col min="12548" max="12548" width="2.85546875" style="113" customWidth="1"/>
    <col min="12549" max="12549" width="14.7109375" style="113" customWidth="1"/>
    <col min="12550" max="12550" width="2.7109375" style="113" customWidth="1"/>
    <col min="12551" max="12551" width="14.5703125" style="113" bestFit="1" customWidth="1"/>
    <col min="12552" max="12552" width="2.28515625" style="113" customWidth="1"/>
    <col min="12553" max="12553" width="15.28515625" style="113" bestFit="1" customWidth="1"/>
    <col min="12554" max="12554" width="13.5703125" style="113" bestFit="1" customWidth="1"/>
    <col min="12555" max="12555" width="14" style="113" bestFit="1" customWidth="1"/>
    <col min="12556" max="12556" width="13.42578125" style="113" bestFit="1" customWidth="1"/>
    <col min="12557" max="12799" width="9.140625" style="113"/>
    <col min="12800" max="12800" width="5.140625" style="113" customWidth="1"/>
    <col min="12801" max="12801" width="19.85546875" style="113" customWidth="1"/>
    <col min="12802" max="12802" width="4" style="113" customWidth="1"/>
    <col min="12803" max="12803" width="14.42578125" style="113" customWidth="1"/>
    <col min="12804" max="12804" width="2.85546875" style="113" customWidth="1"/>
    <col min="12805" max="12805" width="14.7109375" style="113" customWidth="1"/>
    <col min="12806" max="12806" width="2.7109375" style="113" customWidth="1"/>
    <col min="12807" max="12807" width="14.5703125" style="113" bestFit="1" customWidth="1"/>
    <col min="12808" max="12808" width="2.28515625" style="113" customWidth="1"/>
    <col min="12809" max="12809" width="15.28515625" style="113" bestFit="1" customWidth="1"/>
    <col min="12810" max="12810" width="13.5703125" style="113" bestFit="1" customWidth="1"/>
    <col min="12811" max="12811" width="14" style="113" bestFit="1" customWidth="1"/>
    <col min="12812" max="12812" width="13.42578125" style="113" bestFit="1" customWidth="1"/>
    <col min="12813" max="13055" width="9.140625" style="113"/>
    <col min="13056" max="13056" width="5.140625" style="113" customWidth="1"/>
    <col min="13057" max="13057" width="19.85546875" style="113" customWidth="1"/>
    <col min="13058" max="13058" width="4" style="113" customWidth="1"/>
    <col min="13059" max="13059" width="14.42578125" style="113" customWidth="1"/>
    <col min="13060" max="13060" width="2.85546875" style="113" customWidth="1"/>
    <col min="13061" max="13061" width="14.7109375" style="113" customWidth="1"/>
    <col min="13062" max="13062" width="2.7109375" style="113" customWidth="1"/>
    <col min="13063" max="13063" width="14.5703125" style="113" bestFit="1" customWidth="1"/>
    <col min="13064" max="13064" width="2.28515625" style="113" customWidth="1"/>
    <col min="13065" max="13065" width="15.28515625" style="113" bestFit="1" customWidth="1"/>
    <col min="13066" max="13066" width="13.5703125" style="113" bestFit="1" customWidth="1"/>
    <col min="13067" max="13067" width="14" style="113" bestFit="1" customWidth="1"/>
    <col min="13068" max="13068" width="13.42578125" style="113" bestFit="1" customWidth="1"/>
    <col min="13069" max="13311" width="9.140625" style="113"/>
    <col min="13312" max="13312" width="5.140625" style="113" customWidth="1"/>
    <col min="13313" max="13313" width="19.85546875" style="113" customWidth="1"/>
    <col min="13314" max="13314" width="4" style="113" customWidth="1"/>
    <col min="13315" max="13315" width="14.42578125" style="113" customWidth="1"/>
    <col min="13316" max="13316" width="2.85546875" style="113" customWidth="1"/>
    <col min="13317" max="13317" width="14.7109375" style="113" customWidth="1"/>
    <col min="13318" max="13318" width="2.7109375" style="113" customWidth="1"/>
    <col min="13319" max="13319" width="14.5703125" style="113" bestFit="1" customWidth="1"/>
    <col min="13320" max="13320" width="2.28515625" style="113" customWidth="1"/>
    <col min="13321" max="13321" width="15.28515625" style="113" bestFit="1" customWidth="1"/>
    <col min="13322" max="13322" width="13.5703125" style="113" bestFit="1" customWidth="1"/>
    <col min="13323" max="13323" width="14" style="113" bestFit="1" customWidth="1"/>
    <col min="13324" max="13324" width="13.42578125" style="113" bestFit="1" customWidth="1"/>
    <col min="13325" max="13567" width="9.140625" style="113"/>
    <col min="13568" max="13568" width="5.140625" style="113" customWidth="1"/>
    <col min="13569" max="13569" width="19.85546875" style="113" customWidth="1"/>
    <col min="13570" max="13570" width="4" style="113" customWidth="1"/>
    <col min="13571" max="13571" width="14.42578125" style="113" customWidth="1"/>
    <col min="13572" max="13572" width="2.85546875" style="113" customWidth="1"/>
    <col min="13573" max="13573" width="14.7109375" style="113" customWidth="1"/>
    <col min="13574" max="13574" width="2.7109375" style="113" customWidth="1"/>
    <col min="13575" max="13575" width="14.5703125" style="113" bestFit="1" customWidth="1"/>
    <col min="13576" max="13576" width="2.28515625" style="113" customWidth="1"/>
    <col min="13577" max="13577" width="15.28515625" style="113" bestFit="1" customWidth="1"/>
    <col min="13578" max="13578" width="13.5703125" style="113" bestFit="1" customWidth="1"/>
    <col min="13579" max="13579" width="14" style="113" bestFit="1" customWidth="1"/>
    <col min="13580" max="13580" width="13.42578125" style="113" bestFit="1" customWidth="1"/>
    <col min="13581" max="13823" width="9.140625" style="113"/>
    <col min="13824" max="13824" width="5.140625" style="113" customWidth="1"/>
    <col min="13825" max="13825" width="19.85546875" style="113" customWidth="1"/>
    <col min="13826" max="13826" width="4" style="113" customWidth="1"/>
    <col min="13827" max="13827" width="14.42578125" style="113" customWidth="1"/>
    <col min="13828" max="13828" width="2.85546875" style="113" customWidth="1"/>
    <col min="13829" max="13829" width="14.7109375" style="113" customWidth="1"/>
    <col min="13830" max="13830" width="2.7109375" style="113" customWidth="1"/>
    <col min="13831" max="13831" width="14.5703125" style="113" bestFit="1" customWidth="1"/>
    <col min="13832" max="13832" width="2.28515625" style="113" customWidth="1"/>
    <col min="13833" max="13833" width="15.28515625" style="113" bestFit="1" customWidth="1"/>
    <col min="13834" max="13834" width="13.5703125" style="113" bestFit="1" customWidth="1"/>
    <col min="13835" max="13835" width="14" style="113" bestFit="1" customWidth="1"/>
    <col min="13836" max="13836" width="13.42578125" style="113" bestFit="1" customWidth="1"/>
    <col min="13837" max="14079" width="9.140625" style="113"/>
    <col min="14080" max="14080" width="5.140625" style="113" customWidth="1"/>
    <col min="14081" max="14081" width="19.85546875" style="113" customWidth="1"/>
    <col min="14082" max="14082" width="4" style="113" customWidth="1"/>
    <col min="14083" max="14083" width="14.42578125" style="113" customWidth="1"/>
    <col min="14084" max="14084" width="2.85546875" style="113" customWidth="1"/>
    <col min="14085" max="14085" width="14.7109375" style="113" customWidth="1"/>
    <col min="14086" max="14086" width="2.7109375" style="113" customWidth="1"/>
    <col min="14087" max="14087" width="14.5703125" style="113" bestFit="1" customWidth="1"/>
    <col min="14088" max="14088" width="2.28515625" style="113" customWidth="1"/>
    <col min="14089" max="14089" width="15.28515625" style="113" bestFit="1" customWidth="1"/>
    <col min="14090" max="14090" width="13.5703125" style="113" bestFit="1" customWidth="1"/>
    <col min="14091" max="14091" width="14" style="113" bestFit="1" customWidth="1"/>
    <col min="14092" max="14092" width="13.42578125" style="113" bestFit="1" customWidth="1"/>
    <col min="14093" max="14335" width="9.140625" style="113"/>
    <col min="14336" max="14336" width="5.140625" style="113" customWidth="1"/>
    <col min="14337" max="14337" width="19.85546875" style="113" customWidth="1"/>
    <col min="14338" max="14338" width="4" style="113" customWidth="1"/>
    <col min="14339" max="14339" width="14.42578125" style="113" customWidth="1"/>
    <col min="14340" max="14340" width="2.85546875" style="113" customWidth="1"/>
    <col min="14341" max="14341" width="14.7109375" style="113" customWidth="1"/>
    <col min="14342" max="14342" width="2.7109375" style="113" customWidth="1"/>
    <col min="14343" max="14343" width="14.5703125" style="113" bestFit="1" customWidth="1"/>
    <col min="14344" max="14344" width="2.28515625" style="113" customWidth="1"/>
    <col min="14345" max="14345" width="15.28515625" style="113" bestFit="1" customWidth="1"/>
    <col min="14346" max="14346" width="13.5703125" style="113" bestFit="1" customWidth="1"/>
    <col min="14347" max="14347" width="14" style="113" bestFit="1" customWidth="1"/>
    <col min="14348" max="14348" width="13.42578125" style="113" bestFit="1" customWidth="1"/>
    <col min="14349" max="14591" width="9.140625" style="113"/>
    <col min="14592" max="14592" width="5.140625" style="113" customWidth="1"/>
    <col min="14593" max="14593" width="19.85546875" style="113" customWidth="1"/>
    <col min="14594" max="14594" width="4" style="113" customWidth="1"/>
    <col min="14595" max="14595" width="14.42578125" style="113" customWidth="1"/>
    <col min="14596" max="14596" width="2.85546875" style="113" customWidth="1"/>
    <col min="14597" max="14597" width="14.7109375" style="113" customWidth="1"/>
    <col min="14598" max="14598" width="2.7109375" style="113" customWidth="1"/>
    <col min="14599" max="14599" width="14.5703125" style="113" bestFit="1" customWidth="1"/>
    <col min="14600" max="14600" width="2.28515625" style="113" customWidth="1"/>
    <col min="14601" max="14601" width="15.28515625" style="113" bestFit="1" customWidth="1"/>
    <col min="14602" max="14602" width="13.5703125" style="113" bestFit="1" customWidth="1"/>
    <col min="14603" max="14603" width="14" style="113" bestFit="1" customWidth="1"/>
    <col min="14604" max="14604" width="13.42578125" style="113" bestFit="1" customWidth="1"/>
    <col min="14605" max="14847" width="9.140625" style="113"/>
    <col min="14848" max="14848" width="5.140625" style="113" customWidth="1"/>
    <col min="14849" max="14849" width="19.85546875" style="113" customWidth="1"/>
    <col min="14850" max="14850" width="4" style="113" customWidth="1"/>
    <col min="14851" max="14851" width="14.42578125" style="113" customWidth="1"/>
    <col min="14852" max="14852" width="2.85546875" style="113" customWidth="1"/>
    <col min="14853" max="14853" width="14.7109375" style="113" customWidth="1"/>
    <col min="14854" max="14854" width="2.7109375" style="113" customWidth="1"/>
    <col min="14855" max="14855" width="14.5703125" style="113" bestFit="1" customWidth="1"/>
    <col min="14856" max="14856" width="2.28515625" style="113" customWidth="1"/>
    <col min="14857" max="14857" width="15.28515625" style="113" bestFit="1" customWidth="1"/>
    <col min="14858" max="14858" width="13.5703125" style="113" bestFit="1" customWidth="1"/>
    <col min="14859" max="14859" width="14" style="113" bestFit="1" customWidth="1"/>
    <col min="14860" max="14860" width="13.42578125" style="113" bestFit="1" customWidth="1"/>
    <col min="14861" max="15103" width="9.140625" style="113"/>
    <col min="15104" max="15104" width="5.140625" style="113" customWidth="1"/>
    <col min="15105" max="15105" width="19.85546875" style="113" customWidth="1"/>
    <col min="15106" max="15106" width="4" style="113" customWidth="1"/>
    <col min="15107" max="15107" width="14.42578125" style="113" customWidth="1"/>
    <col min="15108" max="15108" width="2.85546875" style="113" customWidth="1"/>
    <col min="15109" max="15109" width="14.7109375" style="113" customWidth="1"/>
    <col min="15110" max="15110" width="2.7109375" style="113" customWidth="1"/>
    <col min="15111" max="15111" width="14.5703125" style="113" bestFit="1" customWidth="1"/>
    <col min="15112" max="15112" width="2.28515625" style="113" customWidth="1"/>
    <col min="15113" max="15113" width="15.28515625" style="113" bestFit="1" customWidth="1"/>
    <col min="15114" max="15114" width="13.5703125" style="113" bestFit="1" customWidth="1"/>
    <col min="15115" max="15115" width="14" style="113" bestFit="1" customWidth="1"/>
    <col min="15116" max="15116" width="13.42578125" style="113" bestFit="1" customWidth="1"/>
    <col min="15117" max="15359" width="9.140625" style="113"/>
    <col min="15360" max="15360" width="5.140625" style="113" customWidth="1"/>
    <col min="15361" max="15361" width="19.85546875" style="113" customWidth="1"/>
    <col min="15362" max="15362" width="4" style="113" customWidth="1"/>
    <col min="15363" max="15363" width="14.42578125" style="113" customWidth="1"/>
    <col min="15364" max="15364" width="2.85546875" style="113" customWidth="1"/>
    <col min="15365" max="15365" width="14.7109375" style="113" customWidth="1"/>
    <col min="15366" max="15366" width="2.7109375" style="113" customWidth="1"/>
    <col min="15367" max="15367" width="14.5703125" style="113" bestFit="1" customWidth="1"/>
    <col min="15368" max="15368" width="2.28515625" style="113" customWidth="1"/>
    <col min="15369" max="15369" width="15.28515625" style="113" bestFit="1" customWidth="1"/>
    <col min="15370" max="15370" width="13.5703125" style="113" bestFit="1" customWidth="1"/>
    <col min="15371" max="15371" width="14" style="113" bestFit="1" customWidth="1"/>
    <col min="15372" max="15372" width="13.42578125" style="113" bestFit="1" customWidth="1"/>
    <col min="15373" max="15615" width="9.140625" style="113"/>
    <col min="15616" max="15616" width="5.140625" style="113" customWidth="1"/>
    <col min="15617" max="15617" width="19.85546875" style="113" customWidth="1"/>
    <col min="15618" max="15618" width="4" style="113" customWidth="1"/>
    <col min="15619" max="15619" width="14.42578125" style="113" customWidth="1"/>
    <col min="15620" max="15620" width="2.85546875" style="113" customWidth="1"/>
    <col min="15621" max="15621" width="14.7109375" style="113" customWidth="1"/>
    <col min="15622" max="15622" width="2.7109375" style="113" customWidth="1"/>
    <col min="15623" max="15623" width="14.5703125" style="113" bestFit="1" customWidth="1"/>
    <col min="15624" max="15624" width="2.28515625" style="113" customWidth="1"/>
    <col min="15625" max="15625" width="15.28515625" style="113" bestFit="1" customWidth="1"/>
    <col min="15626" max="15626" width="13.5703125" style="113" bestFit="1" customWidth="1"/>
    <col min="15627" max="15627" width="14" style="113" bestFit="1" customWidth="1"/>
    <col min="15628" max="15628" width="13.42578125" style="113" bestFit="1" customWidth="1"/>
    <col min="15629" max="15871" width="9.140625" style="113"/>
    <col min="15872" max="15872" width="5.140625" style="113" customWidth="1"/>
    <col min="15873" max="15873" width="19.85546875" style="113" customWidth="1"/>
    <col min="15874" max="15874" width="4" style="113" customWidth="1"/>
    <col min="15875" max="15875" width="14.42578125" style="113" customWidth="1"/>
    <col min="15876" max="15876" width="2.85546875" style="113" customWidth="1"/>
    <col min="15877" max="15877" width="14.7109375" style="113" customWidth="1"/>
    <col min="15878" max="15878" width="2.7109375" style="113" customWidth="1"/>
    <col min="15879" max="15879" width="14.5703125" style="113" bestFit="1" customWidth="1"/>
    <col min="15880" max="15880" width="2.28515625" style="113" customWidth="1"/>
    <col min="15881" max="15881" width="15.28515625" style="113" bestFit="1" customWidth="1"/>
    <col min="15882" max="15882" width="13.5703125" style="113" bestFit="1" customWidth="1"/>
    <col min="15883" max="15883" width="14" style="113" bestFit="1" customWidth="1"/>
    <col min="15884" max="15884" width="13.42578125" style="113" bestFit="1" customWidth="1"/>
    <col min="15885" max="16127" width="9.140625" style="113"/>
    <col min="16128" max="16128" width="5.140625" style="113" customWidth="1"/>
    <col min="16129" max="16129" width="19.85546875" style="113" customWidth="1"/>
    <col min="16130" max="16130" width="4" style="113" customWidth="1"/>
    <col min="16131" max="16131" width="14.42578125" style="113" customWidth="1"/>
    <col min="16132" max="16132" width="2.85546875" style="113" customWidth="1"/>
    <col min="16133" max="16133" width="14.7109375" style="113" customWidth="1"/>
    <col min="16134" max="16134" width="2.7109375" style="113" customWidth="1"/>
    <col min="16135" max="16135" width="14.5703125" style="113" bestFit="1" customWidth="1"/>
    <col min="16136" max="16136" width="2.28515625" style="113" customWidth="1"/>
    <col min="16137" max="16137" width="15.28515625" style="113" bestFit="1" customWidth="1"/>
    <col min="16138" max="16138" width="13.5703125" style="113" bestFit="1" customWidth="1"/>
    <col min="16139" max="16139" width="14" style="113" bestFit="1" customWidth="1"/>
    <col min="16140" max="16140" width="13.42578125" style="113" bestFit="1" customWidth="1"/>
    <col min="16141" max="16384" width="9.140625" style="113"/>
  </cols>
  <sheetData>
    <row r="1" spans="1:33" x14ac:dyDescent="0.25">
      <c r="B1" s="151" t="s">
        <v>0</v>
      </c>
      <c r="C1" s="151"/>
      <c r="D1" s="151"/>
      <c r="E1" s="151"/>
      <c r="F1" s="151"/>
      <c r="G1" s="151"/>
      <c r="H1" s="151"/>
      <c r="I1" s="151"/>
      <c r="J1" s="151"/>
      <c r="K1" s="151"/>
    </row>
    <row r="2" spans="1:33" x14ac:dyDescent="0.25">
      <c r="B2" s="152" t="s">
        <v>273</v>
      </c>
      <c r="C2" s="151"/>
      <c r="D2" s="151"/>
      <c r="E2" s="151"/>
      <c r="F2" s="151"/>
      <c r="G2" s="151"/>
      <c r="H2" s="151"/>
      <c r="I2" s="151"/>
      <c r="J2" s="151"/>
      <c r="K2" s="151"/>
    </row>
    <row r="3" spans="1:33" x14ac:dyDescent="0.25">
      <c r="B3" s="114"/>
      <c r="C3" s="114"/>
      <c r="D3" s="114"/>
      <c r="E3" s="115"/>
      <c r="F3" s="115"/>
      <c r="G3" s="115"/>
      <c r="H3" s="115"/>
      <c r="I3" s="115"/>
      <c r="J3" s="114"/>
      <c r="K3" s="114"/>
    </row>
    <row r="4" spans="1:33" x14ac:dyDescent="0.25">
      <c r="B4" s="116"/>
    </row>
    <row r="5" spans="1:33" x14ac:dyDescent="0.25">
      <c r="E5" s="117" t="s">
        <v>274</v>
      </c>
      <c r="G5" s="117" t="s">
        <v>275</v>
      </c>
      <c r="M5" s="118" t="s">
        <v>276</v>
      </c>
      <c r="N5" s="118" t="s">
        <v>277</v>
      </c>
    </row>
    <row r="6" spans="1:33" x14ac:dyDescent="0.25">
      <c r="E6" s="119" t="s">
        <v>278</v>
      </c>
      <c r="F6" s="117"/>
      <c r="G6" s="119" t="s">
        <v>279</v>
      </c>
      <c r="H6" s="117"/>
      <c r="I6" s="119" t="s">
        <v>38</v>
      </c>
      <c r="J6" s="118"/>
      <c r="K6" s="120" t="s">
        <v>280</v>
      </c>
      <c r="M6" s="120" t="s">
        <v>281</v>
      </c>
      <c r="N6" s="120" t="s">
        <v>282</v>
      </c>
    </row>
    <row r="7" spans="1:33" x14ac:dyDescent="0.25">
      <c r="B7" s="121"/>
      <c r="K7" s="84"/>
    </row>
    <row r="8" spans="1:33" x14ac:dyDescent="0.25">
      <c r="A8" s="122">
        <v>42476</v>
      </c>
      <c r="B8" s="121"/>
      <c r="C8" s="113" t="s">
        <v>283</v>
      </c>
      <c r="D8" s="3"/>
      <c r="E8" s="84">
        <v>0</v>
      </c>
      <c r="F8" s="3"/>
      <c r="H8" s="3"/>
      <c r="I8" s="84">
        <v>-16751.28</v>
      </c>
      <c r="J8" s="3"/>
      <c r="K8" s="84">
        <f>+E8+I8</f>
        <v>-16751.28</v>
      </c>
      <c r="M8" s="84">
        <v>18150</v>
      </c>
      <c r="N8" s="118" t="s">
        <v>284</v>
      </c>
    </row>
    <row r="9" spans="1:33" x14ac:dyDescent="0.25">
      <c r="A9" s="122"/>
      <c r="B9" s="121"/>
      <c r="K9" s="84"/>
      <c r="M9" s="84"/>
      <c r="N9" s="118"/>
    </row>
    <row r="10" spans="1:33" x14ac:dyDescent="0.25">
      <c r="A10" s="122"/>
      <c r="B10" s="121"/>
      <c r="K10" s="84"/>
      <c r="M10" s="84"/>
      <c r="N10" s="118"/>
      <c r="AG10" s="123">
        <f>+'Land_Vehicle Retire P3A (REG)'!E15</f>
        <v>0</v>
      </c>
    </row>
    <row r="11" spans="1:33" x14ac:dyDescent="0.25">
      <c r="B11" s="121"/>
    </row>
    <row r="12" spans="1:33" x14ac:dyDescent="0.25">
      <c r="E12" s="124">
        <f>SUM(E7:E11)</f>
        <v>0</v>
      </c>
      <c r="F12" s="124"/>
      <c r="G12" s="124">
        <f>SUM(G7:G11)</f>
        <v>0</v>
      </c>
      <c r="H12" s="124"/>
      <c r="I12" s="124">
        <f>SUM(I7:I11)</f>
        <v>-16751.28</v>
      </c>
      <c r="J12" s="125"/>
      <c r="K12" s="124">
        <f>SUM(K8:K10)</f>
        <v>-16751.28</v>
      </c>
    </row>
    <row r="15" spans="1:33" ht="16.5" thickBot="1" x14ac:dyDescent="0.3">
      <c r="B15" s="113" t="s">
        <v>285</v>
      </c>
      <c r="E15" s="126">
        <f>E12</f>
        <v>0</v>
      </c>
      <c r="G15" s="126">
        <f>G12</f>
        <v>0</v>
      </c>
      <c r="I15" s="126">
        <f>I12</f>
        <v>-16751.28</v>
      </c>
      <c r="K15" s="126">
        <f>K12</f>
        <v>-16751.28</v>
      </c>
    </row>
    <row r="16" spans="1:33" ht="16.5" thickTop="1" x14ac:dyDescent="0.25"/>
    <row r="20" spans="3:3" x14ac:dyDescent="0.25">
      <c r="C20" s="113" t="s">
        <v>286</v>
      </c>
    </row>
  </sheetData>
  <mergeCells count="2">
    <mergeCell ref="B1:K1"/>
    <mergeCell ref="B2:K2"/>
  </mergeCells>
  <printOptions horizontalCentered="1"/>
  <pageMargins left="0.75" right="0.75" top="1" bottom="1" header="0.5" footer="0.5"/>
  <pageSetup scale="67" orientation="landscape" r:id="rId1"/>
  <headerFooter alignWithMargins="0">
    <oddFooter>&amp;R&amp;"Times New Roman,Bold"&amp;12Case No. 2018-00295
Attachment 6 to Response to US DOD-2 Question No. 7   
Page &amp;P of &amp;N
Garrett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65"/>
  <sheetViews>
    <sheetView workbookViewId="0">
      <selection sqref="A1:R1"/>
    </sheetView>
  </sheetViews>
  <sheetFormatPr defaultRowHeight="12.75" x14ac:dyDescent="0.2"/>
  <cols>
    <col min="1" max="1" width="15.28515625" style="8" bestFit="1" customWidth="1"/>
    <col min="2" max="2" width="50.5703125" style="3" customWidth="1"/>
    <col min="3" max="3" width="19.85546875" style="19" customWidth="1"/>
    <col min="4" max="16384" width="9.140625" style="3"/>
  </cols>
  <sheetData>
    <row r="1" spans="1:3" x14ac:dyDescent="0.2">
      <c r="A1" s="153" t="s">
        <v>287</v>
      </c>
      <c r="B1" s="153"/>
      <c r="C1" s="153"/>
    </row>
    <row r="2" spans="1:3" x14ac:dyDescent="0.2">
      <c r="A2" s="153" t="s">
        <v>288</v>
      </c>
      <c r="B2" s="153"/>
      <c r="C2" s="153"/>
    </row>
    <row r="3" spans="1:3" x14ac:dyDescent="0.2">
      <c r="A3" s="153" t="s">
        <v>4034</v>
      </c>
      <c r="B3" s="153"/>
      <c r="C3" s="153"/>
    </row>
    <row r="5" spans="1:3" x14ac:dyDescent="0.2">
      <c r="A5" s="85" t="s">
        <v>289</v>
      </c>
      <c r="B5" s="28" t="s">
        <v>290</v>
      </c>
      <c r="C5" s="11" t="s">
        <v>89</v>
      </c>
    </row>
    <row r="6" spans="1:3" ht="15" x14ac:dyDescent="0.25">
      <c r="A6" s="108" t="s">
        <v>291</v>
      </c>
      <c r="B6" s="3" t="s">
        <v>292</v>
      </c>
      <c r="C6" s="109">
        <v>309250.1500000002</v>
      </c>
    </row>
    <row r="7" spans="1:3" ht="15" x14ac:dyDescent="0.25">
      <c r="A7" s="108" t="s">
        <v>293</v>
      </c>
      <c r="B7" s="3" t="s">
        <v>294</v>
      </c>
      <c r="C7" s="109">
        <v>4248.1299999999992</v>
      </c>
    </row>
    <row r="8" spans="1:3" ht="15" x14ac:dyDescent="0.25">
      <c r="A8" s="108" t="s">
        <v>295</v>
      </c>
      <c r="B8" s="3" t="s">
        <v>296</v>
      </c>
      <c r="C8" s="109">
        <v>275930.57000000012</v>
      </c>
    </row>
    <row r="9" spans="1:3" ht="15" x14ac:dyDescent="0.25">
      <c r="A9" s="108" t="s">
        <v>297</v>
      </c>
      <c r="B9" s="3" t="s">
        <v>298</v>
      </c>
      <c r="C9" s="109">
        <v>24974.239999999998</v>
      </c>
    </row>
    <row r="10" spans="1:3" ht="15" x14ac:dyDescent="0.25">
      <c r="A10" s="108" t="s">
        <v>299</v>
      </c>
      <c r="B10" s="3" t="s">
        <v>300</v>
      </c>
      <c r="C10" s="109">
        <v>247354.79000000015</v>
      </c>
    </row>
    <row r="11" spans="1:3" ht="15" x14ac:dyDescent="0.25">
      <c r="A11" s="108" t="s">
        <v>301</v>
      </c>
      <c r="B11" s="3" t="s">
        <v>302</v>
      </c>
      <c r="C11" s="109">
        <v>48.14</v>
      </c>
    </row>
    <row r="12" spans="1:3" ht="15" x14ac:dyDescent="0.25">
      <c r="A12" s="108" t="s">
        <v>303</v>
      </c>
      <c r="B12" s="3" t="s">
        <v>304</v>
      </c>
      <c r="C12" s="109">
        <v>432.79999999999995</v>
      </c>
    </row>
    <row r="13" spans="1:3" ht="15" x14ac:dyDescent="0.25">
      <c r="A13" s="108" t="s">
        <v>305</v>
      </c>
      <c r="B13" s="3" t="s">
        <v>306</v>
      </c>
      <c r="C13" s="109">
        <v>340.72999999999996</v>
      </c>
    </row>
    <row r="14" spans="1:3" ht="15" x14ac:dyDescent="0.25">
      <c r="A14" s="108" t="s">
        <v>307</v>
      </c>
      <c r="B14" s="3" t="s">
        <v>308</v>
      </c>
      <c r="C14" s="109">
        <v>68881.770000000062</v>
      </c>
    </row>
    <row r="15" spans="1:3" ht="15" x14ac:dyDescent="0.25">
      <c r="A15" s="108" t="s">
        <v>309</v>
      </c>
      <c r="B15" s="3" t="s">
        <v>310</v>
      </c>
      <c r="C15" s="109">
        <v>11810.45</v>
      </c>
    </row>
    <row r="16" spans="1:3" ht="15" x14ac:dyDescent="0.25">
      <c r="A16" s="108" t="s">
        <v>311</v>
      </c>
      <c r="B16" s="3" t="s">
        <v>312</v>
      </c>
      <c r="C16" s="109">
        <v>199650.92000000004</v>
      </c>
    </row>
    <row r="17" spans="1:3" ht="15" x14ac:dyDescent="0.25">
      <c r="A17" s="108" t="s">
        <v>313</v>
      </c>
      <c r="B17" s="3" t="s">
        <v>314</v>
      </c>
      <c r="C17" s="109">
        <v>-447.60000000000036</v>
      </c>
    </row>
    <row r="18" spans="1:3" ht="15" x14ac:dyDescent="0.25">
      <c r="A18" s="108" t="s">
        <v>315</v>
      </c>
      <c r="B18" s="3" t="s">
        <v>316</v>
      </c>
      <c r="C18" s="109">
        <v>167112.78000000003</v>
      </c>
    </row>
    <row r="19" spans="1:3" ht="15" x14ac:dyDescent="0.25">
      <c r="A19" s="108" t="s">
        <v>317</v>
      </c>
      <c r="B19" s="3" t="s">
        <v>318</v>
      </c>
      <c r="C19" s="109">
        <v>0</v>
      </c>
    </row>
    <row r="20" spans="1:3" ht="15" x14ac:dyDescent="0.25">
      <c r="A20" s="108" t="s">
        <v>319</v>
      </c>
      <c r="B20" s="3" t="s">
        <v>320</v>
      </c>
      <c r="C20" s="109">
        <v>97846.089999999953</v>
      </c>
    </row>
    <row r="21" spans="1:3" ht="15" x14ac:dyDescent="0.25">
      <c r="A21" s="108" t="s">
        <v>321</v>
      </c>
      <c r="B21" s="3" t="s">
        <v>322</v>
      </c>
      <c r="C21" s="109">
        <v>74844.500000000029</v>
      </c>
    </row>
    <row r="22" spans="1:3" ht="15" x14ac:dyDescent="0.25">
      <c r="A22" s="108" t="s">
        <v>323</v>
      </c>
      <c r="B22" s="3" t="s">
        <v>324</v>
      </c>
      <c r="C22" s="109">
        <v>11160.98</v>
      </c>
    </row>
    <row r="23" spans="1:3" ht="15" x14ac:dyDescent="0.25">
      <c r="A23" s="108" t="s">
        <v>325</v>
      </c>
      <c r="B23" s="3" t="s">
        <v>326</v>
      </c>
      <c r="C23" s="109">
        <v>1104924.3700000003</v>
      </c>
    </row>
    <row r="24" spans="1:3" ht="15" x14ac:dyDescent="0.25">
      <c r="A24" s="108" t="s">
        <v>327</v>
      </c>
      <c r="B24" s="3" t="s">
        <v>328</v>
      </c>
      <c r="C24" s="109">
        <v>9587.2000000000007</v>
      </c>
    </row>
    <row r="25" spans="1:3" ht="15" x14ac:dyDescent="0.25">
      <c r="A25" s="108" t="s">
        <v>329</v>
      </c>
      <c r="B25" s="3" t="s">
        <v>330</v>
      </c>
      <c r="C25" s="109">
        <v>107904.51000000002</v>
      </c>
    </row>
    <row r="26" spans="1:3" ht="15" x14ac:dyDescent="0.25">
      <c r="A26" s="108" t="s">
        <v>331</v>
      </c>
      <c r="B26" s="3" t="s">
        <v>332</v>
      </c>
      <c r="C26" s="109">
        <v>27856.95</v>
      </c>
    </row>
    <row r="27" spans="1:3" ht="15" x14ac:dyDescent="0.25">
      <c r="A27" s="108" t="s">
        <v>333</v>
      </c>
      <c r="B27" s="3" t="s">
        <v>334</v>
      </c>
      <c r="C27" s="109">
        <v>1736.8200000000002</v>
      </c>
    </row>
    <row r="28" spans="1:3" ht="15" x14ac:dyDescent="0.25">
      <c r="A28" s="108" t="s">
        <v>335</v>
      </c>
      <c r="B28" s="3" t="s">
        <v>336</v>
      </c>
      <c r="C28" s="109">
        <v>25198.87</v>
      </c>
    </row>
    <row r="29" spans="1:3" ht="15" x14ac:dyDescent="0.25">
      <c r="A29" s="108" t="s">
        <v>337</v>
      </c>
      <c r="B29" s="3" t="s">
        <v>338</v>
      </c>
      <c r="C29" s="109">
        <v>2586.7099999999996</v>
      </c>
    </row>
    <row r="30" spans="1:3" ht="15" x14ac:dyDescent="0.25">
      <c r="A30" s="108" t="s">
        <v>339</v>
      </c>
      <c r="B30" s="3" t="s">
        <v>340</v>
      </c>
      <c r="C30" s="109">
        <v>10399.710000000001</v>
      </c>
    </row>
    <row r="31" spans="1:3" ht="15" x14ac:dyDescent="0.25">
      <c r="A31" s="108" t="s">
        <v>341</v>
      </c>
      <c r="B31" s="3" t="s">
        <v>342</v>
      </c>
      <c r="C31" s="109">
        <v>51807.119999999995</v>
      </c>
    </row>
    <row r="32" spans="1:3" ht="15" x14ac:dyDescent="0.25">
      <c r="A32" s="108" t="s">
        <v>343</v>
      </c>
      <c r="B32" s="3" t="s">
        <v>344</v>
      </c>
      <c r="C32" s="109">
        <v>15368.140000000001</v>
      </c>
    </row>
    <row r="33" spans="1:3" ht="15" x14ac:dyDescent="0.25">
      <c r="A33" s="108" t="s">
        <v>345</v>
      </c>
      <c r="B33" s="3" t="s">
        <v>346</v>
      </c>
      <c r="C33" s="109">
        <v>1380.88</v>
      </c>
    </row>
    <row r="34" spans="1:3" ht="15" x14ac:dyDescent="0.25">
      <c r="A34" s="108" t="s">
        <v>347</v>
      </c>
      <c r="B34" s="3" t="s">
        <v>348</v>
      </c>
      <c r="C34" s="109">
        <v>126018.43000000002</v>
      </c>
    </row>
    <row r="35" spans="1:3" ht="15" x14ac:dyDescent="0.25">
      <c r="A35" s="108" t="s">
        <v>349</v>
      </c>
      <c r="B35" s="3" t="s">
        <v>350</v>
      </c>
      <c r="C35" s="109">
        <v>1383563.5899999996</v>
      </c>
    </row>
    <row r="36" spans="1:3" ht="15" x14ac:dyDescent="0.25">
      <c r="A36" s="108" t="s">
        <v>351</v>
      </c>
      <c r="B36" s="3" t="s">
        <v>352</v>
      </c>
      <c r="C36" s="109">
        <v>464446.12000000011</v>
      </c>
    </row>
    <row r="37" spans="1:3" ht="15" x14ac:dyDescent="0.25">
      <c r="A37" s="108" t="s">
        <v>353</v>
      </c>
      <c r="B37" s="3" t="s">
        <v>354</v>
      </c>
      <c r="C37" s="109">
        <v>0</v>
      </c>
    </row>
    <row r="38" spans="1:3" ht="15" x14ac:dyDescent="0.25">
      <c r="A38" s="108" t="s">
        <v>355</v>
      </c>
      <c r="B38" s="3" t="s">
        <v>356</v>
      </c>
      <c r="C38" s="109">
        <v>85651.550000000032</v>
      </c>
    </row>
    <row r="39" spans="1:3" ht="15" x14ac:dyDescent="0.25">
      <c r="A39" s="108" t="s">
        <v>357</v>
      </c>
      <c r="B39" s="3" t="s">
        <v>358</v>
      </c>
      <c r="C39" s="109">
        <v>112.55</v>
      </c>
    </row>
    <row r="40" spans="1:3" ht="15" x14ac:dyDescent="0.25">
      <c r="A40" s="108" t="s">
        <v>359</v>
      </c>
      <c r="B40" s="3" t="s">
        <v>360</v>
      </c>
      <c r="C40" s="109">
        <v>0</v>
      </c>
    </row>
    <row r="41" spans="1:3" ht="15" x14ac:dyDescent="0.25">
      <c r="A41" s="108" t="s">
        <v>361</v>
      </c>
      <c r="B41" s="3" t="s">
        <v>362</v>
      </c>
      <c r="C41" s="109">
        <v>12196.810000000001</v>
      </c>
    </row>
    <row r="42" spans="1:3" ht="15" x14ac:dyDescent="0.25">
      <c r="A42" s="108" t="s">
        <v>363</v>
      </c>
      <c r="B42" s="3" t="s">
        <v>364</v>
      </c>
      <c r="C42" s="109">
        <v>20033.96</v>
      </c>
    </row>
    <row r="43" spans="1:3" ht="15" x14ac:dyDescent="0.25">
      <c r="A43" s="108" t="s">
        <v>365</v>
      </c>
      <c r="B43" s="3" t="s">
        <v>366</v>
      </c>
      <c r="C43" s="109">
        <v>47426.78</v>
      </c>
    </row>
    <row r="44" spans="1:3" ht="15" x14ac:dyDescent="0.25">
      <c r="A44" s="108" t="s">
        <v>367</v>
      </c>
      <c r="B44" s="3" t="s">
        <v>368</v>
      </c>
      <c r="C44" s="109">
        <v>3838.51</v>
      </c>
    </row>
    <row r="45" spans="1:3" ht="15" x14ac:dyDescent="0.25">
      <c r="A45" s="108" t="s">
        <v>369</v>
      </c>
      <c r="B45" s="3" t="s">
        <v>370</v>
      </c>
      <c r="C45" s="109">
        <v>-95367.079999999914</v>
      </c>
    </row>
    <row r="46" spans="1:3" ht="15" x14ac:dyDescent="0.25">
      <c r="A46" s="108" t="s">
        <v>371</v>
      </c>
      <c r="B46" s="3" t="s">
        <v>372</v>
      </c>
      <c r="C46" s="109">
        <v>135413.20999999993</v>
      </c>
    </row>
    <row r="47" spans="1:3" ht="15" x14ac:dyDescent="0.25">
      <c r="A47" s="108" t="s">
        <v>373</v>
      </c>
      <c r="B47" s="3" t="s">
        <v>374</v>
      </c>
      <c r="C47" s="109">
        <v>102181.98000000001</v>
      </c>
    </row>
    <row r="48" spans="1:3" ht="15" x14ac:dyDescent="0.25">
      <c r="A48" s="108" t="s">
        <v>375</v>
      </c>
      <c r="B48" s="3" t="s">
        <v>376</v>
      </c>
      <c r="C48" s="109">
        <v>102774.75</v>
      </c>
    </row>
    <row r="49" spans="1:3" ht="15" x14ac:dyDescent="0.25">
      <c r="A49" s="108" t="s">
        <v>377</v>
      </c>
      <c r="B49" s="3" t="s">
        <v>378</v>
      </c>
      <c r="C49" s="109">
        <v>76657.070000000022</v>
      </c>
    </row>
    <row r="50" spans="1:3" ht="15" x14ac:dyDescent="0.25">
      <c r="A50" s="108" t="s">
        <v>379</v>
      </c>
      <c r="B50" s="3" t="s">
        <v>380</v>
      </c>
      <c r="C50" s="109">
        <v>-4.6100000000000136</v>
      </c>
    </row>
    <row r="51" spans="1:3" ht="15" x14ac:dyDescent="0.25">
      <c r="A51" s="108" t="s">
        <v>381</v>
      </c>
      <c r="B51" s="3" t="s">
        <v>382</v>
      </c>
      <c r="C51" s="109">
        <v>95168.510000000009</v>
      </c>
    </row>
    <row r="52" spans="1:3" ht="15" x14ac:dyDescent="0.25">
      <c r="A52" s="108" t="s">
        <v>383</v>
      </c>
      <c r="B52" s="3" t="s">
        <v>384</v>
      </c>
      <c r="C52" s="109">
        <v>720.29999999999927</v>
      </c>
    </row>
    <row r="53" spans="1:3" ht="15" x14ac:dyDescent="0.25">
      <c r="A53" s="108" t="s">
        <v>385</v>
      </c>
      <c r="B53" s="3" t="s">
        <v>386</v>
      </c>
      <c r="C53" s="109">
        <v>0</v>
      </c>
    </row>
    <row r="54" spans="1:3" ht="15" x14ac:dyDescent="0.25">
      <c r="A54" s="108" t="s">
        <v>387</v>
      </c>
      <c r="B54" s="3" t="s">
        <v>388</v>
      </c>
      <c r="C54" s="109">
        <v>239.5</v>
      </c>
    </row>
    <row r="55" spans="1:3" ht="15" x14ac:dyDescent="0.25">
      <c r="A55" s="108" t="s">
        <v>389</v>
      </c>
      <c r="B55" s="3" t="s">
        <v>390</v>
      </c>
      <c r="C55" s="109">
        <v>51471.609999999993</v>
      </c>
    </row>
    <row r="56" spans="1:3" ht="15" x14ac:dyDescent="0.25">
      <c r="A56" s="108" t="s">
        <v>391</v>
      </c>
      <c r="B56" s="3" t="s">
        <v>392</v>
      </c>
      <c r="C56" s="109">
        <v>3998.71</v>
      </c>
    </row>
    <row r="57" spans="1:3" ht="15" x14ac:dyDescent="0.25">
      <c r="A57" s="108" t="s">
        <v>393</v>
      </c>
      <c r="B57" s="3" t="s">
        <v>394</v>
      </c>
      <c r="C57" s="109">
        <v>-9426.69</v>
      </c>
    </row>
    <row r="58" spans="1:3" ht="15" x14ac:dyDescent="0.25">
      <c r="A58" s="108" t="s">
        <v>395</v>
      </c>
      <c r="B58" s="3" t="s">
        <v>396</v>
      </c>
      <c r="C58" s="109">
        <v>16147.740000000002</v>
      </c>
    </row>
    <row r="59" spans="1:3" ht="15" x14ac:dyDescent="0.25">
      <c r="A59" s="108" t="s">
        <v>397</v>
      </c>
      <c r="B59" s="3" t="s">
        <v>398</v>
      </c>
      <c r="C59" s="109">
        <v>16660.100000000002</v>
      </c>
    </row>
    <row r="60" spans="1:3" ht="15" x14ac:dyDescent="0.25">
      <c r="A60" s="108" t="s">
        <v>399</v>
      </c>
      <c r="B60" s="3" t="s">
        <v>400</v>
      </c>
      <c r="C60" s="109">
        <v>8204.5300000000043</v>
      </c>
    </row>
    <row r="61" spans="1:3" ht="15" x14ac:dyDescent="0.25">
      <c r="A61" s="108" t="s">
        <v>401</v>
      </c>
      <c r="B61" s="3" t="s">
        <v>402</v>
      </c>
      <c r="C61" s="109">
        <v>165078.84000000008</v>
      </c>
    </row>
    <row r="62" spans="1:3" ht="15" x14ac:dyDescent="0.25">
      <c r="A62" s="108" t="s">
        <v>403</v>
      </c>
      <c r="B62" s="3" t="s">
        <v>404</v>
      </c>
      <c r="C62" s="109">
        <v>71720.430000000008</v>
      </c>
    </row>
    <row r="63" spans="1:3" ht="15" x14ac:dyDescent="0.25">
      <c r="A63" s="108" t="s">
        <v>405</v>
      </c>
      <c r="B63" s="3" t="s">
        <v>406</v>
      </c>
      <c r="C63" s="109">
        <v>-15292.789999999999</v>
      </c>
    </row>
    <row r="64" spans="1:3" ht="15" x14ac:dyDescent="0.25">
      <c r="A64" s="108" t="s">
        <v>407</v>
      </c>
      <c r="B64" s="3" t="s">
        <v>408</v>
      </c>
      <c r="C64" s="109">
        <v>3.6599999999999966</v>
      </c>
    </row>
    <row r="65" spans="1:3" ht="15" x14ac:dyDescent="0.25">
      <c r="A65" s="108" t="s">
        <v>409</v>
      </c>
      <c r="B65" s="3" t="s">
        <v>410</v>
      </c>
      <c r="C65" s="109">
        <v>21613.56</v>
      </c>
    </row>
    <row r="66" spans="1:3" ht="15" x14ac:dyDescent="0.25">
      <c r="A66" s="108" t="s">
        <v>411</v>
      </c>
      <c r="B66" s="3" t="s">
        <v>412</v>
      </c>
      <c r="C66" s="109">
        <v>18225.980000000007</v>
      </c>
    </row>
    <row r="67" spans="1:3" ht="15" x14ac:dyDescent="0.25">
      <c r="A67" s="108" t="s">
        <v>413</v>
      </c>
      <c r="B67" s="3" t="s">
        <v>414</v>
      </c>
      <c r="C67" s="109">
        <v>0</v>
      </c>
    </row>
    <row r="68" spans="1:3" ht="15" x14ac:dyDescent="0.25">
      <c r="A68" s="108" t="s">
        <v>415</v>
      </c>
      <c r="B68" s="3" t="s">
        <v>416</v>
      </c>
      <c r="C68" s="109">
        <v>14772.7</v>
      </c>
    </row>
    <row r="69" spans="1:3" ht="15" x14ac:dyDescent="0.25">
      <c r="A69" s="108" t="s">
        <v>417</v>
      </c>
      <c r="B69" s="3" t="s">
        <v>418</v>
      </c>
      <c r="C69" s="109">
        <v>-2280</v>
      </c>
    </row>
    <row r="70" spans="1:3" ht="15" x14ac:dyDescent="0.25">
      <c r="A70" s="108" t="s">
        <v>419</v>
      </c>
      <c r="B70" s="3" t="s">
        <v>420</v>
      </c>
      <c r="C70" s="109">
        <v>90254.889999999985</v>
      </c>
    </row>
    <row r="71" spans="1:3" ht="15" x14ac:dyDescent="0.25">
      <c r="A71" s="108" t="s">
        <v>421</v>
      </c>
      <c r="B71" s="3" t="s">
        <v>422</v>
      </c>
      <c r="C71" s="109">
        <v>56081.429999999993</v>
      </c>
    </row>
    <row r="72" spans="1:3" ht="15" x14ac:dyDescent="0.25">
      <c r="A72" s="108" t="s">
        <v>423</v>
      </c>
      <c r="B72" s="3" t="s">
        <v>424</v>
      </c>
      <c r="C72" s="109">
        <v>2280.0100000000002</v>
      </c>
    </row>
    <row r="73" spans="1:3" ht="15" x14ac:dyDescent="0.25">
      <c r="A73" s="108" t="s">
        <v>425</v>
      </c>
      <c r="B73" s="3" t="s">
        <v>426</v>
      </c>
      <c r="C73" s="109">
        <v>249720.34000000011</v>
      </c>
    </row>
    <row r="74" spans="1:3" ht="15" x14ac:dyDescent="0.25">
      <c r="A74" s="108" t="s">
        <v>427</v>
      </c>
      <c r="B74" s="3" t="s">
        <v>428</v>
      </c>
      <c r="C74" s="109">
        <v>955297.14999999956</v>
      </c>
    </row>
    <row r="75" spans="1:3" ht="15" x14ac:dyDescent="0.25">
      <c r="A75" s="108" t="s">
        <v>429</v>
      </c>
      <c r="B75" s="3" t="s">
        <v>430</v>
      </c>
      <c r="C75" s="109">
        <v>-7.1054273576010019E-15</v>
      </c>
    </row>
    <row r="76" spans="1:3" ht="15" x14ac:dyDescent="0.25">
      <c r="A76" s="108" t="s">
        <v>431</v>
      </c>
      <c r="B76" s="3" t="s">
        <v>432</v>
      </c>
      <c r="C76" s="109">
        <v>1.34</v>
      </c>
    </row>
    <row r="77" spans="1:3" ht="15" x14ac:dyDescent="0.25">
      <c r="A77" s="108" t="s">
        <v>433</v>
      </c>
      <c r="B77" s="3" t="s">
        <v>434</v>
      </c>
      <c r="C77" s="109">
        <v>21641.09</v>
      </c>
    </row>
    <row r="78" spans="1:3" ht="15" x14ac:dyDescent="0.25">
      <c r="A78" s="108" t="s">
        <v>435</v>
      </c>
      <c r="B78" s="3" t="s">
        <v>436</v>
      </c>
      <c r="C78" s="109">
        <v>156601.99999999997</v>
      </c>
    </row>
    <row r="79" spans="1:3" ht="15" x14ac:dyDescent="0.25">
      <c r="A79" s="108" t="s">
        <v>437</v>
      </c>
      <c r="B79" s="3" t="s">
        <v>438</v>
      </c>
      <c r="C79" s="109">
        <v>2464</v>
      </c>
    </row>
    <row r="80" spans="1:3" ht="15" x14ac:dyDescent="0.25">
      <c r="A80" s="108" t="s">
        <v>439</v>
      </c>
      <c r="B80" s="3" t="s">
        <v>440</v>
      </c>
      <c r="C80" s="109">
        <v>783753.0199999999</v>
      </c>
    </row>
    <row r="81" spans="1:3" ht="15" x14ac:dyDescent="0.25">
      <c r="A81" s="108" t="s">
        <v>441</v>
      </c>
      <c r="B81" s="3" t="s">
        <v>442</v>
      </c>
      <c r="C81" s="109">
        <v>235148.19000000006</v>
      </c>
    </row>
    <row r="82" spans="1:3" ht="15" x14ac:dyDescent="0.25">
      <c r="A82" s="108" t="s">
        <v>443</v>
      </c>
      <c r="B82" s="3" t="s">
        <v>444</v>
      </c>
      <c r="C82" s="109">
        <v>87.330000000000069</v>
      </c>
    </row>
    <row r="83" spans="1:3" ht="15" x14ac:dyDescent="0.25">
      <c r="A83" s="108" t="s">
        <v>445</v>
      </c>
      <c r="B83" s="3" t="s">
        <v>446</v>
      </c>
      <c r="C83" s="109">
        <v>225679.39</v>
      </c>
    </row>
    <row r="84" spans="1:3" ht="15" x14ac:dyDescent="0.25">
      <c r="A84" s="108" t="s">
        <v>447</v>
      </c>
      <c r="B84" s="3" t="s">
        <v>448</v>
      </c>
      <c r="C84" s="109">
        <v>54742.720000000016</v>
      </c>
    </row>
    <row r="85" spans="1:3" ht="15" x14ac:dyDescent="0.25">
      <c r="A85" s="108" t="s">
        <v>449</v>
      </c>
      <c r="B85" s="3" t="s">
        <v>450</v>
      </c>
      <c r="C85" s="109">
        <v>95517.99</v>
      </c>
    </row>
    <row r="86" spans="1:3" ht="15" x14ac:dyDescent="0.25">
      <c r="A86" s="108" t="s">
        <v>451</v>
      </c>
      <c r="B86" s="3" t="s">
        <v>452</v>
      </c>
      <c r="C86" s="109">
        <v>61177.54</v>
      </c>
    </row>
    <row r="87" spans="1:3" ht="15" x14ac:dyDescent="0.25">
      <c r="A87" s="108" t="s">
        <v>453</v>
      </c>
      <c r="B87" s="3" t="s">
        <v>454</v>
      </c>
      <c r="C87" s="109">
        <v>502.24000000000035</v>
      </c>
    </row>
    <row r="88" spans="1:3" ht="15" x14ac:dyDescent="0.25">
      <c r="A88" s="108" t="s">
        <v>455</v>
      </c>
      <c r="B88" s="3" t="s">
        <v>456</v>
      </c>
      <c r="C88" s="109">
        <v>97300.52000000012</v>
      </c>
    </row>
    <row r="89" spans="1:3" ht="15" x14ac:dyDescent="0.25">
      <c r="A89" s="108" t="s">
        <v>457</v>
      </c>
      <c r="B89" s="3" t="s">
        <v>458</v>
      </c>
      <c r="C89" s="109">
        <v>129583.19</v>
      </c>
    </row>
    <row r="90" spans="1:3" ht="15" x14ac:dyDescent="0.25">
      <c r="A90" s="108" t="s">
        <v>459</v>
      </c>
      <c r="B90" s="3" t="s">
        <v>460</v>
      </c>
      <c r="C90" s="109">
        <v>-20595.600000000013</v>
      </c>
    </row>
    <row r="91" spans="1:3" ht="15" x14ac:dyDescent="0.25">
      <c r="A91" s="108" t="s">
        <v>461</v>
      </c>
      <c r="B91" s="3" t="s">
        <v>462</v>
      </c>
      <c r="C91" s="109">
        <v>157526.00999999998</v>
      </c>
    </row>
    <row r="92" spans="1:3" ht="15" x14ac:dyDescent="0.25">
      <c r="A92" s="108" t="s">
        <v>463</v>
      </c>
      <c r="B92" s="3" t="s">
        <v>464</v>
      </c>
      <c r="C92" s="109">
        <v>100844.38</v>
      </c>
    </row>
    <row r="93" spans="1:3" ht="15" x14ac:dyDescent="0.25">
      <c r="A93" s="108" t="s">
        <v>465</v>
      </c>
      <c r="B93" s="3" t="s">
        <v>466</v>
      </c>
      <c r="C93" s="109">
        <v>2470515.5399999996</v>
      </c>
    </row>
    <row r="94" spans="1:3" ht="15" x14ac:dyDescent="0.25">
      <c r="A94" s="108" t="s">
        <v>467</v>
      </c>
      <c r="B94" s="3" t="s">
        <v>468</v>
      </c>
      <c r="C94" s="109">
        <v>11743.180000000004</v>
      </c>
    </row>
    <row r="95" spans="1:3" ht="15" x14ac:dyDescent="0.25">
      <c r="A95" s="108" t="s">
        <v>469</v>
      </c>
      <c r="B95" s="3" t="s">
        <v>470</v>
      </c>
      <c r="C95" s="109">
        <v>-3409.49</v>
      </c>
    </row>
    <row r="96" spans="1:3" ht="15" x14ac:dyDescent="0.25">
      <c r="A96" s="108" t="s">
        <v>471</v>
      </c>
      <c r="B96" s="3" t="s">
        <v>472</v>
      </c>
      <c r="C96" s="109">
        <v>-87</v>
      </c>
    </row>
    <row r="97" spans="1:3" ht="15" x14ac:dyDescent="0.25">
      <c r="A97" s="108" t="s">
        <v>473</v>
      </c>
      <c r="B97" s="3" t="s">
        <v>474</v>
      </c>
      <c r="C97" s="109">
        <v>-10802.970000000003</v>
      </c>
    </row>
    <row r="98" spans="1:3" ht="15" x14ac:dyDescent="0.25">
      <c r="A98" s="108" t="s">
        <v>475</v>
      </c>
      <c r="B98" s="3" t="s">
        <v>476</v>
      </c>
      <c r="C98" s="109">
        <v>12686926.759999994</v>
      </c>
    </row>
    <row r="99" spans="1:3" ht="15" x14ac:dyDescent="0.25">
      <c r="A99" s="108" t="s">
        <v>477</v>
      </c>
      <c r="B99" s="3" t="s">
        <v>478</v>
      </c>
      <c r="C99" s="109">
        <v>530140.85000000044</v>
      </c>
    </row>
    <row r="100" spans="1:3" ht="15" x14ac:dyDescent="0.25">
      <c r="A100" s="108" t="s">
        <v>479</v>
      </c>
      <c r="B100" s="3" t="s">
        <v>480</v>
      </c>
      <c r="C100" s="109">
        <v>129102.76999999999</v>
      </c>
    </row>
    <row r="101" spans="1:3" ht="15" x14ac:dyDescent="0.25">
      <c r="A101" s="108" t="s">
        <v>481</v>
      </c>
      <c r="B101" s="3" t="s">
        <v>482</v>
      </c>
      <c r="C101" s="109">
        <v>-3.1086244689504383E-15</v>
      </c>
    </row>
    <row r="102" spans="1:3" ht="15" x14ac:dyDescent="0.25">
      <c r="A102" s="108" t="s">
        <v>483</v>
      </c>
      <c r="B102" s="3" t="s">
        <v>484</v>
      </c>
      <c r="C102" s="109">
        <v>306807.25</v>
      </c>
    </row>
    <row r="103" spans="1:3" ht="15" x14ac:dyDescent="0.25">
      <c r="A103" s="108" t="s">
        <v>485</v>
      </c>
      <c r="B103" s="3" t="s">
        <v>486</v>
      </c>
      <c r="C103" s="109">
        <v>181.81000000000131</v>
      </c>
    </row>
    <row r="104" spans="1:3" ht="15" x14ac:dyDescent="0.25">
      <c r="A104" s="108" t="s">
        <v>487</v>
      </c>
      <c r="B104" s="3" t="s">
        <v>488</v>
      </c>
      <c r="C104" s="109">
        <v>-147549.81</v>
      </c>
    </row>
    <row r="105" spans="1:3" ht="15" x14ac:dyDescent="0.25">
      <c r="A105" s="108" t="s">
        <v>489</v>
      </c>
      <c r="B105" s="3" t="s">
        <v>490</v>
      </c>
      <c r="C105" s="109">
        <v>113456.57999999997</v>
      </c>
    </row>
    <row r="106" spans="1:3" ht="15" x14ac:dyDescent="0.25">
      <c r="A106" s="108" t="s">
        <v>491</v>
      </c>
      <c r="B106" s="3" t="s">
        <v>492</v>
      </c>
      <c r="C106" s="109">
        <v>166954.74000000002</v>
      </c>
    </row>
    <row r="107" spans="1:3" ht="15" x14ac:dyDescent="0.25">
      <c r="A107" s="108" t="s">
        <v>493</v>
      </c>
      <c r="B107" s="3" t="s">
        <v>494</v>
      </c>
      <c r="C107" s="109">
        <v>-8521690.959999986</v>
      </c>
    </row>
    <row r="108" spans="1:3" ht="15" x14ac:dyDescent="0.25">
      <c r="A108" s="108" t="s">
        <v>495</v>
      </c>
      <c r="B108" s="3" t="s">
        <v>496</v>
      </c>
      <c r="C108" s="109">
        <v>-1063921.8499999999</v>
      </c>
    </row>
    <row r="109" spans="1:3" ht="15" x14ac:dyDescent="0.25">
      <c r="A109" s="108" t="s">
        <v>497</v>
      </c>
      <c r="B109" s="3" t="s">
        <v>498</v>
      </c>
      <c r="C109" s="109">
        <v>406679.36000000173</v>
      </c>
    </row>
    <row r="110" spans="1:3" ht="15" x14ac:dyDescent="0.25">
      <c r="A110" s="108" t="s">
        <v>499</v>
      </c>
      <c r="B110" s="3" t="s">
        <v>500</v>
      </c>
      <c r="C110" s="109">
        <v>83779.85000000002</v>
      </c>
    </row>
    <row r="111" spans="1:3" ht="15" x14ac:dyDescent="0.25">
      <c r="A111" s="108" t="s">
        <v>501</v>
      </c>
      <c r="B111" s="3" t="s">
        <v>502</v>
      </c>
      <c r="C111" s="109">
        <v>417849.6699999994</v>
      </c>
    </row>
    <row r="112" spans="1:3" ht="15" x14ac:dyDescent="0.25">
      <c r="A112" s="108" t="s">
        <v>503</v>
      </c>
      <c r="B112" s="3" t="s">
        <v>504</v>
      </c>
      <c r="C112" s="109">
        <v>0</v>
      </c>
    </row>
    <row r="113" spans="1:3" ht="15" x14ac:dyDescent="0.25">
      <c r="A113" s="108" t="s">
        <v>505</v>
      </c>
      <c r="B113" s="3" t="s">
        <v>506</v>
      </c>
      <c r="C113" s="109">
        <v>884505.56999999774</v>
      </c>
    </row>
    <row r="114" spans="1:3" ht="15" x14ac:dyDescent="0.25">
      <c r="A114" s="108" t="s">
        <v>507</v>
      </c>
      <c r="B114" s="3" t="s">
        <v>508</v>
      </c>
      <c r="C114" s="109">
        <v>1979753.2799999996</v>
      </c>
    </row>
    <row r="115" spans="1:3" ht="15" x14ac:dyDescent="0.25">
      <c r="A115" s="108" t="s">
        <v>509</v>
      </c>
      <c r="B115" s="3" t="s">
        <v>510</v>
      </c>
      <c r="C115" s="109">
        <v>5645641.7999999886</v>
      </c>
    </row>
    <row r="116" spans="1:3" ht="15" x14ac:dyDescent="0.25">
      <c r="A116" s="108" t="s">
        <v>511</v>
      </c>
      <c r="B116" s="3" t="s">
        <v>512</v>
      </c>
      <c r="C116" s="109">
        <v>2217265.4300000002</v>
      </c>
    </row>
    <row r="117" spans="1:3" ht="15" x14ac:dyDescent="0.25">
      <c r="A117" s="108" t="s">
        <v>513</v>
      </c>
      <c r="B117" s="3" t="s">
        <v>514</v>
      </c>
      <c r="C117" s="109">
        <v>1038337.0399999991</v>
      </c>
    </row>
    <row r="118" spans="1:3" ht="15" x14ac:dyDescent="0.25">
      <c r="A118" s="108" t="s">
        <v>515</v>
      </c>
      <c r="B118" s="3" t="s">
        <v>516</v>
      </c>
      <c r="C118" s="109">
        <v>1689.3899999999996</v>
      </c>
    </row>
    <row r="119" spans="1:3" ht="15" x14ac:dyDescent="0.25">
      <c r="A119" s="108" t="s">
        <v>517</v>
      </c>
      <c r="B119" s="3" t="s">
        <v>518</v>
      </c>
      <c r="C119" s="109">
        <v>112.80000000000001</v>
      </c>
    </row>
    <row r="120" spans="1:3" ht="15" x14ac:dyDescent="0.25">
      <c r="A120" s="108" t="s">
        <v>519</v>
      </c>
      <c r="B120" s="3" t="s">
        <v>520</v>
      </c>
      <c r="C120" s="109">
        <v>14765.809999999998</v>
      </c>
    </row>
    <row r="121" spans="1:3" ht="15" x14ac:dyDescent="0.25">
      <c r="A121" s="108" t="s">
        <v>521</v>
      </c>
      <c r="B121" s="3" t="s">
        <v>522</v>
      </c>
      <c r="C121" s="109">
        <v>245441.5</v>
      </c>
    </row>
    <row r="122" spans="1:3" ht="15" x14ac:dyDescent="0.25">
      <c r="A122" s="108" t="s">
        <v>523</v>
      </c>
      <c r="B122" s="3" t="s">
        <v>524</v>
      </c>
      <c r="C122" s="109">
        <v>2486614.6399999987</v>
      </c>
    </row>
    <row r="123" spans="1:3" ht="15" x14ac:dyDescent="0.25">
      <c r="A123" s="108" t="s">
        <v>525</v>
      </c>
      <c r="B123" s="3" t="s">
        <v>526</v>
      </c>
      <c r="C123" s="109">
        <v>1670426.9800000021</v>
      </c>
    </row>
    <row r="124" spans="1:3" ht="15" x14ac:dyDescent="0.25">
      <c r="A124" s="108" t="s">
        <v>527</v>
      </c>
      <c r="B124" s="3" t="s">
        <v>528</v>
      </c>
      <c r="C124" s="109">
        <v>221718.70000000016</v>
      </c>
    </row>
    <row r="125" spans="1:3" ht="15" x14ac:dyDescent="0.25">
      <c r="A125" s="108" t="s">
        <v>529</v>
      </c>
      <c r="B125" s="3" t="s">
        <v>530</v>
      </c>
      <c r="C125" s="109">
        <v>-12971.63</v>
      </c>
    </row>
    <row r="126" spans="1:3" ht="15" x14ac:dyDescent="0.25">
      <c r="A126" s="108" t="s">
        <v>531</v>
      </c>
      <c r="B126" s="3" t="s">
        <v>532</v>
      </c>
      <c r="C126" s="109">
        <v>-11681.8</v>
      </c>
    </row>
    <row r="127" spans="1:3" ht="15" x14ac:dyDescent="0.25">
      <c r="A127" s="108" t="s">
        <v>533</v>
      </c>
      <c r="B127" s="3" t="s">
        <v>534</v>
      </c>
      <c r="C127" s="109">
        <v>144853.43000000002</v>
      </c>
    </row>
    <row r="128" spans="1:3" ht="15" x14ac:dyDescent="0.25">
      <c r="A128" s="108" t="s">
        <v>535</v>
      </c>
      <c r="B128" s="3" t="s">
        <v>536</v>
      </c>
      <c r="C128" s="109">
        <v>1775.69</v>
      </c>
    </row>
    <row r="129" spans="1:3" ht="15" x14ac:dyDescent="0.25">
      <c r="A129" s="108" t="s">
        <v>537</v>
      </c>
      <c r="B129" s="3" t="s">
        <v>538</v>
      </c>
      <c r="C129" s="109">
        <v>2912962.73</v>
      </c>
    </row>
    <row r="130" spans="1:3" ht="15" x14ac:dyDescent="0.25">
      <c r="A130" s="108" t="s">
        <v>539</v>
      </c>
      <c r="B130" s="3" t="s">
        <v>540</v>
      </c>
      <c r="C130" s="109">
        <v>2536.34</v>
      </c>
    </row>
    <row r="131" spans="1:3" ht="15" x14ac:dyDescent="0.25">
      <c r="A131" s="108" t="s">
        <v>541</v>
      </c>
      <c r="B131" s="3" t="s">
        <v>542</v>
      </c>
      <c r="C131" s="109">
        <v>6324475.9499999965</v>
      </c>
    </row>
    <row r="132" spans="1:3" ht="15" x14ac:dyDescent="0.25">
      <c r="A132" s="108" t="s">
        <v>543</v>
      </c>
      <c r="B132" s="3" t="s">
        <v>544</v>
      </c>
      <c r="C132" s="109">
        <v>1138694.3100000003</v>
      </c>
    </row>
    <row r="133" spans="1:3" ht="15" x14ac:dyDescent="0.25">
      <c r="A133" s="108" t="s">
        <v>545</v>
      </c>
      <c r="B133" s="3" t="s">
        <v>546</v>
      </c>
      <c r="C133" s="109">
        <v>-234829.99</v>
      </c>
    </row>
    <row r="134" spans="1:3" ht="15" x14ac:dyDescent="0.25">
      <c r="A134" s="108" t="s">
        <v>547</v>
      </c>
      <c r="B134" s="3" t="s">
        <v>548</v>
      </c>
      <c r="C134" s="109">
        <v>59403.039999999994</v>
      </c>
    </row>
    <row r="135" spans="1:3" ht="15" x14ac:dyDescent="0.25">
      <c r="A135" s="108" t="s">
        <v>549</v>
      </c>
      <c r="B135" s="3" t="s">
        <v>550</v>
      </c>
      <c r="C135" s="109">
        <v>566.30999999999995</v>
      </c>
    </row>
    <row r="136" spans="1:3" ht="15" x14ac:dyDescent="0.25">
      <c r="A136" s="108" t="s">
        <v>551</v>
      </c>
      <c r="B136" s="3" t="s">
        <v>552</v>
      </c>
      <c r="C136" s="109">
        <v>31233.010000000009</v>
      </c>
    </row>
    <row r="137" spans="1:3" ht="15" x14ac:dyDescent="0.25">
      <c r="A137" s="108" t="s">
        <v>553</v>
      </c>
      <c r="B137" s="3" t="s">
        <v>554</v>
      </c>
      <c r="C137" s="109">
        <v>1733742.8600000013</v>
      </c>
    </row>
    <row r="138" spans="1:3" ht="15" x14ac:dyDescent="0.25">
      <c r="A138" s="108" t="s">
        <v>555</v>
      </c>
      <c r="B138" s="3" t="s">
        <v>556</v>
      </c>
      <c r="C138" s="109">
        <v>-24655.460000000003</v>
      </c>
    </row>
    <row r="139" spans="1:3" ht="15" x14ac:dyDescent="0.25">
      <c r="A139" s="108" t="s">
        <v>557</v>
      </c>
      <c r="B139" s="3" t="s">
        <v>558</v>
      </c>
      <c r="C139" s="109">
        <v>511040.04999999993</v>
      </c>
    </row>
    <row r="140" spans="1:3" ht="15" x14ac:dyDescent="0.25">
      <c r="A140" s="108" t="s">
        <v>559</v>
      </c>
      <c r="B140" s="3" t="s">
        <v>560</v>
      </c>
      <c r="C140" s="109">
        <v>957410.27999999991</v>
      </c>
    </row>
    <row r="141" spans="1:3" ht="15" x14ac:dyDescent="0.25">
      <c r="A141" s="108" t="s">
        <v>561</v>
      </c>
      <c r="B141" s="3" t="s">
        <v>562</v>
      </c>
      <c r="C141" s="109">
        <v>444133.06</v>
      </c>
    </row>
    <row r="142" spans="1:3" ht="15" x14ac:dyDescent="0.25">
      <c r="A142" s="108" t="s">
        <v>563</v>
      </c>
      <c r="B142" s="3" t="s">
        <v>564</v>
      </c>
      <c r="C142" s="109">
        <v>1137</v>
      </c>
    </row>
    <row r="143" spans="1:3" ht="15" x14ac:dyDescent="0.25">
      <c r="A143" s="108" t="s">
        <v>565</v>
      </c>
      <c r="B143" s="3" t="s">
        <v>566</v>
      </c>
      <c r="C143" s="109">
        <v>149579.88</v>
      </c>
    </row>
    <row r="144" spans="1:3" ht="15" x14ac:dyDescent="0.25">
      <c r="A144" s="108" t="s">
        <v>567</v>
      </c>
      <c r="B144" s="3" t="s">
        <v>568</v>
      </c>
      <c r="C144" s="109">
        <v>148294.57000000007</v>
      </c>
    </row>
    <row r="145" spans="1:3" ht="15" x14ac:dyDescent="0.25">
      <c r="A145" s="108" t="s">
        <v>569</v>
      </c>
      <c r="B145" s="3" t="s">
        <v>570</v>
      </c>
      <c r="C145" s="109">
        <v>-152.95999999999992</v>
      </c>
    </row>
    <row r="146" spans="1:3" ht="15" x14ac:dyDescent="0.25">
      <c r="A146" s="108" t="s">
        <v>571</v>
      </c>
      <c r="B146" s="3" t="s">
        <v>572</v>
      </c>
      <c r="C146" s="109">
        <v>162077.17000000001</v>
      </c>
    </row>
    <row r="147" spans="1:3" ht="15" x14ac:dyDescent="0.25">
      <c r="A147" s="108" t="s">
        <v>573</v>
      </c>
      <c r="B147" s="3" t="s">
        <v>574</v>
      </c>
      <c r="C147" s="109">
        <v>132626.86999999997</v>
      </c>
    </row>
    <row r="148" spans="1:3" ht="15" x14ac:dyDescent="0.25">
      <c r="A148" s="108" t="s">
        <v>575</v>
      </c>
      <c r="B148" s="3" t="s">
        <v>576</v>
      </c>
      <c r="C148" s="109">
        <v>655516.93999999994</v>
      </c>
    </row>
    <row r="149" spans="1:3" ht="15" x14ac:dyDescent="0.25">
      <c r="A149" s="108" t="s">
        <v>577</v>
      </c>
      <c r="B149" s="3" t="s">
        <v>578</v>
      </c>
      <c r="C149" s="109">
        <v>660526.2100000002</v>
      </c>
    </row>
    <row r="150" spans="1:3" ht="15" x14ac:dyDescent="0.25">
      <c r="A150" s="108" t="s">
        <v>579</v>
      </c>
      <c r="B150" s="3" t="s">
        <v>580</v>
      </c>
      <c r="C150" s="109">
        <v>590626.97999999986</v>
      </c>
    </row>
    <row r="151" spans="1:3" ht="15" x14ac:dyDescent="0.25">
      <c r="A151" s="108" t="s">
        <v>581</v>
      </c>
      <c r="B151" s="3" t="s">
        <v>582</v>
      </c>
      <c r="C151" s="109">
        <v>71835.040000000008</v>
      </c>
    </row>
    <row r="152" spans="1:3" ht="15" x14ac:dyDescent="0.25">
      <c r="A152" s="108" t="s">
        <v>583</v>
      </c>
      <c r="B152" s="3" t="s">
        <v>584</v>
      </c>
      <c r="C152" s="109">
        <v>257129.7</v>
      </c>
    </row>
    <row r="153" spans="1:3" ht="15" x14ac:dyDescent="0.25">
      <c r="A153" s="108" t="s">
        <v>585</v>
      </c>
      <c r="B153" s="3" t="s">
        <v>586</v>
      </c>
      <c r="C153" s="109">
        <v>233279.40000000002</v>
      </c>
    </row>
    <row r="154" spans="1:3" ht="15" x14ac:dyDescent="0.25">
      <c r="A154" s="108" t="s">
        <v>587</v>
      </c>
      <c r="B154" s="3" t="s">
        <v>588</v>
      </c>
      <c r="C154" s="109">
        <v>664886.73999999976</v>
      </c>
    </row>
    <row r="155" spans="1:3" ht="15" x14ac:dyDescent="0.25">
      <c r="A155" s="108" t="s">
        <v>589</v>
      </c>
      <c r="B155" s="3" t="s">
        <v>590</v>
      </c>
      <c r="C155" s="109">
        <v>151334.56000000003</v>
      </c>
    </row>
    <row r="156" spans="1:3" ht="15" x14ac:dyDescent="0.25">
      <c r="A156" s="108" t="s">
        <v>591</v>
      </c>
      <c r="B156" s="3" t="s">
        <v>592</v>
      </c>
      <c r="C156" s="109">
        <v>27805.129999999997</v>
      </c>
    </row>
    <row r="157" spans="1:3" ht="15" x14ac:dyDescent="0.25">
      <c r="A157" s="108" t="s">
        <v>593</v>
      </c>
      <c r="B157" s="3" t="s">
        <v>594</v>
      </c>
      <c r="C157" s="109">
        <v>30936.870000000003</v>
      </c>
    </row>
    <row r="158" spans="1:3" ht="15" x14ac:dyDescent="0.25">
      <c r="A158" s="108" t="s">
        <v>595</v>
      </c>
      <c r="B158" s="3" t="s">
        <v>596</v>
      </c>
      <c r="C158" s="109">
        <v>44882.07</v>
      </c>
    </row>
    <row r="159" spans="1:3" ht="15" x14ac:dyDescent="0.25">
      <c r="A159" s="108" t="s">
        <v>597</v>
      </c>
      <c r="B159" s="3" t="s">
        <v>598</v>
      </c>
      <c r="C159" s="109">
        <v>265577.68999999994</v>
      </c>
    </row>
    <row r="160" spans="1:3" ht="15" x14ac:dyDescent="0.25">
      <c r="A160" s="108" t="s">
        <v>599</v>
      </c>
      <c r="B160" s="3" t="s">
        <v>600</v>
      </c>
      <c r="C160" s="109">
        <v>78.540000000000006</v>
      </c>
    </row>
    <row r="161" spans="1:3" ht="15" x14ac:dyDescent="0.25">
      <c r="A161" s="108" t="s">
        <v>601</v>
      </c>
      <c r="B161" s="3" t="s">
        <v>602</v>
      </c>
      <c r="C161" s="109">
        <v>696037</v>
      </c>
    </row>
    <row r="162" spans="1:3" ht="15" x14ac:dyDescent="0.25">
      <c r="A162" s="108" t="s">
        <v>603</v>
      </c>
      <c r="B162" s="3" t="s">
        <v>604</v>
      </c>
      <c r="C162" s="109">
        <v>390227.58999999985</v>
      </c>
    </row>
    <row r="163" spans="1:3" ht="15" x14ac:dyDescent="0.25">
      <c r="A163" s="108" t="s">
        <v>605</v>
      </c>
      <c r="B163" s="3" t="s">
        <v>606</v>
      </c>
      <c r="C163" s="109">
        <v>261776.68000000002</v>
      </c>
    </row>
    <row r="164" spans="1:3" ht="15" x14ac:dyDescent="0.25">
      <c r="A164" s="108" t="s">
        <v>607</v>
      </c>
      <c r="B164" s="3" t="s">
        <v>608</v>
      </c>
      <c r="C164" s="109">
        <v>1141532.3999999994</v>
      </c>
    </row>
    <row r="165" spans="1:3" ht="15" x14ac:dyDescent="0.25">
      <c r="A165" s="108" t="s">
        <v>609</v>
      </c>
      <c r="B165" s="3" t="s">
        <v>610</v>
      </c>
      <c r="C165" s="109">
        <v>120007.08999999995</v>
      </c>
    </row>
    <row r="166" spans="1:3" ht="15" x14ac:dyDescent="0.25">
      <c r="A166" s="108" t="s">
        <v>611</v>
      </c>
      <c r="B166" s="3" t="s">
        <v>612</v>
      </c>
      <c r="C166" s="109">
        <v>10878.960000000001</v>
      </c>
    </row>
    <row r="167" spans="1:3" ht="15" x14ac:dyDescent="0.25">
      <c r="A167" s="108" t="s">
        <v>613</v>
      </c>
      <c r="B167" s="3" t="s">
        <v>614</v>
      </c>
      <c r="C167" s="109">
        <v>993073.57</v>
      </c>
    </row>
    <row r="168" spans="1:3" ht="15" x14ac:dyDescent="0.25">
      <c r="A168" s="108" t="s">
        <v>615</v>
      </c>
      <c r="B168" s="3" t="s">
        <v>616</v>
      </c>
      <c r="C168" s="109">
        <v>104222.35000000008</v>
      </c>
    </row>
    <row r="169" spans="1:3" ht="15" x14ac:dyDescent="0.25">
      <c r="A169" s="108" t="s">
        <v>617</v>
      </c>
      <c r="B169" s="3" t="s">
        <v>618</v>
      </c>
      <c r="C169" s="109">
        <v>-201269.36</v>
      </c>
    </row>
    <row r="170" spans="1:3" ht="15" x14ac:dyDescent="0.25">
      <c r="A170" s="108" t="s">
        <v>619</v>
      </c>
      <c r="B170" s="3" t="s">
        <v>620</v>
      </c>
      <c r="C170" s="109">
        <v>1415194.44</v>
      </c>
    </row>
    <row r="171" spans="1:3" ht="15" x14ac:dyDescent="0.25">
      <c r="A171" s="108" t="s">
        <v>621</v>
      </c>
      <c r="B171" s="3" t="s">
        <v>622</v>
      </c>
      <c r="C171" s="109">
        <v>7590.7399999999971</v>
      </c>
    </row>
    <row r="172" spans="1:3" ht="15" x14ac:dyDescent="0.25">
      <c r="A172" s="108" t="s">
        <v>623</v>
      </c>
      <c r="B172" s="3" t="s">
        <v>624</v>
      </c>
      <c r="C172" s="109">
        <v>21365.640000000003</v>
      </c>
    </row>
    <row r="173" spans="1:3" ht="15" x14ac:dyDescent="0.25">
      <c r="A173" s="108" t="s">
        <v>625</v>
      </c>
      <c r="B173" s="3" t="s">
        <v>626</v>
      </c>
      <c r="C173" s="109">
        <v>13568</v>
      </c>
    </row>
    <row r="174" spans="1:3" ht="15" x14ac:dyDescent="0.25">
      <c r="A174" s="108" t="s">
        <v>627</v>
      </c>
      <c r="B174" s="3" t="s">
        <v>628</v>
      </c>
      <c r="C174" s="109">
        <v>136442.88</v>
      </c>
    </row>
    <row r="175" spans="1:3" ht="15" x14ac:dyDescent="0.25">
      <c r="A175" s="108" t="s">
        <v>629</v>
      </c>
      <c r="B175" s="3" t="s">
        <v>630</v>
      </c>
      <c r="C175" s="109">
        <v>4938.6799999999994</v>
      </c>
    </row>
    <row r="176" spans="1:3" ht="15" x14ac:dyDescent="0.25">
      <c r="A176" s="108" t="s">
        <v>631</v>
      </c>
      <c r="B176" s="3" t="s">
        <v>632</v>
      </c>
      <c r="C176" s="109">
        <v>99520.08</v>
      </c>
    </row>
    <row r="177" spans="1:3" ht="15" x14ac:dyDescent="0.25">
      <c r="A177" s="108" t="s">
        <v>633</v>
      </c>
      <c r="B177" s="3" t="s">
        <v>634</v>
      </c>
      <c r="C177" s="109">
        <v>11117.24</v>
      </c>
    </row>
    <row r="178" spans="1:3" ht="15" x14ac:dyDescent="0.25">
      <c r="A178" s="108" t="s">
        <v>635</v>
      </c>
      <c r="B178" s="3" t="s">
        <v>636</v>
      </c>
      <c r="C178" s="109">
        <v>838027.26999999979</v>
      </c>
    </row>
    <row r="179" spans="1:3" ht="15" x14ac:dyDescent="0.25">
      <c r="A179" s="108" t="s">
        <v>637</v>
      </c>
      <c r="B179" s="3" t="s">
        <v>638</v>
      </c>
      <c r="C179" s="109">
        <v>89488.650000000009</v>
      </c>
    </row>
    <row r="180" spans="1:3" ht="15" x14ac:dyDescent="0.25">
      <c r="A180" s="108" t="s">
        <v>639</v>
      </c>
      <c r="B180" s="3" t="s">
        <v>640</v>
      </c>
      <c r="C180" s="109">
        <v>348599.14000000007</v>
      </c>
    </row>
    <row r="181" spans="1:3" ht="15" x14ac:dyDescent="0.25">
      <c r="A181" s="108" t="s">
        <v>641</v>
      </c>
      <c r="B181" s="3" t="s">
        <v>642</v>
      </c>
      <c r="C181" s="109">
        <v>34714.450000000026</v>
      </c>
    </row>
    <row r="182" spans="1:3" ht="15" x14ac:dyDescent="0.25">
      <c r="A182" s="108" t="s">
        <v>643</v>
      </c>
      <c r="B182" s="3" t="s">
        <v>644</v>
      </c>
      <c r="C182" s="109">
        <v>153837.76000000001</v>
      </c>
    </row>
    <row r="183" spans="1:3" ht="15" x14ac:dyDescent="0.25">
      <c r="A183" s="108" t="s">
        <v>645</v>
      </c>
      <c r="B183" s="3" t="s">
        <v>646</v>
      </c>
      <c r="C183" s="109">
        <v>585369.41999999993</v>
      </c>
    </row>
    <row r="184" spans="1:3" ht="15" x14ac:dyDescent="0.25">
      <c r="A184" s="108" t="s">
        <v>647</v>
      </c>
      <c r="B184" s="3" t="s">
        <v>648</v>
      </c>
      <c r="C184" s="109">
        <v>-305.85999999999984</v>
      </c>
    </row>
    <row r="185" spans="1:3" ht="15" x14ac:dyDescent="0.25">
      <c r="A185" s="108" t="s">
        <v>649</v>
      </c>
      <c r="B185" s="3" t="s">
        <v>650</v>
      </c>
      <c r="C185" s="109">
        <v>168367.79999999993</v>
      </c>
    </row>
    <row r="186" spans="1:3" ht="15" x14ac:dyDescent="0.25">
      <c r="A186" s="108" t="s">
        <v>651</v>
      </c>
      <c r="B186" s="3" t="s">
        <v>652</v>
      </c>
      <c r="C186" s="109">
        <v>2852.22</v>
      </c>
    </row>
    <row r="187" spans="1:3" ht="15" x14ac:dyDescent="0.25">
      <c r="A187" s="108" t="s">
        <v>653</v>
      </c>
      <c r="B187" s="3" t="s">
        <v>654</v>
      </c>
      <c r="C187" s="109">
        <v>59.029999999970272</v>
      </c>
    </row>
    <row r="188" spans="1:3" ht="15" x14ac:dyDescent="0.25">
      <c r="A188" s="108" t="s">
        <v>655</v>
      </c>
      <c r="B188" s="3" t="s">
        <v>656</v>
      </c>
      <c r="C188" s="109">
        <v>3202466.2799999989</v>
      </c>
    </row>
    <row r="189" spans="1:3" ht="15" x14ac:dyDescent="0.25">
      <c r="A189" s="108" t="s">
        <v>657</v>
      </c>
      <c r="B189" s="3" t="s">
        <v>658</v>
      </c>
      <c r="C189" s="109">
        <v>273039.70000000007</v>
      </c>
    </row>
    <row r="190" spans="1:3" ht="15" x14ac:dyDescent="0.25">
      <c r="A190" s="108" t="s">
        <v>659</v>
      </c>
      <c r="B190" s="3" t="s">
        <v>660</v>
      </c>
      <c r="C190" s="109">
        <v>110472.00000000001</v>
      </c>
    </row>
    <row r="191" spans="1:3" ht="15" x14ac:dyDescent="0.25">
      <c r="A191" s="108" t="s">
        <v>661</v>
      </c>
      <c r="B191" s="3" t="s">
        <v>662</v>
      </c>
      <c r="C191" s="109">
        <v>129207.10999999997</v>
      </c>
    </row>
    <row r="192" spans="1:3" ht="15" x14ac:dyDescent="0.25">
      <c r="A192" s="108" t="s">
        <v>663</v>
      </c>
      <c r="B192" s="3" t="s">
        <v>664</v>
      </c>
      <c r="C192" s="109">
        <v>1199398.79</v>
      </c>
    </row>
    <row r="193" spans="1:3" ht="15" x14ac:dyDescent="0.25">
      <c r="A193" s="108" t="s">
        <v>665</v>
      </c>
      <c r="B193" s="3" t="s">
        <v>666</v>
      </c>
      <c r="C193" s="109">
        <v>20847.41</v>
      </c>
    </row>
    <row r="194" spans="1:3" ht="15" x14ac:dyDescent="0.25">
      <c r="A194" s="108" t="s">
        <v>667</v>
      </c>
      <c r="B194" s="3" t="s">
        <v>668</v>
      </c>
      <c r="C194" s="109">
        <v>80484.25</v>
      </c>
    </row>
    <row r="195" spans="1:3" ht="15" x14ac:dyDescent="0.25">
      <c r="A195" s="108" t="s">
        <v>669</v>
      </c>
      <c r="B195" s="3" t="s">
        <v>670</v>
      </c>
      <c r="C195" s="109">
        <v>15394.01</v>
      </c>
    </row>
    <row r="196" spans="1:3" ht="15" x14ac:dyDescent="0.25">
      <c r="A196" s="108" t="s">
        <v>671</v>
      </c>
      <c r="B196" s="3" t="s">
        <v>672</v>
      </c>
      <c r="C196" s="109">
        <v>414.5</v>
      </c>
    </row>
    <row r="197" spans="1:3" ht="15" x14ac:dyDescent="0.25">
      <c r="A197" s="108" t="s">
        <v>673</v>
      </c>
      <c r="B197" s="3" t="s">
        <v>674</v>
      </c>
      <c r="C197" s="109">
        <v>1383.4799999999991</v>
      </c>
    </row>
    <row r="198" spans="1:3" ht="15" x14ac:dyDescent="0.25">
      <c r="A198" s="108" t="s">
        <v>675</v>
      </c>
      <c r="B198" s="3" t="s">
        <v>676</v>
      </c>
      <c r="C198" s="109">
        <v>32</v>
      </c>
    </row>
    <row r="199" spans="1:3" ht="15" x14ac:dyDescent="0.25">
      <c r="A199" s="108" t="s">
        <v>677</v>
      </c>
      <c r="B199" s="3" t="s">
        <v>678</v>
      </c>
      <c r="C199" s="109">
        <v>209222.16000000006</v>
      </c>
    </row>
    <row r="200" spans="1:3" ht="15" x14ac:dyDescent="0.25">
      <c r="A200" s="108" t="s">
        <v>679</v>
      </c>
      <c r="B200" s="3" t="s">
        <v>680</v>
      </c>
      <c r="C200" s="109">
        <v>5.7700000000000955</v>
      </c>
    </row>
    <row r="201" spans="1:3" ht="15" x14ac:dyDescent="0.25">
      <c r="A201" s="108" t="s">
        <v>681</v>
      </c>
      <c r="B201" s="3" t="s">
        <v>682</v>
      </c>
      <c r="C201" s="109">
        <v>8359.39</v>
      </c>
    </row>
    <row r="202" spans="1:3" ht="15" x14ac:dyDescent="0.25">
      <c r="A202" s="108" t="s">
        <v>683</v>
      </c>
      <c r="B202" s="3" t="s">
        <v>684</v>
      </c>
      <c r="C202" s="109">
        <v>-4911.9599999999846</v>
      </c>
    </row>
    <row r="203" spans="1:3" ht="15" x14ac:dyDescent="0.25">
      <c r="A203" s="108" t="s">
        <v>685</v>
      </c>
      <c r="B203" s="3" t="s">
        <v>686</v>
      </c>
      <c r="C203" s="109">
        <v>2579.079999999999</v>
      </c>
    </row>
    <row r="204" spans="1:3" ht="15" x14ac:dyDescent="0.25">
      <c r="A204" s="108" t="s">
        <v>687</v>
      </c>
      <c r="B204" s="3" t="s">
        <v>688</v>
      </c>
      <c r="C204" s="109">
        <v>-5172.9299999999994</v>
      </c>
    </row>
    <row r="205" spans="1:3" ht="15" x14ac:dyDescent="0.25">
      <c r="A205" s="108" t="s">
        <v>689</v>
      </c>
      <c r="B205" s="3" t="s">
        <v>690</v>
      </c>
      <c r="C205" s="109">
        <v>-3119</v>
      </c>
    </row>
    <row r="206" spans="1:3" ht="15" x14ac:dyDescent="0.25">
      <c r="A206" s="108" t="s">
        <v>691</v>
      </c>
      <c r="B206" s="3" t="s">
        <v>692</v>
      </c>
      <c r="C206" s="109">
        <v>685.52000000000874</v>
      </c>
    </row>
    <row r="207" spans="1:3" ht="15" x14ac:dyDescent="0.25">
      <c r="A207" s="108" t="s">
        <v>693</v>
      </c>
      <c r="B207" s="3" t="s">
        <v>694</v>
      </c>
      <c r="C207" s="109">
        <v>-1924.19</v>
      </c>
    </row>
    <row r="208" spans="1:3" ht="15" x14ac:dyDescent="0.25">
      <c r="A208" s="108" t="s">
        <v>695</v>
      </c>
      <c r="B208" s="3" t="s">
        <v>696</v>
      </c>
      <c r="C208" s="109">
        <v>130011.89000000003</v>
      </c>
    </row>
    <row r="209" spans="1:3" ht="15" x14ac:dyDescent="0.25">
      <c r="A209" s="108" t="s">
        <v>697</v>
      </c>
      <c r="B209" s="3" t="s">
        <v>698</v>
      </c>
      <c r="C209" s="109">
        <v>229599.59999999995</v>
      </c>
    </row>
    <row r="210" spans="1:3" ht="15" x14ac:dyDescent="0.25">
      <c r="A210" s="108" t="s">
        <v>699</v>
      </c>
      <c r="B210" s="3" t="s">
        <v>700</v>
      </c>
      <c r="C210" s="109">
        <v>-2387.6800000000003</v>
      </c>
    </row>
    <row r="211" spans="1:3" ht="15" x14ac:dyDescent="0.25">
      <c r="A211" s="108" t="s">
        <v>701</v>
      </c>
      <c r="B211" s="3" t="s">
        <v>702</v>
      </c>
      <c r="C211" s="109">
        <v>45652.559999999983</v>
      </c>
    </row>
    <row r="212" spans="1:3" ht="15" x14ac:dyDescent="0.25">
      <c r="A212" s="108" t="s">
        <v>703</v>
      </c>
      <c r="B212" s="3" t="s">
        <v>704</v>
      </c>
      <c r="C212" s="109">
        <v>91146.53</v>
      </c>
    </row>
    <row r="213" spans="1:3" ht="15" x14ac:dyDescent="0.25">
      <c r="A213" s="108" t="s">
        <v>705</v>
      </c>
      <c r="B213" s="3" t="s">
        <v>706</v>
      </c>
      <c r="C213" s="109">
        <v>33093.9</v>
      </c>
    </row>
    <row r="214" spans="1:3" ht="15" x14ac:dyDescent="0.25">
      <c r="A214" s="108" t="s">
        <v>707</v>
      </c>
      <c r="B214" s="3" t="s">
        <v>708</v>
      </c>
      <c r="C214" s="109">
        <v>-3163.01</v>
      </c>
    </row>
    <row r="215" spans="1:3" ht="15" x14ac:dyDescent="0.25">
      <c r="A215" s="108" t="s">
        <v>709</v>
      </c>
      <c r="B215" s="3" t="s">
        <v>710</v>
      </c>
      <c r="C215" s="109">
        <v>34123.419999999991</v>
      </c>
    </row>
    <row r="216" spans="1:3" ht="15" x14ac:dyDescent="0.25">
      <c r="A216" s="108" t="s">
        <v>711</v>
      </c>
      <c r="B216" s="3" t="s">
        <v>712</v>
      </c>
      <c r="C216" s="109">
        <v>714390.18999999983</v>
      </c>
    </row>
    <row r="217" spans="1:3" ht="15" x14ac:dyDescent="0.25">
      <c r="A217" s="108" t="s">
        <v>713</v>
      </c>
      <c r="B217" s="3" t="s">
        <v>714</v>
      </c>
      <c r="C217" s="109">
        <v>570183.39999999944</v>
      </c>
    </row>
    <row r="218" spans="1:3" ht="15" x14ac:dyDescent="0.25">
      <c r="A218" s="108" t="s">
        <v>715</v>
      </c>
      <c r="B218" s="3" t="s">
        <v>716</v>
      </c>
      <c r="C218" s="109">
        <v>130589.47999999998</v>
      </c>
    </row>
    <row r="219" spans="1:3" ht="15" x14ac:dyDescent="0.25">
      <c r="A219" s="108" t="s">
        <v>717</v>
      </c>
      <c r="B219" s="3" t="s">
        <v>718</v>
      </c>
      <c r="C219" s="109">
        <v>76582.28</v>
      </c>
    </row>
    <row r="220" spans="1:3" ht="15" x14ac:dyDescent="0.25">
      <c r="A220" s="108" t="s">
        <v>719</v>
      </c>
      <c r="B220" s="3" t="s">
        <v>720</v>
      </c>
      <c r="C220" s="109">
        <v>334.08</v>
      </c>
    </row>
    <row r="221" spans="1:3" ht="15" x14ac:dyDescent="0.25">
      <c r="A221" s="108" t="s">
        <v>721</v>
      </c>
      <c r="B221" s="3" t="s">
        <v>722</v>
      </c>
      <c r="C221" s="109">
        <v>1723.56</v>
      </c>
    </row>
    <row r="222" spans="1:3" ht="15" x14ac:dyDescent="0.25">
      <c r="A222" s="108" t="s">
        <v>723</v>
      </c>
      <c r="B222" s="3" t="s">
        <v>724</v>
      </c>
      <c r="C222" s="109">
        <v>4019.56</v>
      </c>
    </row>
    <row r="223" spans="1:3" ht="15" x14ac:dyDescent="0.25">
      <c r="A223" s="108" t="s">
        <v>725</v>
      </c>
      <c r="B223" s="3" t="s">
        <v>726</v>
      </c>
      <c r="C223" s="109">
        <v>0.91999999999999993</v>
      </c>
    </row>
    <row r="224" spans="1:3" ht="15" x14ac:dyDescent="0.25">
      <c r="A224" s="108" t="s">
        <v>727</v>
      </c>
      <c r="B224" s="3" t="s">
        <v>728</v>
      </c>
      <c r="C224" s="109">
        <v>-1671.9199999999998</v>
      </c>
    </row>
    <row r="225" spans="1:3" ht="15" x14ac:dyDescent="0.25">
      <c r="A225" s="108" t="s">
        <v>729</v>
      </c>
      <c r="B225" s="3" t="s">
        <v>730</v>
      </c>
      <c r="C225" s="109">
        <v>16653.630000000037</v>
      </c>
    </row>
    <row r="226" spans="1:3" ht="15" x14ac:dyDescent="0.25">
      <c r="A226" s="108" t="s">
        <v>731</v>
      </c>
      <c r="B226" s="3" t="s">
        <v>732</v>
      </c>
      <c r="C226" s="109">
        <v>4268.72</v>
      </c>
    </row>
    <row r="227" spans="1:3" ht="15" x14ac:dyDescent="0.25">
      <c r="A227" s="108" t="s">
        <v>733</v>
      </c>
      <c r="B227" s="3" t="s">
        <v>734</v>
      </c>
      <c r="C227" s="109">
        <v>0.21000000000000002</v>
      </c>
    </row>
    <row r="228" spans="1:3" ht="15" x14ac:dyDescent="0.25">
      <c r="A228" s="108" t="s">
        <v>735</v>
      </c>
      <c r="B228" s="3" t="s">
        <v>736</v>
      </c>
      <c r="C228" s="109">
        <v>-6318</v>
      </c>
    </row>
    <row r="229" spans="1:3" ht="15" x14ac:dyDescent="0.25">
      <c r="A229" s="108" t="s">
        <v>737</v>
      </c>
      <c r="B229" s="3" t="s">
        <v>738</v>
      </c>
      <c r="C229" s="109">
        <v>4841.1699999999946</v>
      </c>
    </row>
    <row r="230" spans="1:3" ht="15" x14ac:dyDescent="0.25">
      <c r="A230" s="108" t="s">
        <v>739</v>
      </c>
      <c r="B230" s="3" t="s">
        <v>740</v>
      </c>
      <c r="C230" s="109">
        <v>349.94</v>
      </c>
    </row>
    <row r="231" spans="1:3" ht="15" x14ac:dyDescent="0.25">
      <c r="A231" s="108" t="s">
        <v>741</v>
      </c>
      <c r="B231" s="3" t="s">
        <v>742</v>
      </c>
      <c r="C231" s="109">
        <v>0.02</v>
      </c>
    </row>
    <row r="232" spans="1:3" ht="15" x14ac:dyDescent="0.25">
      <c r="A232" s="108" t="s">
        <v>743</v>
      </c>
      <c r="B232" s="3" t="s">
        <v>744</v>
      </c>
      <c r="C232" s="109">
        <v>0.38</v>
      </c>
    </row>
    <row r="233" spans="1:3" ht="15" x14ac:dyDescent="0.25">
      <c r="A233" s="108" t="s">
        <v>745</v>
      </c>
      <c r="B233" s="3" t="s">
        <v>746</v>
      </c>
      <c r="C233" s="109">
        <v>3904.09</v>
      </c>
    </row>
    <row r="234" spans="1:3" ht="15" x14ac:dyDescent="0.25">
      <c r="A234" s="108" t="s">
        <v>747</v>
      </c>
      <c r="B234" s="3" t="s">
        <v>748</v>
      </c>
      <c r="C234" s="109">
        <v>-2431.44</v>
      </c>
    </row>
    <row r="235" spans="1:3" ht="15" x14ac:dyDescent="0.25">
      <c r="A235" s="108" t="s">
        <v>749</v>
      </c>
      <c r="B235" s="3" t="s">
        <v>750</v>
      </c>
      <c r="C235" s="109">
        <v>132988.45000000001</v>
      </c>
    </row>
    <row r="236" spans="1:3" ht="15" x14ac:dyDescent="0.25">
      <c r="A236" s="108" t="s">
        <v>751</v>
      </c>
      <c r="B236" s="3" t="s">
        <v>752</v>
      </c>
      <c r="C236" s="109">
        <v>213310.97999999998</v>
      </c>
    </row>
    <row r="237" spans="1:3" ht="15" x14ac:dyDescent="0.25">
      <c r="A237" s="108" t="s">
        <v>753</v>
      </c>
      <c r="B237" s="3" t="s">
        <v>754</v>
      </c>
      <c r="C237" s="109">
        <v>-48000</v>
      </c>
    </row>
    <row r="238" spans="1:3" ht="15" x14ac:dyDescent="0.25">
      <c r="A238" s="108" t="s">
        <v>755</v>
      </c>
      <c r="B238" s="3" t="s">
        <v>756</v>
      </c>
      <c r="C238" s="109">
        <v>-1706.9399999999998</v>
      </c>
    </row>
    <row r="239" spans="1:3" ht="15" x14ac:dyDescent="0.25">
      <c r="A239" s="108" t="s">
        <v>757</v>
      </c>
      <c r="B239" s="3" t="s">
        <v>758</v>
      </c>
      <c r="C239" s="109">
        <v>387243.72000000015</v>
      </c>
    </row>
    <row r="240" spans="1:3" ht="15" x14ac:dyDescent="0.25">
      <c r="A240" s="108" t="s">
        <v>759</v>
      </c>
      <c r="B240" s="3" t="s">
        <v>760</v>
      </c>
      <c r="C240" s="109">
        <v>568.65</v>
      </c>
    </row>
    <row r="241" spans="1:3" ht="15" x14ac:dyDescent="0.25">
      <c r="A241" s="108" t="s">
        <v>761</v>
      </c>
      <c r="B241" s="3" t="s">
        <v>762</v>
      </c>
      <c r="C241" s="109">
        <v>-97220.560000000012</v>
      </c>
    </row>
    <row r="242" spans="1:3" ht="15" x14ac:dyDescent="0.25">
      <c r="A242" s="108" t="s">
        <v>763</v>
      </c>
      <c r="B242" s="3" t="s">
        <v>764</v>
      </c>
      <c r="C242" s="109">
        <v>16939</v>
      </c>
    </row>
    <row r="243" spans="1:3" ht="15" x14ac:dyDescent="0.25">
      <c r="A243" s="108" t="s">
        <v>765</v>
      </c>
      <c r="B243" s="3" t="s">
        <v>766</v>
      </c>
      <c r="C243" s="109">
        <v>314.27999999999975</v>
      </c>
    </row>
    <row r="244" spans="1:3" ht="15" x14ac:dyDescent="0.25">
      <c r="A244" s="108" t="s">
        <v>767</v>
      </c>
      <c r="B244" s="3" t="s">
        <v>768</v>
      </c>
      <c r="C244" s="109">
        <v>78140.400000000009</v>
      </c>
    </row>
    <row r="245" spans="1:3" ht="15" x14ac:dyDescent="0.25">
      <c r="A245" s="108" t="s">
        <v>769</v>
      </c>
      <c r="B245" s="3" t="s">
        <v>770</v>
      </c>
      <c r="C245" s="109">
        <v>97980.609999999986</v>
      </c>
    </row>
    <row r="246" spans="1:3" ht="15" x14ac:dyDescent="0.25">
      <c r="A246" s="108" t="s">
        <v>771</v>
      </c>
      <c r="B246" s="3" t="s">
        <v>772</v>
      </c>
      <c r="C246" s="109">
        <v>7574.3600000000006</v>
      </c>
    </row>
    <row r="247" spans="1:3" ht="15" x14ac:dyDescent="0.25">
      <c r="A247" s="108" t="s">
        <v>773</v>
      </c>
      <c r="B247" s="3" t="s">
        <v>774</v>
      </c>
      <c r="C247" s="109">
        <v>23717.5</v>
      </c>
    </row>
    <row r="248" spans="1:3" ht="15" x14ac:dyDescent="0.25">
      <c r="A248" s="108" t="s">
        <v>775</v>
      </c>
      <c r="B248" s="3" t="s">
        <v>776</v>
      </c>
      <c r="C248" s="109">
        <v>68200.58</v>
      </c>
    </row>
    <row r="249" spans="1:3" ht="15" x14ac:dyDescent="0.25">
      <c r="A249" s="108" t="s">
        <v>777</v>
      </c>
      <c r="B249" s="3" t="s">
        <v>778</v>
      </c>
      <c r="C249" s="109">
        <v>78993.920000000042</v>
      </c>
    </row>
    <row r="250" spans="1:3" ht="15" x14ac:dyDescent="0.25">
      <c r="A250" s="108" t="s">
        <v>779</v>
      </c>
      <c r="B250" s="3" t="s">
        <v>780</v>
      </c>
      <c r="C250" s="109">
        <v>0</v>
      </c>
    </row>
    <row r="251" spans="1:3" ht="15" x14ac:dyDescent="0.25">
      <c r="A251" s="108" t="s">
        <v>781</v>
      </c>
      <c r="B251" s="3" t="s">
        <v>782</v>
      </c>
      <c r="C251" s="109">
        <v>-23605.599999999999</v>
      </c>
    </row>
    <row r="252" spans="1:3" ht="15" x14ac:dyDescent="0.25">
      <c r="A252" s="108" t="s">
        <v>783</v>
      </c>
      <c r="B252" s="3" t="s">
        <v>784</v>
      </c>
      <c r="C252" s="109">
        <v>3595767.7100000014</v>
      </c>
    </row>
    <row r="253" spans="1:3" ht="15" x14ac:dyDescent="0.25">
      <c r="A253" s="108" t="s">
        <v>785</v>
      </c>
      <c r="B253" s="3" t="s">
        <v>786</v>
      </c>
      <c r="C253" s="109">
        <v>11932.97</v>
      </c>
    </row>
    <row r="254" spans="1:3" ht="15" x14ac:dyDescent="0.25">
      <c r="A254" s="108" t="s">
        <v>787</v>
      </c>
      <c r="B254" s="3" t="s">
        <v>788</v>
      </c>
      <c r="C254" s="109">
        <v>-5062.75</v>
      </c>
    </row>
    <row r="255" spans="1:3" ht="15" x14ac:dyDescent="0.25">
      <c r="A255" s="108" t="s">
        <v>789</v>
      </c>
      <c r="B255" s="3" t="s">
        <v>790</v>
      </c>
      <c r="C255" s="109">
        <v>-2097.87</v>
      </c>
    </row>
    <row r="256" spans="1:3" ht="15" x14ac:dyDescent="0.25">
      <c r="A256" s="108" t="s">
        <v>791</v>
      </c>
      <c r="B256" s="3" t="s">
        <v>792</v>
      </c>
      <c r="C256" s="109">
        <v>24233.690000000006</v>
      </c>
    </row>
    <row r="257" spans="1:3" ht="15" x14ac:dyDescent="0.25">
      <c r="A257" s="108" t="s">
        <v>793</v>
      </c>
      <c r="B257" s="3" t="s">
        <v>794</v>
      </c>
      <c r="C257" s="109">
        <v>8973142.0200000107</v>
      </c>
    </row>
    <row r="258" spans="1:3" ht="15" x14ac:dyDescent="0.25">
      <c r="A258" s="108" t="s">
        <v>795</v>
      </c>
      <c r="B258" s="3" t="s">
        <v>796</v>
      </c>
      <c r="C258" s="109">
        <v>1.3642420526593924E-12</v>
      </c>
    </row>
    <row r="259" spans="1:3" ht="15" x14ac:dyDescent="0.25">
      <c r="A259" s="108" t="s">
        <v>797</v>
      </c>
      <c r="B259" s="3" t="s">
        <v>798</v>
      </c>
      <c r="C259" s="109">
        <v>44108.450000000004</v>
      </c>
    </row>
    <row r="260" spans="1:3" ht="15" x14ac:dyDescent="0.25">
      <c r="A260" s="108" t="s">
        <v>799</v>
      </c>
      <c r="B260" s="3" t="s">
        <v>800</v>
      </c>
      <c r="C260" s="109">
        <v>0</v>
      </c>
    </row>
    <row r="261" spans="1:3" ht="15" x14ac:dyDescent="0.25">
      <c r="A261" s="108" t="s">
        <v>801</v>
      </c>
      <c r="B261" s="3" t="s">
        <v>802</v>
      </c>
      <c r="C261" s="109">
        <v>29076.26</v>
      </c>
    </row>
    <row r="262" spans="1:3" ht="15" x14ac:dyDescent="0.25">
      <c r="A262" s="108" t="s">
        <v>803</v>
      </c>
      <c r="B262" s="3" t="s">
        <v>804</v>
      </c>
      <c r="C262" s="109">
        <v>0</v>
      </c>
    </row>
    <row r="263" spans="1:3" ht="15" x14ac:dyDescent="0.25">
      <c r="A263" s="108" t="s">
        <v>805</v>
      </c>
      <c r="B263" s="3" t="s">
        <v>806</v>
      </c>
      <c r="C263" s="109">
        <v>-25295.810000000056</v>
      </c>
    </row>
    <row r="264" spans="1:3" ht="15" x14ac:dyDescent="0.25">
      <c r="A264" s="108" t="s">
        <v>807</v>
      </c>
      <c r="B264" s="3" t="s">
        <v>808</v>
      </c>
      <c r="C264" s="109">
        <v>0.15000000000000568</v>
      </c>
    </row>
    <row r="265" spans="1:3" ht="15" x14ac:dyDescent="0.25">
      <c r="A265" s="108" t="s">
        <v>809</v>
      </c>
      <c r="B265" s="3" t="s">
        <v>810</v>
      </c>
      <c r="C265" s="109">
        <v>-14453.7</v>
      </c>
    </row>
    <row r="266" spans="1:3" ht="15" x14ac:dyDescent="0.25">
      <c r="A266" s="108" t="s">
        <v>811</v>
      </c>
      <c r="B266" s="3" t="s">
        <v>812</v>
      </c>
      <c r="C266" s="109">
        <v>6173394.3799999971</v>
      </c>
    </row>
    <row r="267" spans="1:3" ht="15" x14ac:dyDescent="0.25">
      <c r="A267" s="108" t="s">
        <v>813</v>
      </c>
      <c r="B267" s="3" t="s">
        <v>814</v>
      </c>
      <c r="C267" s="109">
        <v>737.23</v>
      </c>
    </row>
    <row r="268" spans="1:3" ht="15" x14ac:dyDescent="0.25">
      <c r="A268" s="108" t="s">
        <v>815</v>
      </c>
      <c r="B268" s="3" t="s">
        <v>816</v>
      </c>
      <c r="C268" s="109">
        <v>7420</v>
      </c>
    </row>
    <row r="269" spans="1:3" ht="15" x14ac:dyDescent="0.25">
      <c r="A269" s="108" t="s">
        <v>817</v>
      </c>
      <c r="B269" s="3" t="s">
        <v>818</v>
      </c>
      <c r="C269" s="109">
        <v>220306.9899999999</v>
      </c>
    </row>
    <row r="270" spans="1:3" ht="15" x14ac:dyDescent="0.25">
      <c r="A270" s="108" t="s">
        <v>819</v>
      </c>
      <c r="B270" s="3" t="s">
        <v>820</v>
      </c>
      <c r="C270" s="109">
        <v>0</v>
      </c>
    </row>
    <row r="271" spans="1:3" ht="15" x14ac:dyDescent="0.25">
      <c r="A271" s="108" t="s">
        <v>821</v>
      </c>
      <c r="B271" s="3" t="s">
        <v>822</v>
      </c>
      <c r="C271" s="109">
        <v>62612.539999999979</v>
      </c>
    </row>
    <row r="272" spans="1:3" ht="15" x14ac:dyDescent="0.25">
      <c r="A272" s="108" t="s">
        <v>823</v>
      </c>
      <c r="B272" s="3" t="s">
        <v>824</v>
      </c>
      <c r="C272" s="109">
        <v>4235.76</v>
      </c>
    </row>
    <row r="273" spans="1:3" ht="15" x14ac:dyDescent="0.25">
      <c r="A273" s="108" t="s">
        <v>825</v>
      </c>
      <c r="B273" s="3" t="s">
        <v>826</v>
      </c>
      <c r="C273" s="109">
        <v>39407.049999999996</v>
      </c>
    </row>
    <row r="274" spans="1:3" ht="15" x14ac:dyDescent="0.25">
      <c r="A274" s="108" t="s">
        <v>827</v>
      </c>
      <c r="B274" s="3" t="s">
        <v>828</v>
      </c>
      <c r="C274" s="109">
        <v>44858.44</v>
      </c>
    </row>
    <row r="275" spans="1:3" ht="15" x14ac:dyDescent="0.25">
      <c r="A275" s="108" t="s">
        <v>829</v>
      </c>
      <c r="B275" s="3" t="s">
        <v>830</v>
      </c>
      <c r="C275" s="109">
        <v>-13247.449999999997</v>
      </c>
    </row>
    <row r="276" spans="1:3" ht="15" x14ac:dyDescent="0.25">
      <c r="A276" s="108" t="s">
        <v>831</v>
      </c>
      <c r="B276" s="3" t="s">
        <v>832</v>
      </c>
      <c r="C276" s="109">
        <v>411117.13999999978</v>
      </c>
    </row>
    <row r="277" spans="1:3" ht="15" x14ac:dyDescent="0.25">
      <c r="A277" s="108" t="s">
        <v>833</v>
      </c>
      <c r="B277" s="3" t="s">
        <v>834</v>
      </c>
      <c r="C277" s="109">
        <v>1658.7400000000009</v>
      </c>
    </row>
    <row r="278" spans="1:3" ht="15" x14ac:dyDescent="0.25">
      <c r="A278" s="108" t="s">
        <v>835</v>
      </c>
      <c r="B278" s="3" t="s">
        <v>836</v>
      </c>
      <c r="C278" s="109">
        <v>207126.99999999977</v>
      </c>
    </row>
    <row r="279" spans="1:3" ht="15" x14ac:dyDescent="0.25">
      <c r="A279" s="108" t="s">
        <v>837</v>
      </c>
      <c r="B279" s="3" t="s">
        <v>838</v>
      </c>
      <c r="C279" s="109">
        <v>3328.1600000000003</v>
      </c>
    </row>
    <row r="280" spans="1:3" ht="15" x14ac:dyDescent="0.25">
      <c r="A280" s="108" t="s">
        <v>839</v>
      </c>
      <c r="B280" s="3" t="s">
        <v>840</v>
      </c>
      <c r="C280" s="109">
        <v>-1210.0799999999961</v>
      </c>
    </row>
    <row r="281" spans="1:3" ht="15" x14ac:dyDescent="0.25">
      <c r="A281" s="108" t="s">
        <v>841</v>
      </c>
      <c r="B281" s="3" t="s">
        <v>842</v>
      </c>
      <c r="C281" s="109">
        <v>-4953.75</v>
      </c>
    </row>
    <row r="282" spans="1:3" ht="15" x14ac:dyDescent="0.25">
      <c r="A282" s="108" t="s">
        <v>843</v>
      </c>
      <c r="B282" s="3" t="s">
        <v>844</v>
      </c>
      <c r="C282" s="109">
        <v>-3116.6399999999994</v>
      </c>
    </row>
    <row r="283" spans="1:3" ht="15" x14ac:dyDescent="0.25">
      <c r="A283" s="108" t="s">
        <v>845</v>
      </c>
      <c r="B283" s="3" t="s">
        <v>846</v>
      </c>
      <c r="C283" s="109">
        <v>-3119</v>
      </c>
    </row>
    <row r="284" spans="1:3" ht="15" x14ac:dyDescent="0.25">
      <c r="A284" s="108" t="s">
        <v>847</v>
      </c>
      <c r="B284" s="3" t="s">
        <v>848</v>
      </c>
      <c r="C284" s="109">
        <v>-52666.230000000025</v>
      </c>
    </row>
    <row r="285" spans="1:3" ht="15" x14ac:dyDescent="0.25">
      <c r="A285" s="108" t="s">
        <v>849</v>
      </c>
      <c r="B285" s="3" t="s">
        <v>850</v>
      </c>
      <c r="C285" s="109">
        <v>358874.51</v>
      </c>
    </row>
    <row r="286" spans="1:3" ht="15" x14ac:dyDescent="0.25">
      <c r="A286" s="108" t="s">
        <v>851</v>
      </c>
      <c r="B286" s="3" t="s">
        <v>852</v>
      </c>
      <c r="C286" s="109">
        <v>8298.14</v>
      </c>
    </row>
    <row r="287" spans="1:3" ht="15" x14ac:dyDescent="0.25">
      <c r="A287" s="108" t="s">
        <v>853</v>
      </c>
      <c r="B287" s="3" t="s">
        <v>854</v>
      </c>
      <c r="C287" s="109">
        <v>111342.83999999998</v>
      </c>
    </row>
    <row r="288" spans="1:3" ht="15" x14ac:dyDescent="0.25">
      <c r="A288" s="108" t="s">
        <v>855</v>
      </c>
      <c r="B288" s="3" t="s">
        <v>856</v>
      </c>
      <c r="C288" s="109">
        <v>-48.89</v>
      </c>
    </row>
    <row r="289" spans="1:3" ht="15" x14ac:dyDescent="0.25">
      <c r="A289" s="108" t="s">
        <v>857</v>
      </c>
      <c r="B289" s="3" t="s">
        <v>858</v>
      </c>
      <c r="C289" s="109">
        <v>-2974.22</v>
      </c>
    </row>
    <row r="290" spans="1:3" ht="15" x14ac:dyDescent="0.25">
      <c r="A290" s="108" t="s">
        <v>859</v>
      </c>
      <c r="B290" s="3" t="s">
        <v>860</v>
      </c>
      <c r="C290" s="109">
        <v>-829.2</v>
      </c>
    </row>
    <row r="291" spans="1:3" ht="15" x14ac:dyDescent="0.25">
      <c r="A291" s="108" t="s">
        <v>861</v>
      </c>
      <c r="B291" s="3" t="s">
        <v>862</v>
      </c>
      <c r="C291" s="109">
        <v>7961.07</v>
      </c>
    </row>
    <row r="292" spans="1:3" ht="15" x14ac:dyDescent="0.25">
      <c r="A292" s="108" t="s">
        <v>863</v>
      </c>
      <c r="B292" s="3" t="s">
        <v>864</v>
      </c>
      <c r="C292" s="109">
        <v>367951.30000000005</v>
      </c>
    </row>
    <row r="293" spans="1:3" ht="15" x14ac:dyDescent="0.25">
      <c r="A293" s="108" t="s">
        <v>865</v>
      </c>
      <c r="B293" s="3" t="s">
        <v>866</v>
      </c>
      <c r="C293" s="109">
        <v>1689440.3799999994</v>
      </c>
    </row>
    <row r="294" spans="1:3" ht="15" x14ac:dyDescent="0.25">
      <c r="A294" s="108" t="s">
        <v>867</v>
      </c>
      <c r="B294" s="3" t="s">
        <v>868</v>
      </c>
      <c r="C294" s="109">
        <v>9428.0299999999988</v>
      </c>
    </row>
    <row r="295" spans="1:3" ht="15" x14ac:dyDescent="0.25">
      <c r="A295" s="108" t="s">
        <v>869</v>
      </c>
      <c r="B295" s="3" t="s">
        <v>870</v>
      </c>
      <c r="C295" s="109">
        <v>6102.57</v>
      </c>
    </row>
    <row r="296" spans="1:3" ht="15" x14ac:dyDescent="0.25">
      <c r="A296" s="108" t="s">
        <v>871</v>
      </c>
      <c r="B296" s="3" t="s">
        <v>872</v>
      </c>
      <c r="C296" s="109">
        <v>184706.87999999998</v>
      </c>
    </row>
    <row r="297" spans="1:3" ht="15" x14ac:dyDescent="0.25">
      <c r="A297" s="108" t="s">
        <v>873</v>
      </c>
      <c r="B297" s="3" t="s">
        <v>874</v>
      </c>
      <c r="C297" s="109">
        <v>40419.270000000004</v>
      </c>
    </row>
    <row r="298" spans="1:3" ht="15" x14ac:dyDescent="0.25">
      <c r="A298" s="108" t="s">
        <v>875</v>
      </c>
      <c r="B298" s="3" t="s">
        <v>876</v>
      </c>
      <c r="C298" s="109">
        <v>12031.7</v>
      </c>
    </row>
    <row r="299" spans="1:3" ht="15" x14ac:dyDescent="0.25">
      <c r="A299" s="108" t="s">
        <v>877</v>
      </c>
      <c r="B299" s="3" t="s">
        <v>878</v>
      </c>
      <c r="C299" s="109">
        <v>97694.960000000021</v>
      </c>
    </row>
    <row r="300" spans="1:3" ht="15" x14ac:dyDescent="0.25">
      <c r="A300" s="108" t="s">
        <v>879</v>
      </c>
      <c r="B300" s="3" t="s">
        <v>880</v>
      </c>
      <c r="C300" s="109">
        <v>14051.8</v>
      </c>
    </row>
    <row r="301" spans="1:3" ht="15" x14ac:dyDescent="0.25">
      <c r="A301" s="108" t="s">
        <v>881</v>
      </c>
      <c r="B301" s="3" t="s">
        <v>882</v>
      </c>
      <c r="C301" s="109">
        <v>86230.39</v>
      </c>
    </row>
    <row r="302" spans="1:3" ht="15" x14ac:dyDescent="0.25">
      <c r="A302" s="108" t="s">
        <v>883</v>
      </c>
      <c r="B302" s="3" t="s">
        <v>884</v>
      </c>
      <c r="C302" s="109">
        <v>121.88000000000001</v>
      </c>
    </row>
    <row r="303" spans="1:3" ht="15" x14ac:dyDescent="0.25">
      <c r="A303" s="108" t="s">
        <v>885</v>
      </c>
      <c r="B303" s="3" t="s">
        <v>886</v>
      </c>
      <c r="C303" s="109">
        <v>321.46000000000004</v>
      </c>
    </row>
    <row r="304" spans="1:3" ht="15" x14ac:dyDescent="0.25">
      <c r="A304" s="108" t="s">
        <v>887</v>
      </c>
      <c r="B304" s="3" t="s">
        <v>888</v>
      </c>
      <c r="C304" s="109">
        <v>1340670.5100000002</v>
      </c>
    </row>
    <row r="305" spans="1:3" ht="15" x14ac:dyDescent="0.25">
      <c r="A305" s="108" t="s">
        <v>889</v>
      </c>
      <c r="B305" s="3" t="s">
        <v>890</v>
      </c>
      <c r="C305" s="109">
        <v>-97960.780000000072</v>
      </c>
    </row>
    <row r="306" spans="1:3" ht="15" x14ac:dyDescent="0.25">
      <c r="A306" s="108" t="s">
        <v>891</v>
      </c>
      <c r="B306" s="3" t="s">
        <v>892</v>
      </c>
      <c r="C306" s="109">
        <v>-113648.4</v>
      </c>
    </row>
    <row r="307" spans="1:3" ht="15" x14ac:dyDescent="0.25">
      <c r="A307" s="108" t="s">
        <v>893</v>
      </c>
      <c r="B307" s="3" t="s">
        <v>894</v>
      </c>
      <c r="C307" s="109">
        <v>18605.590000000004</v>
      </c>
    </row>
    <row r="308" spans="1:3" ht="15" x14ac:dyDescent="0.25">
      <c r="A308" s="108" t="s">
        <v>895</v>
      </c>
      <c r="B308" s="3" t="s">
        <v>896</v>
      </c>
      <c r="C308" s="109">
        <v>576617.04000000015</v>
      </c>
    </row>
    <row r="309" spans="1:3" ht="15" x14ac:dyDescent="0.25">
      <c r="A309" s="108" t="s">
        <v>897</v>
      </c>
      <c r="B309" s="3" t="s">
        <v>898</v>
      </c>
      <c r="C309" s="109">
        <v>110606.04000000001</v>
      </c>
    </row>
    <row r="310" spans="1:3" ht="15" x14ac:dyDescent="0.25">
      <c r="A310" s="108" t="s">
        <v>899</v>
      </c>
      <c r="B310" s="3" t="s">
        <v>900</v>
      </c>
      <c r="C310" s="109">
        <v>80984.419999999984</v>
      </c>
    </row>
    <row r="311" spans="1:3" ht="15" x14ac:dyDescent="0.25">
      <c r="A311" s="108" t="s">
        <v>901</v>
      </c>
      <c r="B311" s="3" t="s">
        <v>902</v>
      </c>
      <c r="C311" s="109">
        <v>285986.48</v>
      </c>
    </row>
    <row r="312" spans="1:3" ht="15" x14ac:dyDescent="0.25">
      <c r="A312" s="108" t="s">
        <v>903</v>
      </c>
      <c r="B312" s="3" t="s">
        <v>904</v>
      </c>
      <c r="C312" s="109">
        <v>287148.65999999997</v>
      </c>
    </row>
    <row r="313" spans="1:3" ht="15" x14ac:dyDescent="0.25">
      <c r="A313" s="108" t="s">
        <v>905</v>
      </c>
      <c r="B313" s="3" t="s">
        <v>906</v>
      </c>
      <c r="C313" s="109">
        <v>-109.73999999999978</v>
      </c>
    </row>
    <row r="314" spans="1:3" ht="15" x14ac:dyDescent="0.25">
      <c r="A314" s="108" t="s">
        <v>907</v>
      </c>
      <c r="B314" s="3" t="s">
        <v>908</v>
      </c>
      <c r="C314" s="109">
        <v>73905.349999999962</v>
      </c>
    </row>
    <row r="315" spans="1:3" ht="15" x14ac:dyDescent="0.25">
      <c r="A315" s="108" t="s">
        <v>909</v>
      </c>
      <c r="B315" s="3" t="s">
        <v>910</v>
      </c>
      <c r="C315" s="109">
        <v>909.60999999999865</v>
      </c>
    </row>
    <row r="316" spans="1:3" ht="15" x14ac:dyDescent="0.25">
      <c r="A316" s="108" t="s">
        <v>911</v>
      </c>
      <c r="B316" s="3" t="s">
        <v>912</v>
      </c>
      <c r="C316" s="109">
        <v>324036.59999999998</v>
      </c>
    </row>
    <row r="317" spans="1:3" ht="15" x14ac:dyDescent="0.25">
      <c r="A317" s="108" t="s">
        <v>913</v>
      </c>
      <c r="B317" s="3" t="s">
        <v>914</v>
      </c>
      <c r="C317" s="109">
        <v>69298.429999999993</v>
      </c>
    </row>
    <row r="318" spans="1:3" ht="15" x14ac:dyDescent="0.25">
      <c r="A318" s="108" t="s">
        <v>915</v>
      </c>
      <c r="B318" s="3" t="s">
        <v>916</v>
      </c>
      <c r="C318" s="109">
        <v>15292.970000000003</v>
      </c>
    </row>
    <row r="319" spans="1:3" ht="15" x14ac:dyDescent="0.25">
      <c r="A319" s="108" t="s">
        <v>917</v>
      </c>
      <c r="B319" s="3" t="s">
        <v>918</v>
      </c>
      <c r="C319" s="109">
        <v>12280</v>
      </c>
    </row>
    <row r="320" spans="1:3" ht="15" x14ac:dyDescent="0.25">
      <c r="A320" s="108" t="s">
        <v>919</v>
      </c>
      <c r="B320" s="3" t="s">
        <v>920</v>
      </c>
      <c r="C320" s="109">
        <v>5382.43</v>
      </c>
    </row>
    <row r="321" spans="1:3" ht="15" x14ac:dyDescent="0.25">
      <c r="A321" s="108" t="s">
        <v>921</v>
      </c>
      <c r="B321" s="3" t="s">
        <v>922</v>
      </c>
      <c r="C321" s="109">
        <v>-928</v>
      </c>
    </row>
    <row r="322" spans="1:3" ht="15" x14ac:dyDescent="0.25">
      <c r="A322" s="108" t="s">
        <v>923</v>
      </c>
      <c r="B322" s="3" t="s">
        <v>924</v>
      </c>
      <c r="C322" s="109">
        <v>0</v>
      </c>
    </row>
    <row r="323" spans="1:3" ht="15" x14ac:dyDescent="0.25">
      <c r="A323" s="108" t="s">
        <v>925</v>
      </c>
      <c r="B323" s="3" t="s">
        <v>926</v>
      </c>
      <c r="C323" s="109">
        <v>4180273.9599999972</v>
      </c>
    </row>
    <row r="324" spans="1:3" ht="15" x14ac:dyDescent="0.25">
      <c r="A324" s="108" t="s">
        <v>927</v>
      </c>
      <c r="B324" s="3" t="s">
        <v>928</v>
      </c>
      <c r="C324" s="109">
        <v>0</v>
      </c>
    </row>
    <row r="325" spans="1:3" ht="15" x14ac:dyDescent="0.25">
      <c r="A325" s="108" t="s">
        <v>929</v>
      </c>
      <c r="B325" s="3" t="s">
        <v>930</v>
      </c>
      <c r="C325" s="109">
        <v>-12500</v>
      </c>
    </row>
    <row r="326" spans="1:3" ht="15" x14ac:dyDescent="0.25">
      <c r="A326" s="108" t="s">
        <v>931</v>
      </c>
      <c r="B326" s="3" t="s">
        <v>932</v>
      </c>
      <c r="C326" s="109">
        <v>62382.05</v>
      </c>
    </row>
    <row r="327" spans="1:3" ht="15" x14ac:dyDescent="0.25">
      <c r="A327" s="108" t="s">
        <v>933</v>
      </c>
      <c r="B327" s="3" t="s">
        <v>934</v>
      </c>
      <c r="C327" s="109">
        <v>1.8189894035458565E-12</v>
      </c>
    </row>
    <row r="328" spans="1:3" ht="15" x14ac:dyDescent="0.25">
      <c r="A328" s="108" t="s">
        <v>935</v>
      </c>
      <c r="B328" s="3" t="s">
        <v>936</v>
      </c>
      <c r="C328" s="109">
        <v>43587.709999999985</v>
      </c>
    </row>
    <row r="329" spans="1:3" ht="15" x14ac:dyDescent="0.25">
      <c r="A329" s="108" t="s">
        <v>937</v>
      </c>
      <c r="B329" s="3" t="s">
        <v>938</v>
      </c>
      <c r="C329" s="109">
        <v>43168.62</v>
      </c>
    </row>
    <row r="330" spans="1:3" ht="15" x14ac:dyDescent="0.25">
      <c r="A330" s="108" t="s">
        <v>939</v>
      </c>
      <c r="B330" s="3" t="s">
        <v>940</v>
      </c>
      <c r="C330" s="109">
        <v>-7417.56</v>
      </c>
    </row>
    <row r="331" spans="1:3" ht="15" x14ac:dyDescent="0.25">
      <c r="A331" s="108" t="s">
        <v>941</v>
      </c>
      <c r="B331" s="3" t="s">
        <v>942</v>
      </c>
      <c r="C331" s="109">
        <v>6296.11</v>
      </c>
    </row>
    <row r="332" spans="1:3" ht="15" x14ac:dyDescent="0.25">
      <c r="A332" s="108" t="s">
        <v>943</v>
      </c>
      <c r="B332" s="3" t="s">
        <v>944</v>
      </c>
      <c r="C332" s="109">
        <v>-1353.4699999999993</v>
      </c>
    </row>
    <row r="333" spans="1:3" ht="15" x14ac:dyDescent="0.25">
      <c r="A333" s="108" t="s">
        <v>945</v>
      </c>
      <c r="B333" s="3" t="s">
        <v>946</v>
      </c>
      <c r="C333" s="109">
        <v>17335.18</v>
      </c>
    </row>
    <row r="334" spans="1:3" ht="15" x14ac:dyDescent="0.25">
      <c r="A334" s="108" t="s">
        <v>947</v>
      </c>
      <c r="B334" s="3" t="s">
        <v>948</v>
      </c>
      <c r="C334" s="109">
        <v>0</v>
      </c>
    </row>
    <row r="335" spans="1:3" ht="15" x14ac:dyDescent="0.25">
      <c r="A335" s="108" t="s">
        <v>949</v>
      </c>
      <c r="B335" s="3" t="s">
        <v>950</v>
      </c>
      <c r="C335" s="109">
        <v>1136049.8699999999</v>
      </c>
    </row>
    <row r="336" spans="1:3" ht="15" x14ac:dyDescent="0.25">
      <c r="A336" s="108" t="s">
        <v>951</v>
      </c>
      <c r="B336" s="3" t="s">
        <v>952</v>
      </c>
      <c r="C336" s="109">
        <v>40473.520000000004</v>
      </c>
    </row>
    <row r="337" spans="1:3" ht="15" x14ac:dyDescent="0.25">
      <c r="A337" s="108" t="s">
        <v>953</v>
      </c>
      <c r="B337" s="3" t="s">
        <v>954</v>
      </c>
      <c r="C337" s="109">
        <v>5807.2800000000016</v>
      </c>
    </row>
    <row r="338" spans="1:3" ht="15" x14ac:dyDescent="0.25">
      <c r="A338" s="108" t="s">
        <v>955</v>
      </c>
      <c r="B338" s="3" t="s">
        <v>956</v>
      </c>
      <c r="C338" s="109">
        <v>22851.879999999997</v>
      </c>
    </row>
    <row r="339" spans="1:3" ht="15" x14ac:dyDescent="0.25">
      <c r="A339" s="108" t="s">
        <v>957</v>
      </c>
      <c r="B339" s="3" t="s">
        <v>958</v>
      </c>
      <c r="C339" s="109">
        <v>12002.19</v>
      </c>
    </row>
    <row r="340" spans="1:3" ht="15" x14ac:dyDescent="0.25">
      <c r="A340" s="108" t="s">
        <v>959</v>
      </c>
      <c r="B340" s="3" t="s">
        <v>960</v>
      </c>
      <c r="C340" s="109">
        <v>65566.049999999974</v>
      </c>
    </row>
    <row r="341" spans="1:3" ht="15" x14ac:dyDescent="0.25">
      <c r="A341" s="108" t="s">
        <v>961</v>
      </c>
      <c r="B341" s="3" t="s">
        <v>962</v>
      </c>
      <c r="C341" s="109">
        <v>-3385.9799999999996</v>
      </c>
    </row>
    <row r="342" spans="1:3" ht="15" x14ac:dyDescent="0.25">
      <c r="A342" s="108" t="s">
        <v>963</v>
      </c>
      <c r="B342" s="3" t="s">
        <v>964</v>
      </c>
      <c r="C342" s="109">
        <v>289769.51000000018</v>
      </c>
    </row>
    <row r="343" spans="1:3" ht="15" x14ac:dyDescent="0.25">
      <c r="A343" s="108" t="s">
        <v>965</v>
      </c>
      <c r="B343" s="3" t="s">
        <v>966</v>
      </c>
      <c r="C343" s="109">
        <v>1555387.9400000004</v>
      </c>
    </row>
    <row r="344" spans="1:3" ht="15" x14ac:dyDescent="0.25">
      <c r="A344" s="108" t="s">
        <v>967</v>
      </c>
      <c r="B344" s="3" t="s">
        <v>968</v>
      </c>
      <c r="C344" s="109">
        <v>733395.30999999959</v>
      </c>
    </row>
    <row r="345" spans="1:3" ht="15" x14ac:dyDescent="0.25">
      <c r="A345" s="108" t="s">
        <v>969</v>
      </c>
      <c r="B345" s="3" t="s">
        <v>970</v>
      </c>
      <c r="C345" s="109">
        <v>11396.94</v>
      </c>
    </row>
    <row r="346" spans="1:3" ht="15" x14ac:dyDescent="0.25">
      <c r="A346" s="108" t="s">
        <v>971</v>
      </c>
      <c r="B346" s="3" t="s">
        <v>972</v>
      </c>
      <c r="C346" s="109">
        <v>-2900</v>
      </c>
    </row>
    <row r="347" spans="1:3" ht="15" x14ac:dyDescent="0.25">
      <c r="A347" s="108" t="s">
        <v>973</v>
      </c>
      <c r="B347" s="3" t="s">
        <v>974</v>
      </c>
      <c r="C347" s="109">
        <v>-4880.4900000000007</v>
      </c>
    </row>
    <row r="348" spans="1:3" ht="15" x14ac:dyDescent="0.25">
      <c r="A348" s="108" t="s">
        <v>975</v>
      </c>
      <c r="B348" s="3" t="s">
        <v>976</v>
      </c>
      <c r="C348" s="109">
        <v>-5863.32</v>
      </c>
    </row>
    <row r="349" spans="1:3" ht="15" x14ac:dyDescent="0.25">
      <c r="A349" s="108" t="s">
        <v>977</v>
      </c>
      <c r="B349" s="3" t="s">
        <v>978</v>
      </c>
      <c r="C349" s="109">
        <v>33076.06</v>
      </c>
    </row>
    <row r="350" spans="1:3" ht="15" x14ac:dyDescent="0.25">
      <c r="A350" s="108" t="s">
        <v>979</v>
      </c>
      <c r="B350" s="3" t="s">
        <v>980</v>
      </c>
      <c r="C350" s="109">
        <v>97496.929999999935</v>
      </c>
    </row>
    <row r="351" spans="1:3" ht="15" x14ac:dyDescent="0.25">
      <c r="A351" s="108" t="s">
        <v>981</v>
      </c>
      <c r="B351" s="3" t="s">
        <v>982</v>
      </c>
      <c r="C351" s="109">
        <v>132027.94</v>
      </c>
    </row>
    <row r="352" spans="1:3" ht="15" x14ac:dyDescent="0.25">
      <c r="A352" s="108" t="s">
        <v>983</v>
      </c>
      <c r="B352" s="3" t="s">
        <v>984</v>
      </c>
      <c r="C352" s="109">
        <v>129575.25000000006</v>
      </c>
    </row>
    <row r="353" spans="1:3" ht="15" x14ac:dyDescent="0.25">
      <c r="A353" s="108" t="s">
        <v>985</v>
      </c>
      <c r="B353" s="3" t="s">
        <v>986</v>
      </c>
      <c r="C353" s="109">
        <v>277775.78999999998</v>
      </c>
    </row>
    <row r="354" spans="1:3" ht="15" x14ac:dyDescent="0.25">
      <c r="A354" s="108" t="s">
        <v>987</v>
      </c>
      <c r="B354" s="3" t="s">
        <v>988</v>
      </c>
      <c r="C354" s="109">
        <v>34303.109999999993</v>
      </c>
    </row>
    <row r="355" spans="1:3" ht="15" x14ac:dyDescent="0.25">
      <c r="A355" s="108" t="s">
        <v>989</v>
      </c>
      <c r="B355" s="3" t="s">
        <v>990</v>
      </c>
      <c r="C355" s="109">
        <v>32152.259999999991</v>
      </c>
    </row>
    <row r="356" spans="1:3" ht="15" x14ac:dyDescent="0.25">
      <c r="A356" s="108" t="s">
        <v>991</v>
      </c>
      <c r="B356" s="3" t="s">
        <v>992</v>
      </c>
      <c r="C356" s="109">
        <v>26361.009999999987</v>
      </c>
    </row>
    <row r="357" spans="1:3" ht="15" x14ac:dyDescent="0.25">
      <c r="A357" s="108" t="s">
        <v>993</v>
      </c>
      <c r="B357" s="3" t="s">
        <v>994</v>
      </c>
      <c r="C357" s="109">
        <v>75148.590000000011</v>
      </c>
    </row>
    <row r="358" spans="1:3" ht="15" x14ac:dyDescent="0.25">
      <c r="A358" s="108" t="s">
        <v>995</v>
      </c>
      <c r="B358" s="3" t="s">
        <v>996</v>
      </c>
      <c r="C358" s="109">
        <v>38275.740000000005</v>
      </c>
    </row>
    <row r="359" spans="1:3" ht="15" x14ac:dyDescent="0.25">
      <c r="A359" s="108" t="s">
        <v>997</v>
      </c>
      <c r="B359" s="3" t="s">
        <v>998</v>
      </c>
      <c r="C359" s="109">
        <v>116188.68000000001</v>
      </c>
    </row>
    <row r="360" spans="1:3" ht="15" x14ac:dyDescent="0.25">
      <c r="A360" s="108" t="s">
        <v>999</v>
      </c>
      <c r="B360" s="3" t="s">
        <v>1000</v>
      </c>
      <c r="C360" s="109">
        <v>166253.62999999989</v>
      </c>
    </row>
    <row r="361" spans="1:3" ht="15" x14ac:dyDescent="0.25">
      <c r="A361" s="108" t="s">
        <v>1001</v>
      </c>
      <c r="B361" s="3" t="s">
        <v>1002</v>
      </c>
      <c r="C361" s="109">
        <v>83172.5</v>
      </c>
    </row>
    <row r="362" spans="1:3" ht="15" x14ac:dyDescent="0.25">
      <c r="A362" s="108" t="s">
        <v>1003</v>
      </c>
      <c r="B362" s="3" t="s">
        <v>1004</v>
      </c>
      <c r="C362" s="109">
        <v>14304.14</v>
      </c>
    </row>
    <row r="363" spans="1:3" ht="15" x14ac:dyDescent="0.25">
      <c r="A363" s="108" t="s">
        <v>1005</v>
      </c>
      <c r="B363" s="3" t="s">
        <v>1006</v>
      </c>
      <c r="C363" s="109">
        <v>38627.560000000005</v>
      </c>
    </row>
    <row r="364" spans="1:3" ht="15" x14ac:dyDescent="0.25">
      <c r="A364" s="108" t="s">
        <v>1007</v>
      </c>
      <c r="B364" s="3" t="s">
        <v>1008</v>
      </c>
      <c r="C364" s="109">
        <v>86437.76999999999</v>
      </c>
    </row>
    <row r="365" spans="1:3" ht="15" x14ac:dyDescent="0.25">
      <c r="A365" s="108" t="s">
        <v>1009</v>
      </c>
      <c r="B365" s="3" t="s">
        <v>1010</v>
      </c>
      <c r="C365" s="109">
        <v>98637.190000000046</v>
      </c>
    </row>
    <row r="366" spans="1:3" ht="15" x14ac:dyDescent="0.25">
      <c r="A366" s="108" t="s">
        <v>1011</v>
      </c>
      <c r="B366" s="3" t="s">
        <v>1012</v>
      </c>
      <c r="C366" s="109">
        <v>121514.42000000003</v>
      </c>
    </row>
    <row r="367" spans="1:3" ht="15" x14ac:dyDescent="0.25">
      <c r="A367" s="108" t="s">
        <v>1013</v>
      </c>
      <c r="B367" s="3" t="s">
        <v>1014</v>
      </c>
      <c r="C367" s="109">
        <v>53543.99</v>
      </c>
    </row>
    <row r="368" spans="1:3" ht="15" x14ac:dyDescent="0.25">
      <c r="A368" s="108" t="s">
        <v>1015</v>
      </c>
      <c r="B368" s="3" t="s">
        <v>1016</v>
      </c>
      <c r="C368" s="109">
        <v>24264.99</v>
      </c>
    </row>
    <row r="369" spans="1:3" ht="15" x14ac:dyDescent="0.25">
      <c r="A369" s="108" t="s">
        <v>1017</v>
      </c>
      <c r="B369" s="3" t="s">
        <v>1018</v>
      </c>
      <c r="C369" s="109">
        <v>93977.680000000022</v>
      </c>
    </row>
    <row r="370" spans="1:3" ht="15" x14ac:dyDescent="0.25">
      <c r="A370" s="108" t="s">
        <v>1019</v>
      </c>
      <c r="B370" s="3" t="s">
        <v>1020</v>
      </c>
      <c r="C370" s="109">
        <v>198602.33</v>
      </c>
    </row>
    <row r="371" spans="1:3" ht="15" x14ac:dyDescent="0.25">
      <c r="A371" s="108" t="s">
        <v>1021</v>
      </c>
      <c r="B371" s="3" t="s">
        <v>1022</v>
      </c>
      <c r="C371" s="109">
        <v>98868.210000000021</v>
      </c>
    </row>
    <row r="372" spans="1:3" ht="15" x14ac:dyDescent="0.25">
      <c r="A372" s="108" t="s">
        <v>1023</v>
      </c>
      <c r="B372" s="3" t="s">
        <v>1024</v>
      </c>
      <c r="C372" s="109">
        <v>155723.78999999989</v>
      </c>
    </row>
    <row r="373" spans="1:3" ht="15" x14ac:dyDescent="0.25">
      <c r="A373" s="108" t="s">
        <v>1025</v>
      </c>
      <c r="B373" s="3" t="s">
        <v>1026</v>
      </c>
      <c r="C373" s="109">
        <v>48437.340000000018</v>
      </c>
    </row>
    <row r="374" spans="1:3" ht="15" x14ac:dyDescent="0.25">
      <c r="A374" s="108" t="s">
        <v>1027</v>
      </c>
      <c r="B374" s="3" t="s">
        <v>1028</v>
      </c>
      <c r="C374" s="109">
        <v>46631.97</v>
      </c>
    </row>
    <row r="375" spans="1:3" ht="15" x14ac:dyDescent="0.25">
      <c r="A375" s="108" t="s">
        <v>1029</v>
      </c>
      <c r="B375" s="3" t="s">
        <v>1030</v>
      </c>
      <c r="C375" s="109">
        <v>51343.420000000006</v>
      </c>
    </row>
    <row r="376" spans="1:3" ht="15" x14ac:dyDescent="0.25">
      <c r="A376" s="108" t="s">
        <v>1031</v>
      </c>
      <c r="B376" s="3" t="s">
        <v>1032</v>
      </c>
      <c r="C376" s="109">
        <v>19640.289999999994</v>
      </c>
    </row>
    <row r="377" spans="1:3" ht="15" x14ac:dyDescent="0.25">
      <c r="A377" s="108" t="s">
        <v>1033</v>
      </c>
      <c r="B377" s="3" t="s">
        <v>1034</v>
      </c>
      <c r="C377" s="109">
        <v>19655.87</v>
      </c>
    </row>
    <row r="378" spans="1:3" ht="15" x14ac:dyDescent="0.25">
      <c r="A378" s="108" t="s">
        <v>1035</v>
      </c>
      <c r="B378" s="3" t="s">
        <v>1036</v>
      </c>
      <c r="C378" s="109">
        <v>11726.26</v>
      </c>
    </row>
    <row r="379" spans="1:3" ht="15" x14ac:dyDescent="0.25">
      <c r="A379" s="108" t="s">
        <v>1037</v>
      </c>
      <c r="B379" s="3" t="s">
        <v>1038</v>
      </c>
      <c r="C379" s="109">
        <v>11397.05</v>
      </c>
    </row>
    <row r="380" spans="1:3" ht="15" x14ac:dyDescent="0.25">
      <c r="A380" s="108" t="s">
        <v>1039</v>
      </c>
      <c r="B380" s="3" t="s">
        <v>1040</v>
      </c>
      <c r="C380" s="109">
        <v>38109.1</v>
      </c>
    </row>
    <row r="381" spans="1:3" ht="15" x14ac:dyDescent="0.25">
      <c r="A381" s="108" t="s">
        <v>1041</v>
      </c>
      <c r="B381" s="3" t="s">
        <v>1042</v>
      </c>
      <c r="C381" s="109">
        <v>376471.50000000012</v>
      </c>
    </row>
    <row r="382" spans="1:3" ht="15" x14ac:dyDescent="0.25">
      <c r="A382" s="108" t="s">
        <v>1043</v>
      </c>
      <c r="B382" s="3" t="s">
        <v>1044</v>
      </c>
      <c r="C382" s="109">
        <v>35999.060000000005</v>
      </c>
    </row>
    <row r="383" spans="1:3" ht="15" x14ac:dyDescent="0.25">
      <c r="A383" s="108" t="s">
        <v>1045</v>
      </c>
      <c r="B383" s="3" t="s">
        <v>1046</v>
      </c>
      <c r="C383" s="109">
        <v>-2108.1999999999998</v>
      </c>
    </row>
    <row r="384" spans="1:3" ht="15" x14ac:dyDescent="0.25">
      <c r="A384" s="108" t="s">
        <v>1047</v>
      </c>
      <c r="B384" s="3" t="s">
        <v>1048</v>
      </c>
      <c r="C384" s="109">
        <v>244077.27999999997</v>
      </c>
    </row>
    <row r="385" spans="1:3" ht="15" x14ac:dyDescent="0.25">
      <c r="A385" s="108" t="s">
        <v>1049</v>
      </c>
      <c r="B385" s="3" t="s">
        <v>1050</v>
      </c>
      <c r="C385" s="109">
        <v>127605.13</v>
      </c>
    </row>
    <row r="386" spans="1:3" ht="15" x14ac:dyDescent="0.25">
      <c r="A386" s="108" t="s">
        <v>1051</v>
      </c>
      <c r="B386" s="3" t="s">
        <v>1052</v>
      </c>
      <c r="C386" s="109">
        <v>88442.250000000015</v>
      </c>
    </row>
    <row r="387" spans="1:3" ht="15" x14ac:dyDescent="0.25">
      <c r="A387" s="108" t="s">
        <v>1053</v>
      </c>
      <c r="B387" s="3" t="s">
        <v>1054</v>
      </c>
      <c r="C387" s="109">
        <v>94646.54</v>
      </c>
    </row>
    <row r="388" spans="1:3" ht="15" x14ac:dyDescent="0.25">
      <c r="A388" s="108" t="s">
        <v>1055</v>
      </c>
      <c r="B388" s="3" t="s">
        <v>1056</v>
      </c>
      <c r="C388" s="109">
        <v>-1540.630000000001</v>
      </c>
    </row>
    <row r="389" spans="1:3" ht="15" x14ac:dyDescent="0.25">
      <c r="A389" s="108" t="s">
        <v>1057</v>
      </c>
      <c r="B389" s="3" t="s">
        <v>1058</v>
      </c>
      <c r="C389" s="109">
        <v>300884.68000000017</v>
      </c>
    </row>
    <row r="390" spans="1:3" ht="15" x14ac:dyDescent="0.25">
      <c r="A390" s="108" t="s">
        <v>1059</v>
      </c>
      <c r="B390" s="3" t="s">
        <v>1060</v>
      </c>
      <c r="C390" s="109">
        <v>0</v>
      </c>
    </row>
    <row r="391" spans="1:3" ht="15" x14ac:dyDescent="0.25">
      <c r="A391" s="108" t="s">
        <v>1061</v>
      </c>
      <c r="B391" s="3" t="s">
        <v>1062</v>
      </c>
      <c r="C391" s="109">
        <v>8.7999999999999989</v>
      </c>
    </row>
    <row r="392" spans="1:3" ht="15" x14ac:dyDescent="0.25">
      <c r="A392" s="108" t="s">
        <v>1063</v>
      </c>
      <c r="B392" s="3" t="s">
        <v>1064</v>
      </c>
      <c r="C392" s="109">
        <v>8458.2799999999988</v>
      </c>
    </row>
    <row r="393" spans="1:3" ht="15" x14ac:dyDescent="0.25">
      <c r="A393" s="108" t="s">
        <v>1065</v>
      </c>
      <c r="B393" s="3" t="s">
        <v>1066</v>
      </c>
      <c r="C393" s="109">
        <v>20655.260000000002</v>
      </c>
    </row>
    <row r="394" spans="1:3" ht="15" x14ac:dyDescent="0.25">
      <c r="A394" s="108" t="s">
        <v>1067</v>
      </c>
      <c r="B394" s="3" t="s">
        <v>1068</v>
      </c>
      <c r="C394" s="109">
        <v>18351.640000000003</v>
      </c>
    </row>
    <row r="395" spans="1:3" ht="15" x14ac:dyDescent="0.25">
      <c r="A395" s="108" t="s">
        <v>1069</v>
      </c>
      <c r="B395" s="3" t="s">
        <v>1070</v>
      </c>
      <c r="C395" s="109">
        <v>9965.42</v>
      </c>
    </row>
    <row r="396" spans="1:3" ht="15" x14ac:dyDescent="0.25">
      <c r="A396" s="108" t="s">
        <v>1071</v>
      </c>
      <c r="B396" s="3" t="s">
        <v>1072</v>
      </c>
      <c r="C396" s="109">
        <v>34927.229999999989</v>
      </c>
    </row>
    <row r="397" spans="1:3" ht="15" x14ac:dyDescent="0.25">
      <c r="A397" s="108" t="s">
        <v>1073</v>
      </c>
      <c r="B397" s="3" t="s">
        <v>1074</v>
      </c>
      <c r="C397" s="109">
        <v>16739.66</v>
      </c>
    </row>
    <row r="398" spans="1:3" ht="15" x14ac:dyDescent="0.25">
      <c r="A398" s="108" t="s">
        <v>1075</v>
      </c>
      <c r="B398" s="3" t="s">
        <v>1076</v>
      </c>
      <c r="C398" s="109">
        <v>5034.1099999999997</v>
      </c>
    </row>
    <row r="399" spans="1:3" ht="15" x14ac:dyDescent="0.25">
      <c r="A399" s="108" t="s">
        <v>1077</v>
      </c>
      <c r="B399" s="3" t="s">
        <v>1078</v>
      </c>
      <c r="C399" s="109">
        <v>84519.440000000017</v>
      </c>
    </row>
    <row r="400" spans="1:3" ht="15" x14ac:dyDescent="0.25">
      <c r="A400" s="108" t="s">
        <v>1079</v>
      </c>
      <c r="B400" s="3" t="s">
        <v>1080</v>
      </c>
      <c r="C400" s="109">
        <v>705.79000000000008</v>
      </c>
    </row>
    <row r="401" spans="1:3" ht="15" x14ac:dyDescent="0.25">
      <c r="A401" s="108" t="s">
        <v>1081</v>
      </c>
      <c r="B401" s="3" t="s">
        <v>1082</v>
      </c>
      <c r="C401" s="109">
        <v>0</v>
      </c>
    </row>
    <row r="402" spans="1:3" ht="15" x14ac:dyDescent="0.25">
      <c r="A402" s="108" t="s">
        <v>1083</v>
      </c>
      <c r="B402" s="3" t="s">
        <v>1084</v>
      </c>
      <c r="C402" s="109">
        <v>5062.75</v>
      </c>
    </row>
    <row r="403" spans="1:3" ht="15" x14ac:dyDescent="0.25">
      <c r="A403" s="108" t="s">
        <v>1085</v>
      </c>
      <c r="B403" s="3" t="s">
        <v>1086</v>
      </c>
      <c r="C403" s="109">
        <v>-6993.1100000000151</v>
      </c>
    </row>
    <row r="404" spans="1:3" ht="15" x14ac:dyDescent="0.25">
      <c r="A404" s="108" t="s">
        <v>1087</v>
      </c>
      <c r="B404" s="3" t="s">
        <v>1088</v>
      </c>
      <c r="C404" s="109">
        <v>26359.649999999998</v>
      </c>
    </row>
    <row r="405" spans="1:3" ht="15" x14ac:dyDescent="0.25">
      <c r="A405" s="108" t="s">
        <v>1089</v>
      </c>
      <c r="B405" s="3" t="s">
        <v>1090</v>
      </c>
      <c r="C405" s="109">
        <v>-2.8421709430404007E-14</v>
      </c>
    </row>
    <row r="406" spans="1:3" ht="15" x14ac:dyDescent="0.25">
      <c r="A406" s="108" t="s">
        <v>1091</v>
      </c>
      <c r="B406" s="3" t="s">
        <v>1092</v>
      </c>
      <c r="C406" s="109">
        <v>0</v>
      </c>
    </row>
    <row r="407" spans="1:3" ht="15" x14ac:dyDescent="0.25">
      <c r="A407" s="108" t="s">
        <v>1093</v>
      </c>
      <c r="B407" s="3" t="s">
        <v>1094</v>
      </c>
      <c r="C407" s="109">
        <v>83219.709999999992</v>
      </c>
    </row>
    <row r="408" spans="1:3" ht="15" x14ac:dyDescent="0.25">
      <c r="A408" s="108" t="s">
        <v>1095</v>
      </c>
      <c r="B408" s="3" t="s">
        <v>1096</v>
      </c>
      <c r="C408" s="109">
        <v>-1003.79</v>
      </c>
    </row>
    <row r="409" spans="1:3" ht="15" x14ac:dyDescent="0.25">
      <c r="A409" s="108" t="s">
        <v>1097</v>
      </c>
      <c r="B409" s="3" t="s">
        <v>1098</v>
      </c>
      <c r="C409" s="109">
        <v>5227.76</v>
      </c>
    </row>
    <row r="410" spans="1:3" ht="15" x14ac:dyDescent="0.25">
      <c r="A410" s="108" t="s">
        <v>1099</v>
      </c>
      <c r="B410" s="3" t="s">
        <v>1100</v>
      </c>
      <c r="C410" s="109">
        <v>-7418.1100000000006</v>
      </c>
    </row>
    <row r="411" spans="1:3" ht="15" x14ac:dyDescent="0.25">
      <c r="A411" s="108" t="s">
        <v>1101</v>
      </c>
      <c r="B411" s="3" t="s">
        <v>1102</v>
      </c>
      <c r="C411" s="109">
        <v>1429.2</v>
      </c>
    </row>
    <row r="412" spans="1:3" ht="15" x14ac:dyDescent="0.25">
      <c r="A412" s="108" t="s">
        <v>1103</v>
      </c>
      <c r="B412" s="3" t="s">
        <v>1104</v>
      </c>
      <c r="C412" s="109">
        <v>11858.86</v>
      </c>
    </row>
    <row r="413" spans="1:3" ht="15" x14ac:dyDescent="0.25">
      <c r="A413" s="108" t="s">
        <v>1105</v>
      </c>
      <c r="B413" s="3" t="s">
        <v>1106</v>
      </c>
      <c r="C413" s="109">
        <v>16145.13</v>
      </c>
    </row>
    <row r="414" spans="1:3" ht="15" x14ac:dyDescent="0.25">
      <c r="A414" s="108" t="s">
        <v>1107</v>
      </c>
      <c r="B414" s="3" t="s">
        <v>1108</v>
      </c>
      <c r="C414" s="109">
        <v>861170.38000000059</v>
      </c>
    </row>
    <row r="415" spans="1:3" ht="15" x14ac:dyDescent="0.25">
      <c r="A415" s="108" t="s">
        <v>1109</v>
      </c>
      <c r="B415" s="3" t="s">
        <v>1110</v>
      </c>
      <c r="C415" s="109">
        <v>72860.100000000049</v>
      </c>
    </row>
    <row r="416" spans="1:3" ht="15" x14ac:dyDescent="0.25">
      <c r="A416" s="108" t="s">
        <v>1111</v>
      </c>
      <c r="B416" s="3" t="s">
        <v>1112</v>
      </c>
      <c r="C416" s="109">
        <v>26947.759999999991</v>
      </c>
    </row>
    <row r="417" spans="1:3" ht="15" x14ac:dyDescent="0.25">
      <c r="A417" s="108" t="s">
        <v>1113</v>
      </c>
      <c r="B417" s="3" t="s">
        <v>1114</v>
      </c>
      <c r="C417" s="109">
        <v>0</v>
      </c>
    </row>
    <row r="418" spans="1:3" ht="15" x14ac:dyDescent="0.25">
      <c r="A418" s="108" t="s">
        <v>1115</v>
      </c>
      <c r="B418" s="3" t="s">
        <v>1116</v>
      </c>
      <c r="C418" s="109">
        <v>924.73999999999955</v>
      </c>
    </row>
    <row r="419" spans="1:3" ht="15" x14ac:dyDescent="0.25">
      <c r="A419" s="108" t="s">
        <v>1117</v>
      </c>
      <c r="B419" s="3" t="s">
        <v>1118</v>
      </c>
      <c r="C419" s="109">
        <v>9.3137941803433932E-11</v>
      </c>
    </row>
    <row r="420" spans="1:3" ht="15" x14ac:dyDescent="0.25">
      <c r="A420" s="108" t="s">
        <v>1119</v>
      </c>
      <c r="B420" s="3" t="s">
        <v>1120</v>
      </c>
      <c r="C420" s="109">
        <v>117521.67</v>
      </c>
    </row>
    <row r="421" spans="1:3" ht="15" x14ac:dyDescent="0.25">
      <c r="A421" s="108" t="s">
        <v>1121</v>
      </c>
      <c r="B421" s="3" t="s">
        <v>1122</v>
      </c>
      <c r="C421" s="109">
        <v>-671.61</v>
      </c>
    </row>
    <row r="422" spans="1:3" ht="15" x14ac:dyDescent="0.25">
      <c r="A422" s="108" t="s">
        <v>1123</v>
      </c>
      <c r="B422" s="3" t="s">
        <v>1124</v>
      </c>
      <c r="C422" s="109">
        <v>214645.58999999979</v>
      </c>
    </row>
    <row r="423" spans="1:3" ht="15" x14ac:dyDescent="0.25">
      <c r="A423" s="108" t="s">
        <v>1125</v>
      </c>
      <c r="B423" s="3" t="s">
        <v>1126</v>
      </c>
      <c r="C423" s="109">
        <v>-7584.1299999999974</v>
      </c>
    </row>
    <row r="424" spans="1:3" ht="15" x14ac:dyDescent="0.25">
      <c r="A424" s="108" t="s">
        <v>1127</v>
      </c>
      <c r="B424" s="3" t="s">
        <v>1128</v>
      </c>
      <c r="C424" s="109">
        <v>-7.6899999999992339</v>
      </c>
    </row>
    <row r="425" spans="1:3" ht="15" x14ac:dyDescent="0.25">
      <c r="A425" s="108" t="s">
        <v>1129</v>
      </c>
      <c r="B425" s="3" t="s">
        <v>1130</v>
      </c>
      <c r="C425" s="109">
        <v>-1732.0900000000129</v>
      </c>
    </row>
    <row r="426" spans="1:3" ht="15" x14ac:dyDescent="0.25">
      <c r="A426" s="108" t="s">
        <v>1131</v>
      </c>
      <c r="B426" s="3" t="s">
        <v>1132</v>
      </c>
      <c r="C426" s="109">
        <v>-39749.18</v>
      </c>
    </row>
    <row r="427" spans="1:3" ht="15" x14ac:dyDescent="0.25">
      <c r="A427" s="108" t="s">
        <v>1133</v>
      </c>
      <c r="B427" s="3" t="s">
        <v>1134</v>
      </c>
      <c r="C427" s="109">
        <v>44018.360000000008</v>
      </c>
    </row>
    <row r="428" spans="1:3" ht="15" x14ac:dyDescent="0.25">
      <c r="A428" s="108" t="s">
        <v>1135</v>
      </c>
      <c r="B428" s="3" t="s">
        <v>1136</v>
      </c>
      <c r="C428" s="109">
        <v>523105.86000000004</v>
      </c>
    </row>
    <row r="429" spans="1:3" ht="15" x14ac:dyDescent="0.25">
      <c r="A429" s="108" t="s">
        <v>1137</v>
      </c>
      <c r="B429" s="3" t="s">
        <v>1138</v>
      </c>
      <c r="C429" s="109">
        <v>68213.570000000022</v>
      </c>
    </row>
    <row r="430" spans="1:3" ht="15" x14ac:dyDescent="0.25">
      <c r="A430" s="108" t="s">
        <v>1139</v>
      </c>
      <c r="B430" s="3" t="s">
        <v>1140</v>
      </c>
      <c r="C430" s="109">
        <v>4176.4399999999996</v>
      </c>
    </row>
    <row r="431" spans="1:3" ht="15" x14ac:dyDescent="0.25">
      <c r="A431" s="108" t="s">
        <v>1141</v>
      </c>
      <c r="B431" s="3" t="s">
        <v>1142</v>
      </c>
      <c r="C431" s="109">
        <v>8140.4399999999969</v>
      </c>
    </row>
    <row r="432" spans="1:3" ht="15" x14ac:dyDescent="0.25">
      <c r="A432" s="108" t="s">
        <v>1143</v>
      </c>
      <c r="B432" s="3" t="s">
        <v>1144</v>
      </c>
      <c r="C432" s="109">
        <v>11607.71</v>
      </c>
    </row>
    <row r="433" spans="1:3" ht="15" x14ac:dyDescent="0.25">
      <c r="A433" s="108" t="s">
        <v>1145</v>
      </c>
      <c r="B433" s="3" t="s">
        <v>1146</v>
      </c>
      <c r="C433" s="109">
        <v>31007.810000000019</v>
      </c>
    </row>
    <row r="434" spans="1:3" ht="15" x14ac:dyDescent="0.25">
      <c r="A434" s="108" t="s">
        <v>1147</v>
      </c>
      <c r="B434" s="3" t="s">
        <v>1148</v>
      </c>
      <c r="C434" s="109">
        <v>48614.880000000005</v>
      </c>
    </row>
    <row r="435" spans="1:3" ht="15" x14ac:dyDescent="0.25">
      <c r="A435" s="108" t="s">
        <v>1149</v>
      </c>
      <c r="B435" s="3" t="s">
        <v>1150</v>
      </c>
      <c r="C435" s="109">
        <v>-10510.17</v>
      </c>
    </row>
    <row r="436" spans="1:3" ht="15" x14ac:dyDescent="0.25">
      <c r="A436" s="108" t="s">
        <v>1151</v>
      </c>
      <c r="B436" s="3" t="s">
        <v>1152</v>
      </c>
      <c r="C436" s="109">
        <v>2130.9699999999998</v>
      </c>
    </row>
    <row r="437" spans="1:3" ht="15" x14ac:dyDescent="0.25">
      <c r="A437" s="108" t="s">
        <v>1153</v>
      </c>
      <c r="B437" s="3" t="s">
        <v>1154</v>
      </c>
      <c r="C437" s="109">
        <v>56089.100000000006</v>
      </c>
    </row>
    <row r="438" spans="1:3" ht="15" x14ac:dyDescent="0.25">
      <c r="A438" s="108" t="s">
        <v>1155</v>
      </c>
      <c r="B438" s="3" t="s">
        <v>1156</v>
      </c>
      <c r="C438" s="109">
        <v>160960.71999999997</v>
      </c>
    </row>
    <row r="439" spans="1:3" ht="15" x14ac:dyDescent="0.25">
      <c r="A439" s="108" t="s">
        <v>1157</v>
      </c>
      <c r="B439" s="3" t="s">
        <v>1158</v>
      </c>
      <c r="C439" s="109">
        <v>130977.3</v>
      </c>
    </row>
    <row r="440" spans="1:3" ht="15" x14ac:dyDescent="0.25">
      <c r="A440" s="108" t="s">
        <v>1159</v>
      </c>
      <c r="B440" s="3" t="s">
        <v>1160</v>
      </c>
      <c r="C440" s="109">
        <v>-1124.51</v>
      </c>
    </row>
    <row r="441" spans="1:3" ht="15" x14ac:dyDescent="0.25">
      <c r="A441" s="108" t="s">
        <v>1161</v>
      </c>
      <c r="B441" s="3" t="s">
        <v>1162</v>
      </c>
      <c r="C441" s="109">
        <v>282.08000000000038</v>
      </c>
    </row>
    <row r="442" spans="1:3" ht="15" x14ac:dyDescent="0.25">
      <c r="A442" s="108" t="s">
        <v>1163</v>
      </c>
      <c r="B442" s="3" t="s">
        <v>1164</v>
      </c>
      <c r="C442" s="109">
        <v>27980.260000000006</v>
      </c>
    </row>
    <row r="443" spans="1:3" ht="15" x14ac:dyDescent="0.25">
      <c r="A443" s="108" t="s">
        <v>1165</v>
      </c>
      <c r="B443" s="3" t="s">
        <v>1166</v>
      </c>
      <c r="C443" s="109">
        <v>2469.31</v>
      </c>
    </row>
    <row r="444" spans="1:3" ht="15" x14ac:dyDescent="0.25">
      <c r="A444" s="108" t="s">
        <v>1167</v>
      </c>
      <c r="B444" s="3" t="s">
        <v>1168</v>
      </c>
      <c r="C444" s="109">
        <v>26672.239999999998</v>
      </c>
    </row>
    <row r="445" spans="1:3" ht="15" x14ac:dyDescent="0.25">
      <c r="A445" s="108" t="s">
        <v>1169</v>
      </c>
      <c r="B445" s="3" t="s">
        <v>1170</v>
      </c>
      <c r="C445" s="109">
        <v>113977.76999999997</v>
      </c>
    </row>
    <row r="446" spans="1:3" ht="15" x14ac:dyDescent="0.25">
      <c r="A446" s="108" t="s">
        <v>1171</v>
      </c>
      <c r="B446" s="3" t="s">
        <v>1172</v>
      </c>
      <c r="C446" s="109">
        <v>1927.3300000000049</v>
      </c>
    </row>
    <row r="447" spans="1:3" ht="15" x14ac:dyDescent="0.25">
      <c r="A447" s="108" t="s">
        <v>1173</v>
      </c>
      <c r="B447" s="3" t="s">
        <v>1174</v>
      </c>
      <c r="C447" s="109">
        <v>5332.84</v>
      </c>
    </row>
    <row r="448" spans="1:3" ht="15" x14ac:dyDescent="0.25">
      <c r="A448" s="108" t="s">
        <v>1175</v>
      </c>
      <c r="B448" s="3" t="s">
        <v>1176</v>
      </c>
      <c r="C448" s="109">
        <v>58773.470000000008</v>
      </c>
    </row>
    <row r="449" spans="1:3" ht="15" x14ac:dyDescent="0.25">
      <c r="A449" s="108" t="s">
        <v>1177</v>
      </c>
      <c r="B449" s="3" t="s">
        <v>1178</v>
      </c>
      <c r="C449" s="109">
        <v>39935.570000000007</v>
      </c>
    </row>
    <row r="450" spans="1:3" ht="15" x14ac:dyDescent="0.25">
      <c r="A450" s="108" t="s">
        <v>1179</v>
      </c>
      <c r="B450" s="3" t="s">
        <v>1180</v>
      </c>
      <c r="C450" s="109">
        <v>1190275.92</v>
      </c>
    </row>
    <row r="451" spans="1:3" ht="15" x14ac:dyDescent="0.25">
      <c r="A451" s="108" t="s">
        <v>1181</v>
      </c>
      <c r="B451" s="3" t="s">
        <v>1182</v>
      </c>
      <c r="C451" s="109">
        <v>108807.13999999998</v>
      </c>
    </row>
    <row r="452" spans="1:3" ht="15" x14ac:dyDescent="0.25">
      <c r="A452" s="108" t="s">
        <v>1183</v>
      </c>
      <c r="B452" s="3" t="s">
        <v>1184</v>
      </c>
      <c r="C452" s="109">
        <v>115929.43</v>
      </c>
    </row>
    <row r="453" spans="1:3" ht="15" x14ac:dyDescent="0.25">
      <c r="A453" s="108" t="s">
        <v>1185</v>
      </c>
      <c r="B453" s="3" t="s">
        <v>1186</v>
      </c>
      <c r="C453" s="109">
        <v>-25768.35</v>
      </c>
    </row>
    <row r="454" spans="1:3" ht="15" x14ac:dyDescent="0.25">
      <c r="A454" s="108" t="s">
        <v>1187</v>
      </c>
      <c r="B454" s="3" t="s">
        <v>1188</v>
      </c>
      <c r="C454" s="109">
        <v>11887.39</v>
      </c>
    </row>
    <row r="455" spans="1:3" ht="15" x14ac:dyDescent="0.25">
      <c r="A455" s="108" t="s">
        <v>1189</v>
      </c>
      <c r="B455" s="3" t="s">
        <v>1190</v>
      </c>
      <c r="C455" s="109">
        <v>2621.6</v>
      </c>
    </row>
    <row r="456" spans="1:3" ht="15" x14ac:dyDescent="0.25">
      <c r="A456" s="108" t="s">
        <v>1191</v>
      </c>
      <c r="B456" s="3" t="s">
        <v>1192</v>
      </c>
      <c r="C456" s="109">
        <v>-6721.52</v>
      </c>
    </row>
    <row r="457" spans="1:3" ht="15" x14ac:dyDescent="0.25">
      <c r="A457" s="108" t="s">
        <v>1193</v>
      </c>
      <c r="B457" s="3" t="s">
        <v>1194</v>
      </c>
      <c r="C457" s="109">
        <v>-2150.39</v>
      </c>
    </row>
    <row r="458" spans="1:3" ht="15" x14ac:dyDescent="0.25">
      <c r="A458" s="108" t="s">
        <v>1195</v>
      </c>
      <c r="B458" s="3" t="s">
        <v>1196</v>
      </c>
      <c r="C458" s="109">
        <v>2206.06</v>
      </c>
    </row>
    <row r="459" spans="1:3" ht="15" x14ac:dyDescent="0.25">
      <c r="A459" s="108" t="s">
        <v>1197</v>
      </c>
      <c r="B459" s="3" t="s">
        <v>1198</v>
      </c>
      <c r="C459" s="109">
        <v>-26336.069999999982</v>
      </c>
    </row>
    <row r="460" spans="1:3" ht="15" x14ac:dyDescent="0.25">
      <c r="A460" s="108" t="s">
        <v>1199</v>
      </c>
      <c r="B460" s="3" t="s">
        <v>1200</v>
      </c>
      <c r="C460" s="109">
        <v>8025.36</v>
      </c>
    </row>
    <row r="461" spans="1:3" ht="15" x14ac:dyDescent="0.25">
      <c r="A461" s="108" t="s">
        <v>1201</v>
      </c>
      <c r="B461" s="3" t="s">
        <v>1202</v>
      </c>
      <c r="C461" s="109">
        <v>-10048.59</v>
      </c>
    </row>
    <row r="462" spans="1:3" ht="15" x14ac:dyDescent="0.25">
      <c r="A462" s="108" t="s">
        <v>1203</v>
      </c>
      <c r="B462" s="3" t="s">
        <v>1204</v>
      </c>
      <c r="C462" s="109">
        <v>12003.869999999999</v>
      </c>
    </row>
    <row r="463" spans="1:3" ht="15" x14ac:dyDescent="0.25">
      <c r="A463" s="108" t="s">
        <v>1205</v>
      </c>
      <c r="B463" s="3" t="s">
        <v>1206</v>
      </c>
      <c r="C463" s="109">
        <v>695058.07</v>
      </c>
    </row>
    <row r="464" spans="1:3" ht="15" x14ac:dyDescent="0.25">
      <c r="A464" s="108" t="s">
        <v>1207</v>
      </c>
      <c r="B464" s="3" t="s">
        <v>1208</v>
      </c>
      <c r="C464" s="109">
        <v>329993.01999999996</v>
      </c>
    </row>
    <row r="465" spans="1:3" ht="15" x14ac:dyDescent="0.25">
      <c r="A465" s="108" t="s">
        <v>1209</v>
      </c>
      <c r="B465" s="3" t="s">
        <v>1210</v>
      </c>
      <c r="C465" s="109">
        <v>723.43</v>
      </c>
    </row>
    <row r="466" spans="1:3" ht="15" x14ac:dyDescent="0.25">
      <c r="A466" s="108" t="s">
        <v>1211</v>
      </c>
      <c r="B466" s="3" t="s">
        <v>1212</v>
      </c>
      <c r="C466" s="109">
        <v>86527.059999999969</v>
      </c>
    </row>
    <row r="467" spans="1:3" ht="15" x14ac:dyDescent="0.25">
      <c r="A467" s="108" t="s">
        <v>1213</v>
      </c>
      <c r="B467" s="3" t="s">
        <v>1214</v>
      </c>
      <c r="C467" s="109">
        <v>84195.030000000042</v>
      </c>
    </row>
    <row r="468" spans="1:3" ht="15" x14ac:dyDescent="0.25">
      <c r="A468" s="108" t="s">
        <v>1215</v>
      </c>
      <c r="B468" s="3" t="s">
        <v>1216</v>
      </c>
      <c r="C468" s="109">
        <v>26879.33</v>
      </c>
    </row>
    <row r="469" spans="1:3" ht="15" x14ac:dyDescent="0.25">
      <c r="A469" s="108" t="s">
        <v>1217</v>
      </c>
      <c r="B469" s="3" t="s">
        <v>1218</v>
      </c>
      <c r="C469" s="109">
        <v>-555.01000000000204</v>
      </c>
    </row>
    <row r="470" spans="1:3" ht="15" x14ac:dyDescent="0.25">
      <c r="A470" s="108" t="s">
        <v>1219</v>
      </c>
      <c r="B470" s="3" t="s">
        <v>1220</v>
      </c>
      <c r="C470" s="109">
        <v>17050</v>
      </c>
    </row>
    <row r="471" spans="1:3" ht="15" x14ac:dyDescent="0.25">
      <c r="A471" s="108" t="s">
        <v>1221</v>
      </c>
      <c r="B471" s="3" t="s">
        <v>1222</v>
      </c>
      <c r="C471" s="109">
        <v>16178.950000000013</v>
      </c>
    </row>
    <row r="472" spans="1:3" ht="15" x14ac:dyDescent="0.25">
      <c r="A472" s="108" t="s">
        <v>1223</v>
      </c>
      <c r="B472" s="3" t="s">
        <v>1224</v>
      </c>
      <c r="C472" s="109">
        <v>59286.420000000035</v>
      </c>
    </row>
    <row r="473" spans="1:3" ht="15" x14ac:dyDescent="0.25">
      <c r="A473" s="108" t="s">
        <v>1225</v>
      </c>
      <c r="B473" s="3" t="s">
        <v>1226</v>
      </c>
      <c r="C473" s="109">
        <v>29441.679999999993</v>
      </c>
    </row>
    <row r="474" spans="1:3" ht="15" x14ac:dyDescent="0.25">
      <c r="A474" s="108" t="s">
        <v>1227</v>
      </c>
      <c r="B474" s="3" t="s">
        <v>1228</v>
      </c>
      <c r="C474" s="109">
        <v>306356.94000000006</v>
      </c>
    </row>
    <row r="475" spans="1:3" ht="15" x14ac:dyDescent="0.25">
      <c r="A475" s="108" t="s">
        <v>1229</v>
      </c>
      <c r="B475" s="3" t="s">
        <v>1230</v>
      </c>
      <c r="C475" s="109">
        <v>380709.3499999998</v>
      </c>
    </row>
    <row r="476" spans="1:3" ht="15" x14ac:dyDescent="0.25">
      <c r="A476" s="108" t="s">
        <v>1231</v>
      </c>
      <c r="B476" s="3" t="s">
        <v>1232</v>
      </c>
      <c r="C476" s="109">
        <v>578957.64000000013</v>
      </c>
    </row>
    <row r="477" spans="1:3" ht="15" x14ac:dyDescent="0.25">
      <c r="A477" s="108" t="s">
        <v>1233</v>
      </c>
      <c r="B477" s="3" t="s">
        <v>1234</v>
      </c>
      <c r="C477" s="109">
        <v>15.19999999999277</v>
      </c>
    </row>
    <row r="478" spans="1:3" ht="15" x14ac:dyDescent="0.25">
      <c r="A478" s="108" t="s">
        <v>1235</v>
      </c>
      <c r="B478" s="3" t="s">
        <v>1236</v>
      </c>
      <c r="C478" s="109">
        <v>26841.609999999997</v>
      </c>
    </row>
    <row r="479" spans="1:3" ht="15" x14ac:dyDescent="0.25">
      <c r="A479" s="108" t="s">
        <v>1237</v>
      </c>
      <c r="B479" s="3" t="s">
        <v>1238</v>
      </c>
      <c r="C479" s="109">
        <v>62562.720000000008</v>
      </c>
    </row>
    <row r="480" spans="1:3" ht="15" x14ac:dyDescent="0.25">
      <c r="A480" s="108" t="s">
        <v>1239</v>
      </c>
      <c r="B480" s="3" t="s">
        <v>1240</v>
      </c>
      <c r="C480" s="109">
        <v>2277503.6799999997</v>
      </c>
    </row>
    <row r="481" spans="1:3" ht="15" x14ac:dyDescent="0.25">
      <c r="A481" s="108" t="s">
        <v>1241</v>
      </c>
      <c r="B481" s="3" t="s">
        <v>1242</v>
      </c>
      <c r="C481" s="109">
        <v>419876.97999999992</v>
      </c>
    </row>
    <row r="482" spans="1:3" ht="15" x14ac:dyDescent="0.25">
      <c r="A482" s="108" t="s">
        <v>1243</v>
      </c>
      <c r="B482" s="3" t="s">
        <v>1244</v>
      </c>
      <c r="C482" s="109">
        <v>2591842.9600000018</v>
      </c>
    </row>
    <row r="483" spans="1:3" ht="15" x14ac:dyDescent="0.25">
      <c r="A483" s="108" t="s">
        <v>1245</v>
      </c>
      <c r="B483" s="3" t="s">
        <v>1246</v>
      </c>
      <c r="C483" s="109">
        <v>1774973.1800000006</v>
      </c>
    </row>
    <row r="484" spans="1:3" ht="15" x14ac:dyDescent="0.25">
      <c r="A484" s="108" t="s">
        <v>1247</v>
      </c>
      <c r="B484" s="3" t="s">
        <v>1248</v>
      </c>
      <c r="C484" s="109">
        <v>53118.210000000006</v>
      </c>
    </row>
    <row r="485" spans="1:3" ht="15" x14ac:dyDescent="0.25">
      <c r="A485" s="108" t="s">
        <v>1249</v>
      </c>
      <c r="B485" s="3" t="s">
        <v>1250</v>
      </c>
      <c r="C485" s="109">
        <v>64365.379999999983</v>
      </c>
    </row>
    <row r="486" spans="1:3" ht="15" x14ac:dyDescent="0.25">
      <c r="A486" s="108" t="s">
        <v>1251</v>
      </c>
      <c r="B486" s="3" t="s">
        <v>1252</v>
      </c>
      <c r="C486" s="109">
        <v>56538.14</v>
      </c>
    </row>
    <row r="487" spans="1:3" ht="15" x14ac:dyDescent="0.25">
      <c r="A487" s="108" t="s">
        <v>1253</v>
      </c>
      <c r="B487" s="3" t="s">
        <v>1254</v>
      </c>
      <c r="C487" s="109">
        <v>23020.63</v>
      </c>
    </row>
    <row r="488" spans="1:3" ht="15" x14ac:dyDescent="0.25">
      <c r="A488" s="108" t="s">
        <v>1255</v>
      </c>
      <c r="B488" s="3" t="s">
        <v>1256</v>
      </c>
      <c r="C488" s="109">
        <v>278306.19999999984</v>
      </c>
    </row>
    <row r="489" spans="1:3" ht="15" x14ac:dyDescent="0.25">
      <c r="A489" s="108" t="s">
        <v>1257</v>
      </c>
      <c r="B489" s="3" t="s">
        <v>1258</v>
      </c>
      <c r="C489" s="109">
        <v>50532.380000000005</v>
      </c>
    </row>
    <row r="490" spans="1:3" ht="15" x14ac:dyDescent="0.25">
      <c r="A490" s="108" t="s">
        <v>1259</v>
      </c>
      <c r="B490" s="3" t="s">
        <v>1260</v>
      </c>
      <c r="C490" s="109">
        <v>3072.88</v>
      </c>
    </row>
    <row r="491" spans="1:3" ht="15" x14ac:dyDescent="0.25">
      <c r="A491" s="108" t="s">
        <v>1261</v>
      </c>
      <c r="B491" s="3" t="s">
        <v>1262</v>
      </c>
      <c r="C491" s="109">
        <v>270063.68000000005</v>
      </c>
    </row>
    <row r="492" spans="1:3" ht="15" x14ac:dyDescent="0.25">
      <c r="A492" s="108" t="s">
        <v>1263</v>
      </c>
      <c r="B492" s="3" t="s">
        <v>1264</v>
      </c>
      <c r="C492" s="109">
        <v>116665.89999999994</v>
      </c>
    </row>
    <row r="493" spans="1:3" ht="15" x14ac:dyDescent="0.25">
      <c r="A493" s="108" t="s">
        <v>1265</v>
      </c>
      <c r="B493" s="3" t="s">
        <v>1266</v>
      </c>
      <c r="C493" s="109">
        <v>131240.54000000004</v>
      </c>
    </row>
    <row r="494" spans="1:3" ht="15" x14ac:dyDescent="0.25">
      <c r="A494" s="108" t="s">
        <v>1267</v>
      </c>
      <c r="B494" s="3" t="s">
        <v>1268</v>
      </c>
      <c r="C494" s="109">
        <v>279801.05999999994</v>
      </c>
    </row>
    <row r="495" spans="1:3" ht="15" x14ac:dyDescent="0.25">
      <c r="A495" s="108" t="s">
        <v>1269</v>
      </c>
      <c r="B495" s="3" t="s">
        <v>1270</v>
      </c>
      <c r="C495" s="109">
        <v>433148.9</v>
      </c>
    </row>
    <row r="496" spans="1:3" ht="15" x14ac:dyDescent="0.25">
      <c r="A496" s="108" t="s">
        <v>1271</v>
      </c>
      <c r="B496" s="3" t="s">
        <v>1272</v>
      </c>
      <c r="C496" s="109">
        <v>27593.329999999998</v>
      </c>
    </row>
    <row r="497" spans="1:3" ht="15" x14ac:dyDescent="0.25">
      <c r="A497" s="108" t="s">
        <v>1273</v>
      </c>
      <c r="B497" s="3" t="s">
        <v>1274</v>
      </c>
      <c r="C497" s="109">
        <v>628280.49000000022</v>
      </c>
    </row>
    <row r="498" spans="1:3" ht="15" x14ac:dyDescent="0.25">
      <c r="A498" s="108" t="s">
        <v>1275</v>
      </c>
      <c r="B498" s="3" t="s">
        <v>1276</v>
      </c>
      <c r="C498" s="109">
        <v>207361.25000000009</v>
      </c>
    </row>
    <row r="499" spans="1:3" ht="15" x14ac:dyDescent="0.25">
      <c r="A499" s="108" t="s">
        <v>1277</v>
      </c>
      <c r="B499" s="3" t="s">
        <v>1278</v>
      </c>
      <c r="C499" s="109">
        <v>28589.269999999997</v>
      </c>
    </row>
    <row r="500" spans="1:3" ht="15" x14ac:dyDescent="0.25">
      <c r="A500" s="108" t="s">
        <v>1279</v>
      </c>
      <c r="B500" s="3" t="s">
        <v>1280</v>
      </c>
      <c r="C500" s="109">
        <v>785165.54999999981</v>
      </c>
    </row>
    <row r="501" spans="1:3" ht="15" x14ac:dyDescent="0.25">
      <c r="A501" s="108" t="s">
        <v>1281</v>
      </c>
      <c r="B501" s="3" t="s">
        <v>1282</v>
      </c>
      <c r="C501" s="109">
        <v>17942.829999999998</v>
      </c>
    </row>
    <row r="502" spans="1:3" ht="15" x14ac:dyDescent="0.25">
      <c r="A502" s="108" t="s">
        <v>1283</v>
      </c>
      <c r="B502" s="3" t="s">
        <v>1284</v>
      </c>
      <c r="C502" s="109">
        <v>188146.83999999997</v>
      </c>
    </row>
    <row r="503" spans="1:3" ht="15" x14ac:dyDescent="0.25">
      <c r="A503" s="108" t="s">
        <v>1285</v>
      </c>
      <c r="B503" s="3" t="s">
        <v>1286</v>
      </c>
      <c r="C503" s="109">
        <v>12518.42</v>
      </c>
    </row>
    <row r="504" spans="1:3" ht="15" x14ac:dyDescent="0.25">
      <c r="A504" s="108" t="s">
        <v>1287</v>
      </c>
      <c r="B504" s="3" t="s">
        <v>1288</v>
      </c>
      <c r="C504" s="109">
        <v>12557.609999999999</v>
      </c>
    </row>
    <row r="505" spans="1:3" ht="15" x14ac:dyDescent="0.25">
      <c r="A505" s="108" t="s">
        <v>1289</v>
      </c>
      <c r="B505" s="3" t="s">
        <v>1290</v>
      </c>
      <c r="C505" s="109">
        <v>70989.53</v>
      </c>
    </row>
    <row r="506" spans="1:3" ht="15" x14ac:dyDescent="0.25">
      <c r="A506" s="108" t="s">
        <v>1291</v>
      </c>
      <c r="B506" s="3" t="s">
        <v>1292</v>
      </c>
      <c r="C506" s="109">
        <v>13472.039999999997</v>
      </c>
    </row>
    <row r="507" spans="1:3" ht="15" x14ac:dyDescent="0.25">
      <c r="A507" s="108" t="s">
        <v>1293</v>
      </c>
      <c r="B507" s="3" t="s">
        <v>1294</v>
      </c>
      <c r="C507" s="109">
        <v>64476.5</v>
      </c>
    </row>
    <row r="508" spans="1:3" ht="15" x14ac:dyDescent="0.25">
      <c r="A508" s="108" t="s">
        <v>1295</v>
      </c>
      <c r="B508" s="3" t="s">
        <v>1296</v>
      </c>
      <c r="C508" s="109">
        <v>63427.939999999988</v>
      </c>
    </row>
    <row r="509" spans="1:3" ht="15" x14ac:dyDescent="0.25">
      <c r="A509" s="108" t="s">
        <v>1297</v>
      </c>
      <c r="B509" s="3" t="s">
        <v>1298</v>
      </c>
      <c r="C509" s="109">
        <v>3916.8</v>
      </c>
    </row>
    <row r="510" spans="1:3" ht="15" x14ac:dyDescent="0.25">
      <c r="A510" s="108" t="s">
        <v>1299</v>
      </c>
      <c r="B510" s="3" t="s">
        <v>1300</v>
      </c>
      <c r="C510" s="109">
        <v>-17716.099999999999</v>
      </c>
    </row>
    <row r="511" spans="1:3" ht="15" x14ac:dyDescent="0.25">
      <c r="A511" s="108" t="s">
        <v>1301</v>
      </c>
      <c r="B511" s="3" t="s">
        <v>1302</v>
      </c>
      <c r="C511" s="109">
        <v>27679.06</v>
      </c>
    </row>
    <row r="512" spans="1:3" ht="15" x14ac:dyDescent="0.25">
      <c r="A512" s="108" t="s">
        <v>1303</v>
      </c>
      <c r="B512" s="3" t="s">
        <v>1304</v>
      </c>
      <c r="C512" s="109">
        <v>18044.330000000005</v>
      </c>
    </row>
    <row r="513" spans="1:3" ht="15" x14ac:dyDescent="0.25">
      <c r="A513" s="108" t="s">
        <v>1305</v>
      </c>
      <c r="B513" s="3" t="s">
        <v>1306</v>
      </c>
      <c r="C513" s="109">
        <v>-41881.759999999995</v>
      </c>
    </row>
    <row r="514" spans="1:3" ht="15" x14ac:dyDescent="0.25">
      <c r="A514" s="108" t="s">
        <v>1307</v>
      </c>
      <c r="B514" s="3" t="s">
        <v>1308</v>
      </c>
      <c r="C514" s="109">
        <v>474751.5299999998</v>
      </c>
    </row>
    <row r="515" spans="1:3" ht="15" x14ac:dyDescent="0.25">
      <c r="A515" s="108" t="s">
        <v>1309</v>
      </c>
      <c r="B515" s="3" t="s">
        <v>1310</v>
      </c>
      <c r="C515" s="109">
        <v>88895.789999999979</v>
      </c>
    </row>
    <row r="516" spans="1:3" ht="15" x14ac:dyDescent="0.25">
      <c r="A516" s="108" t="s">
        <v>1311</v>
      </c>
      <c r="B516" s="3" t="s">
        <v>1312</v>
      </c>
      <c r="C516" s="109">
        <v>77546.42</v>
      </c>
    </row>
    <row r="517" spans="1:3" ht="15" x14ac:dyDescent="0.25">
      <c r="A517" s="108" t="s">
        <v>1313</v>
      </c>
      <c r="B517" s="3" t="s">
        <v>1314</v>
      </c>
      <c r="C517" s="109">
        <v>11513.949999999999</v>
      </c>
    </row>
    <row r="518" spans="1:3" ht="15" x14ac:dyDescent="0.25">
      <c r="A518" s="108" t="s">
        <v>1315</v>
      </c>
      <c r="B518" s="3" t="s">
        <v>1316</v>
      </c>
      <c r="C518" s="109">
        <v>48892.14</v>
      </c>
    </row>
    <row r="519" spans="1:3" ht="15" x14ac:dyDescent="0.25">
      <c r="A519" s="108" t="s">
        <v>1317</v>
      </c>
      <c r="B519" s="3" t="s">
        <v>1318</v>
      </c>
      <c r="C519" s="109">
        <v>142193.31999999992</v>
      </c>
    </row>
    <row r="520" spans="1:3" ht="15" x14ac:dyDescent="0.25">
      <c r="A520" s="108" t="s">
        <v>1319</v>
      </c>
      <c r="B520" s="3" t="s">
        <v>1320</v>
      </c>
      <c r="C520" s="109">
        <v>98245.36</v>
      </c>
    </row>
    <row r="521" spans="1:3" ht="15" x14ac:dyDescent="0.25">
      <c r="A521" s="108" t="s">
        <v>1321</v>
      </c>
      <c r="B521" s="3" t="s">
        <v>1322</v>
      </c>
      <c r="C521" s="109">
        <v>107873.09</v>
      </c>
    </row>
    <row r="522" spans="1:3" ht="15" x14ac:dyDescent="0.25">
      <c r="A522" s="108" t="s">
        <v>1323</v>
      </c>
      <c r="B522" s="3" t="s">
        <v>1324</v>
      </c>
      <c r="C522" s="109">
        <v>274812.4800000001</v>
      </c>
    </row>
    <row r="523" spans="1:3" ht="15" x14ac:dyDescent="0.25">
      <c r="A523" s="108" t="s">
        <v>1325</v>
      </c>
      <c r="B523" s="3" t="s">
        <v>1326</v>
      </c>
      <c r="C523" s="109">
        <v>984935.50000000012</v>
      </c>
    </row>
    <row r="524" spans="1:3" ht="15" x14ac:dyDescent="0.25">
      <c r="A524" s="108" t="s">
        <v>1327</v>
      </c>
      <c r="B524" s="3" t="s">
        <v>1328</v>
      </c>
      <c r="C524" s="109">
        <v>36856.119999999995</v>
      </c>
    </row>
    <row r="525" spans="1:3" ht="15" x14ac:dyDescent="0.25">
      <c r="A525" s="108" t="s">
        <v>1329</v>
      </c>
      <c r="B525" s="3" t="s">
        <v>1330</v>
      </c>
      <c r="C525" s="109">
        <v>1185.1100000000006</v>
      </c>
    </row>
    <row r="526" spans="1:3" ht="15" x14ac:dyDescent="0.25">
      <c r="A526" s="108" t="s">
        <v>1331</v>
      </c>
      <c r="B526" s="3" t="s">
        <v>1332</v>
      </c>
      <c r="C526" s="109">
        <v>0</v>
      </c>
    </row>
    <row r="527" spans="1:3" ht="15" x14ac:dyDescent="0.25">
      <c r="A527" s="108" t="s">
        <v>1333</v>
      </c>
      <c r="B527" s="3" t="s">
        <v>1334</v>
      </c>
      <c r="C527" s="109">
        <v>-344992.75000000006</v>
      </c>
    </row>
    <row r="528" spans="1:3" ht="15" x14ac:dyDescent="0.25">
      <c r="A528" s="108" t="s">
        <v>1335</v>
      </c>
      <c r="B528" s="3" t="s">
        <v>1336</v>
      </c>
      <c r="C528" s="109">
        <v>14857.869999999999</v>
      </c>
    </row>
    <row r="529" spans="1:3" ht="15" x14ac:dyDescent="0.25">
      <c r="A529" s="108" t="s">
        <v>1337</v>
      </c>
      <c r="B529" s="3" t="s">
        <v>1338</v>
      </c>
      <c r="C529" s="109">
        <v>168646.09000000003</v>
      </c>
    </row>
    <row r="530" spans="1:3" ht="15" x14ac:dyDescent="0.25">
      <c r="A530" s="108" t="s">
        <v>1339</v>
      </c>
      <c r="B530" s="3" t="s">
        <v>1340</v>
      </c>
      <c r="C530" s="109">
        <v>44552.08</v>
      </c>
    </row>
    <row r="531" spans="1:3" ht="15" x14ac:dyDescent="0.25">
      <c r="A531" s="108" t="s">
        <v>1341</v>
      </c>
      <c r="B531" s="3" t="s">
        <v>1342</v>
      </c>
      <c r="C531" s="109">
        <v>85368.22</v>
      </c>
    </row>
    <row r="532" spans="1:3" ht="15" x14ac:dyDescent="0.25">
      <c r="A532" s="108" t="s">
        <v>1343</v>
      </c>
      <c r="B532" s="3" t="s">
        <v>1344</v>
      </c>
      <c r="C532" s="109">
        <v>1034.069999999999</v>
      </c>
    </row>
    <row r="533" spans="1:3" ht="15" x14ac:dyDescent="0.25">
      <c r="A533" s="108" t="s">
        <v>1345</v>
      </c>
      <c r="B533" s="3" t="s">
        <v>1346</v>
      </c>
      <c r="C533" s="109">
        <v>24568.860000000004</v>
      </c>
    </row>
    <row r="534" spans="1:3" ht="15" x14ac:dyDescent="0.25">
      <c r="A534" s="108" t="s">
        <v>1347</v>
      </c>
      <c r="B534" s="3" t="s">
        <v>1348</v>
      </c>
      <c r="C534" s="109">
        <v>91469.04</v>
      </c>
    </row>
    <row r="535" spans="1:3" ht="15" x14ac:dyDescent="0.25">
      <c r="A535" s="108" t="s">
        <v>1349</v>
      </c>
      <c r="B535" s="3" t="s">
        <v>1350</v>
      </c>
      <c r="C535" s="109">
        <v>19870.949999999997</v>
      </c>
    </row>
    <row r="536" spans="1:3" ht="15" x14ac:dyDescent="0.25">
      <c r="A536" s="108" t="s">
        <v>1351</v>
      </c>
      <c r="B536" s="3" t="s">
        <v>1352</v>
      </c>
      <c r="C536" s="109">
        <v>21978.909999999996</v>
      </c>
    </row>
    <row r="537" spans="1:3" ht="15" x14ac:dyDescent="0.25">
      <c r="A537" s="108" t="s">
        <v>1353</v>
      </c>
      <c r="B537" s="3" t="s">
        <v>1354</v>
      </c>
      <c r="C537" s="109">
        <v>52695</v>
      </c>
    </row>
    <row r="538" spans="1:3" ht="15" x14ac:dyDescent="0.25">
      <c r="A538" s="108" t="s">
        <v>1355</v>
      </c>
      <c r="B538" s="3" t="s">
        <v>1356</v>
      </c>
      <c r="C538" s="109">
        <v>26138</v>
      </c>
    </row>
    <row r="539" spans="1:3" ht="15" x14ac:dyDescent="0.25">
      <c r="A539" s="108" t="s">
        <v>1357</v>
      </c>
      <c r="B539" s="3" t="s">
        <v>1358</v>
      </c>
      <c r="C539" s="109">
        <v>3759.27</v>
      </c>
    </row>
    <row r="540" spans="1:3" ht="15" x14ac:dyDescent="0.25">
      <c r="A540" s="108" t="s">
        <v>1359</v>
      </c>
      <c r="B540" s="3" t="s">
        <v>1360</v>
      </c>
      <c r="C540" s="109">
        <v>2487.7699999999991</v>
      </c>
    </row>
    <row r="541" spans="1:3" ht="15" x14ac:dyDescent="0.25">
      <c r="A541" s="108" t="s">
        <v>1361</v>
      </c>
      <c r="B541" s="3" t="s">
        <v>1362</v>
      </c>
      <c r="C541" s="109">
        <v>55932.900000000009</v>
      </c>
    </row>
    <row r="542" spans="1:3" ht="15" x14ac:dyDescent="0.25">
      <c r="A542" s="108" t="s">
        <v>1363</v>
      </c>
      <c r="B542" s="3" t="s">
        <v>1364</v>
      </c>
      <c r="C542" s="109">
        <v>193664.54</v>
      </c>
    </row>
    <row r="543" spans="1:3" ht="15" x14ac:dyDescent="0.25">
      <c r="A543" s="108" t="s">
        <v>1365</v>
      </c>
      <c r="B543" s="3" t="s">
        <v>1366</v>
      </c>
      <c r="C543" s="109">
        <v>60258</v>
      </c>
    </row>
    <row r="544" spans="1:3" ht="15" x14ac:dyDescent="0.25">
      <c r="A544" s="108" t="s">
        <v>1367</v>
      </c>
      <c r="B544" s="3" t="s">
        <v>1368</v>
      </c>
      <c r="C544" s="109">
        <v>5093.2300000000005</v>
      </c>
    </row>
    <row r="545" spans="1:3" ht="15" x14ac:dyDescent="0.25">
      <c r="A545" s="108" t="s">
        <v>1369</v>
      </c>
      <c r="B545" s="3" t="s">
        <v>1370</v>
      </c>
      <c r="C545" s="109">
        <v>-23679.889999999992</v>
      </c>
    </row>
    <row r="546" spans="1:3" ht="15" x14ac:dyDescent="0.25">
      <c r="A546" s="108" t="s">
        <v>1371</v>
      </c>
      <c r="B546" s="3" t="s">
        <v>1372</v>
      </c>
      <c r="C546" s="109">
        <v>236901.9</v>
      </c>
    </row>
    <row r="547" spans="1:3" ht="15" x14ac:dyDescent="0.25">
      <c r="A547" s="108" t="s">
        <v>1373</v>
      </c>
      <c r="B547" s="3" t="s">
        <v>1374</v>
      </c>
      <c r="C547" s="109">
        <v>133501.25</v>
      </c>
    </row>
    <row r="548" spans="1:3" ht="15" x14ac:dyDescent="0.25">
      <c r="A548" s="108" t="s">
        <v>1375</v>
      </c>
      <c r="B548" s="3" t="s">
        <v>1376</v>
      </c>
      <c r="C548" s="109">
        <v>43345.840000000011</v>
      </c>
    </row>
    <row r="549" spans="1:3" ht="15" x14ac:dyDescent="0.25">
      <c r="A549" s="108" t="s">
        <v>1377</v>
      </c>
      <c r="B549" s="3" t="s">
        <v>1378</v>
      </c>
      <c r="C549" s="109">
        <v>75465.939999999973</v>
      </c>
    </row>
    <row r="550" spans="1:3" ht="15" x14ac:dyDescent="0.25">
      <c r="A550" s="108" t="s">
        <v>1379</v>
      </c>
      <c r="B550" s="3" t="s">
        <v>1380</v>
      </c>
      <c r="C550" s="109">
        <v>18977.14</v>
      </c>
    </row>
    <row r="551" spans="1:3" ht="15" x14ac:dyDescent="0.25">
      <c r="A551" s="108" t="s">
        <v>1381</v>
      </c>
      <c r="B551" s="3" t="s">
        <v>1382</v>
      </c>
      <c r="C551" s="109">
        <v>11709.25</v>
      </c>
    </row>
    <row r="552" spans="1:3" ht="15" x14ac:dyDescent="0.25">
      <c r="A552" s="108" t="s">
        <v>1383</v>
      </c>
      <c r="B552" s="3" t="s">
        <v>1384</v>
      </c>
      <c r="C552" s="109">
        <v>5559.5500000000011</v>
      </c>
    </row>
    <row r="553" spans="1:3" ht="15" x14ac:dyDescent="0.25">
      <c r="A553" s="108" t="s">
        <v>1385</v>
      </c>
      <c r="B553" s="3" t="s">
        <v>1386</v>
      </c>
      <c r="C553" s="109">
        <v>12413.829999999996</v>
      </c>
    </row>
    <row r="554" spans="1:3" ht="15" x14ac:dyDescent="0.25">
      <c r="A554" s="108" t="s">
        <v>1387</v>
      </c>
      <c r="B554" s="3" t="s">
        <v>1388</v>
      </c>
      <c r="C554" s="109">
        <v>16032.989999999998</v>
      </c>
    </row>
    <row r="555" spans="1:3" ht="15" x14ac:dyDescent="0.25">
      <c r="A555" s="108" t="s">
        <v>1389</v>
      </c>
      <c r="B555" s="3" t="s">
        <v>1390</v>
      </c>
      <c r="C555" s="109">
        <v>12449.22</v>
      </c>
    </row>
    <row r="556" spans="1:3" ht="15" x14ac:dyDescent="0.25">
      <c r="A556" s="108" t="s">
        <v>1391</v>
      </c>
      <c r="B556" s="3" t="s">
        <v>1392</v>
      </c>
      <c r="C556" s="109">
        <v>15717.98</v>
      </c>
    </row>
    <row r="557" spans="1:3" ht="15" x14ac:dyDescent="0.25">
      <c r="A557" s="108" t="s">
        <v>1393</v>
      </c>
      <c r="B557" s="3" t="s">
        <v>1394</v>
      </c>
      <c r="C557" s="109">
        <v>19474.379999999997</v>
      </c>
    </row>
    <row r="558" spans="1:3" ht="15" x14ac:dyDescent="0.25">
      <c r="A558" s="108" t="s">
        <v>1395</v>
      </c>
      <c r="B558" s="3" t="s">
        <v>1396</v>
      </c>
      <c r="C558" s="109">
        <v>11953.86</v>
      </c>
    </row>
    <row r="559" spans="1:3" ht="15" x14ac:dyDescent="0.25">
      <c r="A559" s="108" t="s">
        <v>1397</v>
      </c>
      <c r="B559" s="3" t="s">
        <v>1398</v>
      </c>
      <c r="C559" s="109">
        <v>9909.7100000000009</v>
      </c>
    </row>
    <row r="560" spans="1:3" ht="15" x14ac:dyDescent="0.25">
      <c r="A560" s="108" t="s">
        <v>1399</v>
      </c>
      <c r="B560" s="3" t="s">
        <v>1400</v>
      </c>
      <c r="C560" s="109">
        <v>6282.21</v>
      </c>
    </row>
    <row r="561" spans="1:3" ht="15" x14ac:dyDescent="0.25">
      <c r="A561" s="108" t="s">
        <v>1401</v>
      </c>
      <c r="B561" s="3" t="s">
        <v>1402</v>
      </c>
      <c r="C561" s="109">
        <v>10304.86</v>
      </c>
    </row>
    <row r="562" spans="1:3" ht="15" x14ac:dyDescent="0.25">
      <c r="A562" s="108" t="s">
        <v>1403</v>
      </c>
      <c r="B562" s="3" t="s">
        <v>1404</v>
      </c>
      <c r="C562" s="109">
        <v>112488.03999999998</v>
      </c>
    </row>
    <row r="563" spans="1:3" ht="15" x14ac:dyDescent="0.25">
      <c r="A563" s="108" t="s">
        <v>1405</v>
      </c>
      <c r="B563" s="3" t="s">
        <v>1406</v>
      </c>
      <c r="C563" s="109">
        <v>115137.34000000001</v>
      </c>
    </row>
    <row r="564" spans="1:3" ht="15" x14ac:dyDescent="0.25">
      <c r="A564" s="108" t="s">
        <v>1407</v>
      </c>
      <c r="B564" s="3" t="s">
        <v>1408</v>
      </c>
      <c r="C564" s="109">
        <v>94886.490000000049</v>
      </c>
    </row>
    <row r="565" spans="1:3" ht="15" x14ac:dyDescent="0.25">
      <c r="A565" s="108" t="s">
        <v>1409</v>
      </c>
      <c r="B565" s="3" t="s">
        <v>1410</v>
      </c>
      <c r="C565" s="109">
        <v>93996.450000000012</v>
      </c>
    </row>
    <row r="566" spans="1:3" ht="15" x14ac:dyDescent="0.25">
      <c r="A566" s="108" t="s">
        <v>1411</v>
      </c>
      <c r="B566" s="3" t="s">
        <v>1412</v>
      </c>
      <c r="C566" s="109">
        <v>72323.400000000009</v>
      </c>
    </row>
    <row r="567" spans="1:3" ht="15" x14ac:dyDescent="0.25">
      <c r="A567" s="108" t="s">
        <v>1413</v>
      </c>
      <c r="B567" s="3" t="s">
        <v>1414</v>
      </c>
      <c r="C567" s="109">
        <v>83520.670000000013</v>
      </c>
    </row>
    <row r="568" spans="1:3" ht="15" x14ac:dyDescent="0.25">
      <c r="A568" s="108" t="s">
        <v>1415</v>
      </c>
      <c r="B568" s="3" t="s">
        <v>1416</v>
      </c>
      <c r="C568" s="109">
        <v>37209.26</v>
      </c>
    </row>
    <row r="569" spans="1:3" ht="15" x14ac:dyDescent="0.25">
      <c r="A569" s="108" t="s">
        <v>1417</v>
      </c>
      <c r="B569" s="3" t="s">
        <v>1418</v>
      </c>
      <c r="C569" s="109">
        <v>20851.72</v>
      </c>
    </row>
    <row r="570" spans="1:3" ht="15" x14ac:dyDescent="0.25">
      <c r="A570" s="108" t="s">
        <v>1419</v>
      </c>
      <c r="B570" s="3" t="s">
        <v>1420</v>
      </c>
      <c r="C570" s="109">
        <v>66986.549999999988</v>
      </c>
    </row>
    <row r="571" spans="1:3" ht="15" x14ac:dyDescent="0.25">
      <c r="A571" s="108" t="s">
        <v>1421</v>
      </c>
      <c r="B571" s="3" t="s">
        <v>1422</v>
      </c>
      <c r="C571" s="109">
        <v>17523.939999999999</v>
      </c>
    </row>
    <row r="572" spans="1:3" ht="15" x14ac:dyDescent="0.25">
      <c r="A572" s="108" t="s">
        <v>1423</v>
      </c>
      <c r="B572" s="3" t="s">
        <v>1424</v>
      </c>
      <c r="C572" s="109">
        <v>89780.139999999985</v>
      </c>
    </row>
    <row r="573" spans="1:3" ht="15" x14ac:dyDescent="0.25">
      <c r="A573" s="108" t="s">
        <v>1425</v>
      </c>
      <c r="B573" s="3" t="s">
        <v>1426</v>
      </c>
      <c r="C573" s="109">
        <v>-1380.4999999999993</v>
      </c>
    </row>
    <row r="574" spans="1:3" ht="15" x14ac:dyDescent="0.25">
      <c r="A574" s="108" t="s">
        <v>1427</v>
      </c>
      <c r="B574" s="3" t="s">
        <v>1428</v>
      </c>
      <c r="C574" s="109">
        <v>1647.56</v>
      </c>
    </row>
    <row r="575" spans="1:3" ht="15" x14ac:dyDescent="0.25">
      <c r="A575" s="108" t="s">
        <v>1429</v>
      </c>
      <c r="B575" s="3" t="s">
        <v>1430</v>
      </c>
      <c r="C575" s="109">
        <v>1880672.0299999998</v>
      </c>
    </row>
    <row r="576" spans="1:3" ht="15" x14ac:dyDescent="0.25">
      <c r="A576" s="108" t="s">
        <v>1431</v>
      </c>
      <c r="B576" s="3" t="s">
        <v>1432</v>
      </c>
      <c r="C576" s="109">
        <v>595280.37000000011</v>
      </c>
    </row>
    <row r="577" spans="1:3" ht="15" x14ac:dyDescent="0.25">
      <c r="A577" s="108" t="s">
        <v>1433</v>
      </c>
      <c r="B577" s="3" t="s">
        <v>1434</v>
      </c>
      <c r="C577" s="109">
        <v>280619.77</v>
      </c>
    </row>
    <row r="578" spans="1:3" ht="15" x14ac:dyDescent="0.25">
      <c r="A578" s="108" t="s">
        <v>1435</v>
      </c>
      <c r="B578" s="3" t="s">
        <v>1436</v>
      </c>
      <c r="C578" s="109">
        <v>351952.85</v>
      </c>
    </row>
    <row r="579" spans="1:3" ht="15" x14ac:dyDescent="0.25">
      <c r="A579" s="108" t="s">
        <v>1437</v>
      </c>
      <c r="B579" s="3" t="s">
        <v>1438</v>
      </c>
      <c r="C579" s="109">
        <v>4077.2000000000139</v>
      </c>
    </row>
    <row r="580" spans="1:3" ht="15" x14ac:dyDescent="0.25">
      <c r="A580" s="108" t="s">
        <v>1439</v>
      </c>
      <c r="B580" s="3" t="s">
        <v>1440</v>
      </c>
      <c r="C580" s="109">
        <v>429452.50999999989</v>
      </c>
    </row>
    <row r="581" spans="1:3" ht="15" x14ac:dyDescent="0.25">
      <c r="A581" s="108" t="s">
        <v>1441</v>
      </c>
      <c r="B581" s="3" t="s">
        <v>1442</v>
      </c>
      <c r="C581" s="109">
        <v>12180.86</v>
      </c>
    </row>
    <row r="582" spans="1:3" ht="15" x14ac:dyDescent="0.25">
      <c r="A582" s="108" t="s">
        <v>1443</v>
      </c>
      <c r="B582" s="3" t="s">
        <v>1444</v>
      </c>
      <c r="C582" s="109">
        <v>-771.17999999998233</v>
      </c>
    </row>
    <row r="583" spans="1:3" ht="15" x14ac:dyDescent="0.25">
      <c r="A583" s="108" t="s">
        <v>1445</v>
      </c>
      <c r="B583" s="3" t="s">
        <v>1446</v>
      </c>
      <c r="C583" s="109">
        <v>166354.99999999997</v>
      </c>
    </row>
    <row r="584" spans="1:3" ht="15" x14ac:dyDescent="0.25">
      <c r="A584" s="108" t="s">
        <v>1447</v>
      </c>
      <c r="B584" s="3" t="s">
        <v>1448</v>
      </c>
      <c r="C584" s="109">
        <v>34667.18</v>
      </c>
    </row>
    <row r="585" spans="1:3" ht="15" x14ac:dyDescent="0.25">
      <c r="A585" s="108" t="s">
        <v>1449</v>
      </c>
      <c r="B585" s="3" t="s">
        <v>1450</v>
      </c>
      <c r="C585" s="109">
        <v>38426.749999999993</v>
      </c>
    </row>
    <row r="586" spans="1:3" ht="15" x14ac:dyDescent="0.25">
      <c r="A586" s="108" t="s">
        <v>1451</v>
      </c>
      <c r="B586" s="3" t="s">
        <v>1452</v>
      </c>
      <c r="C586" s="109">
        <v>21507.98</v>
      </c>
    </row>
    <row r="587" spans="1:3" ht="15" x14ac:dyDescent="0.25">
      <c r="A587" s="108" t="s">
        <v>1453</v>
      </c>
      <c r="B587" s="3" t="s">
        <v>1454</v>
      </c>
      <c r="C587" s="109">
        <v>11994.63</v>
      </c>
    </row>
    <row r="588" spans="1:3" ht="15" x14ac:dyDescent="0.25">
      <c r="A588" s="108" t="s">
        <v>1455</v>
      </c>
      <c r="B588" s="3" t="s">
        <v>1456</v>
      </c>
      <c r="C588" s="109">
        <v>14677.66</v>
      </c>
    </row>
    <row r="589" spans="1:3" ht="15" x14ac:dyDescent="0.25">
      <c r="A589" s="108" t="s">
        <v>1457</v>
      </c>
      <c r="B589" s="3" t="s">
        <v>1458</v>
      </c>
      <c r="C589" s="109">
        <v>2900.5</v>
      </c>
    </row>
    <row r="590" spans="1:3" ht="15" x14ac:dyDescent="0.25">
      <c r="A590" s="108" t="s">
        <v>1459</v>
      </c>
      <c r="B590" s="3" t="s">
        <v>1460</v>
      </c>
      <c r="C590" s="109">
        <v>29661.370000000006</v>
      </c>
    </row>
    <row r="591" spans="1:3" ht="15" x14ac:dyDescent="0.25">
      <c r="A591" s="108" t="s">
        <v>1461</v>
      </c>
      <c r="B591" s="3" t="s">
        <v>1462</v>
      </c>
      <c r="C591" s="109">
        <v>13632.84</v>
      </c>
    </row>
    <row r="592" spans="1:3" ht="15" x14ac:dyDescent="0.25">
      <c r="A592" s="108" t="s">
        <v>1463</v>
      </c>
      <c r="B592" s="3" t="s">
        <v>1464</v>
      </c>
      <c r="C592" s="109">
        <v>9817.3900000000012</v>
      </c>
    </row>
    <row r="593" spans="1:3" ht="15" x14ac:dyDescent="0.25">
      <c r="A593" s="108" t="s">
        <v>1465</v>
      </c>
      <c r="B593" s="3" t="s">
        <v>1466</v>
      </c>
      <c r="C593" s="109">
        <v>4207.38</v>
      </c>
    </row>
    <row r="594" spans="1:3" ht="15" x14ac:dyDescent="0.25">
      <c r="A594" s="108" t="s">
        <v>1467</v>
      </c>
      <c r="B594" s="3" t="s">
        <v>1468</v>
      </c>
      <c r="C594" s="109">
        <v>395</v>
      </c>
    </row>
    <row r="595" spans="1:3" ht="15" x14ac:dyDescent="0.25">
      <c r="A595" s="108" t="s">
        <v>1469</v>
      </c>
      <c r="B595" s="3" t="s">
        <v>1470</v>
      </c>
      <c r="C595" s="109">
        <v>227770.58</v>
      </c>
    </row>
    <row r="596" spans="1:3" ht="15" x14ac:dyDescent="0.25">
      <c r="A596" s="108" t="s">
        <v>1471</v>
      </c>
      <c r="B596" s="3" t="s">
        <v>1472</v>
      </c>
      <c r="C596" s="109">
        <v>-359.82</v>
      </c>
    </row>
    <row r="597" spans="1:3" ht="15" x14ac:dyDescent="0.25">
      <c r="A597" s="108" t="s">
        <v>1473</v>
      </c>
      <c r="B597" s="3" t="s">
        <v>1474</v>
      </c>
      <c r="C597" s="109">
        <v>638.50000000000011</v>
      </c>
    </row>
    <row r="598" spans="1:3" ht="15" x14ac:dyDescent="0.25">
      <c r="A598" s="108" t="s">
        <v>1475</v>
      </c>
      <c r="B598" s="3" t="s">
        <v>1476</v>
      </c>
      <c r="C598" s="109">
        <v>2551422.8900000011</v>
      </c>
    </row>
    <row r="599" spans="1:3" ht="15" x14ac:dyDescent="0.25">
      <c r="A599" s="108" t="s">
        <v>1477</v>
      </c>
      <c r="B599" s="3" t="s">
        <v>1478</v>
      </c>
      <c r="C599" s="109">
        <v>18117.36</v>
      </c>
    </row>
    <row r="600" spans="1:3" ht="15" x14ac:dyDescent="0.25">
      <c r="A600" s="108" t="s">
        <v>1479</v>
      </c>
      <c r="B600" s="3" t="s">
        <v>1480</v>
      </c>
      <c r="C600" s="109">
        <v>4971.25</v>
      </c>
    </row>
    <row r="601" spans="1:3" ht="15" x14ac:dyDescent="0.25">
      <c r="A601" s="108" t="s">
        <v>1481</v>
      </c>
      <c r="B601" s="3" t="s">
        <v>1482</v>
      </c>
      <c r="C601" s="109">
        <v>34717.660000000003</v>
      </c>
    </row>
    <row r="602" spans="1:3" ht="15" x14ac:dyDescent="0.25">
      <c r="A602" s="108" t="s">
        <v>1483</v>
      </c>
      <c r="B602" s="3" t="s">
        <v>1484</v>
      </c>
      <c r="C602" s="109">
        <v>93165.579999999987</v>
      </c>
    </row>
    <row r="603" spans="1:3" ht="15" x14ac:dyDescent="0.25">
      <c r="A603" s="108" t="s">
        <v>1485</v>
      </c>
      <c r="B603" s="3" t="s">
        <v>1486</v>
      </c>
      <c r="C603" s="109">
        <v>115400.69999999997</v>
      </c>
    </row>
    <row r="604" spans="1:3" ht="15" x14ac:dyDescent="0.25">
      <c r="A604" s="108" t="s">
        <v>1487</v>
      </c>
      <c r="B604" s="3" t="s">
        <v>1488</v>
      </c>
      <c r="C604" s="109">
        <v>81836.320000000022</v>
      </c>
    </row>
    <row r="605" spans="1:3" ht="15" x14ac:dyDescent="0.25">
      <c r="A605" s="108" t="s">
        <v>1489</v>
      </c>
      <c r="B605" s="3" t="s">
        <v>1490</v>
      </c>
      <c r="C605" s="109">
        <v>74399.540000000023</v>
      </c>
    </row>
    <row r="606" spans="1:3" ht="15" x14ac:dyDescent="0.25">
      <c r="A606" s="108" t="s">
        <v>1491</v>
      </c>
      <c r="B606" s="3" t="s">
        <v>1492</v>
      </c>
      <c r="C606" s="109">
        <v>117433.28000000004</v>
      </c>
    </row>
    <row r="607" spans="1:3" ht="15" x14ac:dyDescent="0.25">
      <c r="A607" s="108" t="s">
        <v>1493</v>
      </c>
      <c r="B607" s="3" t="s">
        <v>1494</v>
      </c>
      <c r="C607" s="109">
        <v>1.1368683772161603E-13</v>
      </c>
    </row>
    <row r="608" spans="1:3" ht="15" x14ac:dyDescent="0.25">
      <c r="A608" s="108" t="s">
        <v>1495</v>
      </c>
      <c r="B608" s="3" t="s">
        <v>1496</v>
      </c>
      <c r="C608" s="109">
        <v>51935.179999999993</v>
      </c>
    </row>
    <row r="609" spans="1:3" ht="15" x14ac:dyDescent="0.25">
      <c r="A609" s="108" t="s">
        <v>1497</v>
      </c>
      <c r="B609" s="3" t="s">
        <v>1498</v>
      </c>
      <c r="C609" s="109">
        <v>260462.93</v>
      </c>
    </row>
    <row r="610" spans="1:3" ht="15" x14ac:dyDescent="0.25">
      <c r="A610" s="108" t="s">
        <v>1499</v>
      </c>
      <c r="B610" s="3" t="s">
        <v>1500</v>
      </c>
      <c r="C610" s="109">
        <v>12046.46</v>
      </c>
    </row>
    <row r="611" spans="1:3" ht="15" x14ac:dyDescent="0.25">
      <c r="A611" s="108" t="s">
        <v>1501</v>
      </c>
      <c r="B611" s="3" t="s">
        <v>1502</v>
      </c>
      <c r="C611" s="109">
        <v>-6664</v>
      </c>
    </row>
    <row r="612" spans="1:3" ht="15" x14ac:dyDescent="0.25">
      <c r="A612" s="108" t="s">
        <v>1503</v>
      </c>
      <c r="B612" s="3" t="s">
        <v>1504</v>
      </c>
      <c r="C612" s="109">
        <v>1773.44</v>
      </c>
    </row>
    <row r="613" spans="1:3" ht="15" x14ac:dyDescent="0.25">
      <c r="A613" s="108" t="s">
        <v>1505</v>
      </c>
      <c r="B613" s="3" t="s">
        <v>1506</v>
      </c>
      <c r="C613" s="109">
        <v>235377.06</v>
      </c>
    </row>
    <row r="614" spans="1:3" ht="15" x14ac:dyDescent="0.25">
      <c r="A614" s="108" t="s">
        <v>1507</v>
      </c>
      <c r="B614" s="3" t="s">
        <v>1508</v>
      </c>
      <c r="C614" s="109">
        <v>2738.55</v>
      </c>
    </row>
    <row r="615" spans="1:3" ht="15" x14ac:dyDescent="0.25">
      <c r="A615" s="108" t="s">
        <v>1509</v>
      </c>
      <c r="B615" s="3" t="s">
        <v>1510</v>
      </c>
      <c r="C615" s="109">
        <v>1520.05</v>
      </c>
    </row>
    <row r="616" spans="1:3" ht="15" x14ac:dyDescent="0.25">
      <c r="A616" s="108" t="s">
        <v>1511</v>
      </c>
      <c r="B616" s="3" t="s">
        <v>1512</v>
      </c>
      <c r="C616" s="109">
        <v>25892.67</v>
      </c>
    </row>
    <row r="617" spans="1:3" ht="15" x14ac:dyDescent="0.25">
      <c r="A617" s="108" t="s">
        <v>1513</v>
      </c>
      <c r="B617" s="3" t="s">
        <v>1514</v>
      </c>
      <c r="C617" s="109">
        <v>126.51000000000022</v>
      </c>
    </row>
    <row r="618" spans="1:3" ht="15" x14ac:dyDescent="0.25">
      <c r="A618" s="108" t="s">
        <v>1515</v>
      </c>
      <c r="B618" s="3" t="s">
        <v>1516</v>
      </c>
      <c r="C618" s="109">
        <v>-28621.649999999976</v>
      </c>
    </row>
    <row r="619" spans="1:3" ht="15" x14ac:dyDescent="0.25">
      <c r="A619" s="108" t="s">
        <v>1517</v>
      </c>
      <c r="B619" s="3" t="s">
        <v>1518</v>
      </c>
      <c r="C619" s="109">
        <v>-715.64000000000124</v>
      </c>
    </row>
    <row r="620" spans="1:3" ht="15" x14ac:dyDescent="0.25">
      <c r="A620" s="108" t="s">
        <v>1519</v>
      </c>
      <c r="B620" s="3" t="s">
        <v>1520</v>
      </c>
      <c r="C620" s="109">
        <v>251.14000000000001</v>
      </c>
    </row>
    <row r="621" spans="1:3" ht="15" x14ac:dyDescent="0.25">
      <c r="A621" s="108" t="s">
        <v>1521</v>
      </c>
      <c r="B621" s="3" t="s">
        <v>1522</v>
      </c>
      <c r="C621" s="109">
        <v>141291.44999999995</v>
      </c>
    </row>
    <row r="622" spans="1:3" ht="15" x14ac:dyDescent="0.25">
      <c r="A622" s="108" t="s">
        <v>1523</v>
      </c>
      <c r="B622" s="3" t="s">
        <v>1524</v>
      </c>
      <c r="C622" s="109">
        <v>-677.95999999999913</v>
      </c>
    </row>
    <row r="623" spans="1:3" ht="15" x14ac:dyDescent="0.25">
      <c r="A623" s="108" t="s">
        <v>1525</v>
      </c>
      <c r="B623" s="3" t="s">
        <v>1526</v>
      </c>
      <c r="C623" s="109">
        <v>2648.94</v>
      </c>
    </row>
    <row r="624" spans="1:3" ht="15" x14ac:dyDescent="0.25">
      <c r="A624" s="108" t="s">
        <v>1527</v>
      </c>
      <c r="B624" s="3" t="s">
        <v>1528</v>
      </c>
      <c r="C624" s="109">
        <v>8281.6700000000019</v>
      </c>
    </row>
    <row r="625" spans="1:3" ht="15" x14ac:dyDescent="0.25">
      <c r="A625" s="108" t="s">
        <v>1529</v>
      </c>
      <c r="B625" s="3" t="s">
        <v>1530</v>
      </c>
      <c r="C625" s="109">
        <v>-10345.1</v>
      </c>
    </row>
    <row r="626" spans="1:3" ht="15" x14ac:dyDescent="0.25">
      <c r="A626" s="108" t="s">
        <v>1531</v>
      </c>
      <c r="B626" s="3" t="s">
        <v>1532</v>
      </c>
      <c r="C626" s="109">
        <v>27258.219999999994</v>
      </c>
    </row>
    <row r="627" spans="1:3" ht="15" x14ac:dyDescent="0.25">
      <c r="A627" s="108" t="s">
        <v>1533</v>
      </c>
      <c r="B627" s="3" t="s">
        <v>1534</v>
      </c>
      <c r="C627" s="109">
        <v>-12.15</v>
      </c>
    </row>
    <row r="628" spans="1:3" ht="15" x14ac:dyDescent="0.25">
      <c r="A628" s="108" t="s">
        <v>1535</v>
      </c>
      <c r="B628" s="3" t="s">
        <v>1536</v>
      </c>
      <c r="C628" s="109">
        <v>1974.74</v>
      </c>
    </row>
    <row r="629" spans="1:3" ht="15" x14ac:dyDescent="0.25">
      <c r="A629" s="108" t="s">
        <v>1537</v>
      </c>
      <c r="B629" s="3" t="s">
        <v>1538</v>
      </c>
      <c r="C629" s="109">
        <v>1165.0899999999933</v>
      </c>
    </row>
    <row r="630" spans="1:3" ht="15" x14ac:dyDescent="0.25">
      <c r="A630" s="108" t="s">
        <v>1539</v>
      </c>
      <c r="B630" s="3" t="s">
        <v>1540</v>
      </c>
      <c r="C630" s="109">
        <v>-1127.1100000000008</v>
      </c>
    </row>
    <row r="631" spans="1:3" ht="15" x14ac:dyDescent="0.25">
      <c r="A631" s="108" t="s">
        <v>1541</v>
      </c>
      <c r="B631" s="3" t="s">
        <v>1542</v>
      </c>
      <c r="C631" s="109">
        <v>54115.319999999992</v>
      </c>
    </row>
    <row r="632" spans="1:3" ht="15" x14ac:dyDescent="0.25">
      <c r="A632" s="108" t="s">
        <v>1543</v>
      </c>
      <c r="B632" s="3" t="s">
        <v>1544</v>
      </c>
      <c r="C632" s="109">
        <v>-9685.8199999999906</v>
      </c>
    </row>
    <row r="633" spans="1:3" ht="15" x14ac:dyDescent="0.25">
      <c r="A633" s="108" t="s">
        <v>1545</v>
      </c>
      <c r="B633" s="3" t="s">
        <v>1546</v>
      </c>
      <c r="C633" s="109">
        <v>1038.7600000000018</v>
      </c>
    </row>
    <row r="634" spans="1:3" ht="15" x14ac:dyDescent="0.25">
      <c r="A634" s="108" t="s">
        <v>1547</v>
      </c>
      <c r="B634" s="3" t="s">
        <v>1548</v>
      </c>
      <c r="C634" s="109">
        <v>6145.3599999999988</v>
      </c>
    </row>
    <row r="635" spans="1:3" ht="15" x14ac:dyDescent="0.25">
      <c r="A635" s="108" t="s">
        <v>1549</v>
      </c>
      <c r="B635" s="3" t="s">
        <v>1550</v>
      </c>
      <c r="C635" s="109">
        <v>47925.219999999979</v>
      </c>
    </row>
    <row r="636" spans="1:3" ht="15" x14ac:dyDescent="0.25">
      <c r="A636" s="108" t="s">
        <v>1551</v>
      </c>
      <c r="B636" s="3" t="s">
        <v>1552</v>
      </c>
      <c r="C636" s="109">
        <v>-10507.759999999998</v>
      </c>
    </row>
    <row r="637" spans="1:3" ht="15" x14ac:dyDescent="0.25">
      <c r="A637" s="108" t="s">
        <v>1553</v>
      </c>
      <c r="B637" s="3" t="s">
        <v>1554</v>
      </c>
      <c r="C637" s="109">
        <v>0</v>
      </c>
    </row>
    <row r="638" spans="1:3" ht="15" x14ac:dyDescent="0.25">
      <c r="A638" s="108" t="s">
        <v>1555</v>
      </c>
      <c r="B638" s="3" t="s">
        <v>1556</v>
      </c>
      <c r="C638" s="109">
        <v>5179.5600000000004</v>
      </c>
    </row>
    <row r="639" spans="1:3" ht="15" x14ac:dyDescent="0.25">
      <c r="A639" s="108" t="s">
        <v>1557</v>
      </c>
      <c r="B639" s="3" t="s">
        <v>1558</v>
      </c>
      <c r="C639" s="109">
        <v>50795.179999999993</v>
      </c>
    </row>
    <row r="640" spans="1:3" ht="15" x14ac:dyDescent="0.25">
      <c r="A640" s="108" t="s">
        <v>1559</v>
      </c>
      <c r="B640" s="3" t="s">
        <v>1560</v>
      </c>
      <c r="C640" s="109">
        <v>10929.510000000002</v>
      </c>
    </row>
    <row r="641" spans="1:3" ht="15" x14ac:dyDescent="0.25">
      <c r="A641" s="108" t="s">
        <v>1561</v>
      </c>
      <c r="B641" s="3" t="s">
        <v>1562</v>
      </c>
      <c r="C641" s="109">
        <v>-69.989999999999995</v>
      </c>
    </row>
    <row r="642" spans="1:3" ht="15" x14ac:dyDescent="0.25">
      <c r="A642" s="108" t="s">
        <v>1563</v>
      </c>
      <c r="B642" s="3" t="s">
        <v>1564</v>
      </c>
      <c r="C642" s="109">
        <v>26259.260000000002</v>
      </c>
    </row>
    <row r="643" spans="1:3" ht="15" x14ac:dyDescent="0.25">
      <c r="A643" s="108" t="s">
        <v>1565</v>
      </c>
      <c r="B643" s="3" t="s">
        <v>1566</v>
      </c>
      <c r="C643" s="109">
        <v>3972.39</v>
      </c>
    </row>
    <row r="644" spans="1:3" ht="15" x14ac:dyDescent="0.25">
      <c r="A644" s="108" t="s">
        <v>1567</v>
      </c>
      <c r="B644" s="3" t="s">
        <v>1568</v>
      </c>
      <c r="C644" s="109">
        <v>2769.74</v>
      </c>
    </row>
    <row r="645" spans="1:3" ht="15" x14ac:dyDescent="0.25">
      <c r="A645" s="108" t="s">
        <v>1569</v>
      </c>
      <c r="B645" s="3" t="s">
        <v>1570</v>
      </c>
      <c r="C645" s="109">
        <v>21267.27</v>
      </c>
    </row>
    <row r="646" spans="1:3" ht="15" x14ac:dyDescent="0.25">
      <c r="A646" s="108" t="s">
        <v>1571</v>
      </c>
      <c r="B646" s="3" t="s">
        <v>1572</v>
      </c>
      <c r="C646" s="109">
        <v>2850.8700000000017</v>
      </c>
    </row>
    <row r="647" spans="1:3" ht="15" x14ac:dyDescent="0.25">
      <c r="A647" s="108" t="s">
        <v>1573</v>
      </c>
      <c r="B647" s="3" t="s">
        <v>1574</v>
      </c>
      <c r="C647" s="109">
        <v>142204.24000000002</v>
      </c>
    </row>
    <row r="648" spans="1:3" ht="15" x14ac:dyDescent="0.25">
      <c r="A648" s="108" t="s">
        <v>1575</v>
      </c>
      <c r="B648" s="3" t="s">
        <v>1576</v>
      </c>
      <c r="C648" s="109">
        <v>72232.459999999948</v>
      </c>
    </row>
    <row r="649" spans="1:3" ht="15" x14ac:dyDescent="0.25">
      <c r="A649" s="108" t="s">
        <v>1577</v>
      </c>
      <c r="B649" s="3" t="s">
        <v>1578</v>
      </c>
      <c r="C649" s="109">
        <v>76737.599999999991</v>
      </c>
    </row>
    <row r="650" spans="1:3" ht="15" x14ac:dyDescent="0.25">
      <c r="A650" s="108" t="s">
        <v>1579</v>
      </c>
      <c r="B650" s="3" t="s">
        <v>1580</v>
      </c>
      <c r="C650" s="109">
        <v>3668302.0100000002</v>
      </c>
    </row>
    <row r="651" spans="1:3" ht="15" x14ac:dyDescent="0.25">
      <c r="A651" s="108" t="s">
        <v>1581</v>
      </c>
      <c r="B651" s="3" t="s">
        <v>1582</v>
      </c>
      <c r="C651" s="109">
        <v>141300.06999999995</v>
      </c>
    </row>
    <row r="652" spans="1:3" ht="15" x14ac:dyDescent="0.25">
      <c r="A652" s="108" t="s">
        <v>1583</v>
      </c>
      <c r="B652" s="3" t="s">
        <v>1584</v>
      </c>
      <c r="C652" s="109">
        <v>-76.900000000000006</v>
      </c>
    </row>
    <row r="653" spans="1:3" ht="15" x14ac:dyDescent="0.25">
      <c r="A653" s="108" t="s">
        <v>1585</v>
      </c>
      <c r="B653" s="3" t="s">
        <v>1586</v>
      </c>
      <c r="C653" s="109">
        <v>6024.2300000000005</v>
      </c>
    </row>
    <row r="654" spans="1:3" ht="15" x14ac:dyDescent="0.25">
      <c r="A654" s="108" t="s">
        <v>1587</v>
      </c>
      <c r="B654" s="3" t="s">
        <v>1588</v>
      </c>
      <c r="C654" s="109">
        <v>5033.5900000000256</v>
      </c>
    </row>
    <row r="655" spans="1:3" ht="15" x14ac:dyDescent="0.25">
      <c r="A655" s="108" t="s">
        <v>1589</v>
      </c>
      <c r="B655" s="3" t="s">
        <v>1590</v>
      </c>
      <c r="C655" s="109">
        <v>38305.410000000003</v>
      </c>
    </row>
    <row r="656" spans="1:3" ht="15" x14ac:dyDescent="0.25">
      <c r="A656" s="108" t="s">
        <v>1591</v>
      </c>
      <c r="B656" s="3" t="s">
        <v>1592</v>
      </c>
      <c r="C656" s="109">
        <v>327.02</v>
      </c>
    </row>
    <row r="657" spans="1:3" ht="15" x14ac:dyDescent="0.25">
      <c r="A657" s="108" t="s">
        <v>1593</v>
      </c>
      <c r="B657" s="3" t="s">
        <v>1594</v>
      </c>
      <c r="C657" s="109">
        <v>157.63999999999999</v>
      </c>
    </row>
    <row r="658" spans="1:3" ht="15" x14ac:dyDescent="0.25">
      <c r="A658" s="108" t="s">
        <v>1595</v>
      </c>
      <c r="B658" s="3" t="s">
        <v>1596</v>
      </c>
      <c r="C658" s="109">
        <v>7518.9</v>
      </c>
    </row>
    <row r="659" spans="1:3" ht="15" x14ac:dyDescent="0.25">
      <c r="A659" s="108" t="s">
        <v>1597</v>
      </c>
      <c r="B659" s="3" t="s">
        <v>1598</v>
      </c>
      <c r="C659" s="109">
        <v>0</v>
      </c>
    </row>
    <row r="660" spans="1:3" ht="15" x14ac:dyDescent="0.25">
      <c r="A660" s="108" t="s">
        <v>1599</v>
      </c>
      <c r="B660" s="3" t="s">
        <v>1600</v>
      </c>
      <c r="C660" s="109">
        <v>9318.2000000000007</v>
      </c>
    </row>
    <row r="661" spans="1:3" ht="15" x14ac:dyDescent="0.25">
      <c r="A661" s="108" t="s">
        <v>1601</v>
      </c>
      <c r="B661" s="3" t="s">
        <v>1602</v>
      </c>
      <c r="C661" s="109">
        <v>3403.6700000000005</v>
      </c>
    </row>
    <row r="662" spans="1:3" ht="15" x14ac:dyDescent="0.25">
      <c r="A662" s="108" t="s">
        <v>1603</v>
      </c>
      <c r="B662" s="3" t="s">
        <v>1604</v>
      </c>
      <c r="C662" s="109">
        <v>644.89000000001033</v>
      </c>
    </row>
    <row r="663" spans="1:3" ht="15" x14ac:dyDescent="0.25">
      <c r="A663" s="108" t="s">
        <v>1605</v>
      </c>
      <c r="B663" s="3" t="s">
        <v>1606</v>
      </c>
      <c r="C663" s="109">
        <v>40808.439999999995</v>
      </c>
    </row>
    <row r="664" spans="1:3" ht="15" x14ac:dyDescent="0.25">
      <c r="A664" s="108" t="s">
        <v>1607</v>
      </c>
      <c r="B664" s="3" t="s">
        <v>1608</v>
      </c>
      <c r="C664" s="109">
        <v>113359.86000000002</v>
      </c>
    </row>
    <row r="665" spans="1:3" ht="15" x14ac:dyDescent="0.25">
      <c r="A665" s="108" t="s">
        <v>1609</v>
      </c>
      <c r="B665" s="3" t="s">
        <v>1610</v>
      </c>
      <c r="C665" s="109">
        <v>-173.81</v>
      </c>
    </row>
    <row r="666" spans="1:3" ht="15" x14ac:dyDescent="0.25">
      <c r="A666" s="108" t="s">
        <v>1611</v>
      </c>
      <c r="B666" s="3" t="s">
        <v>1612</v>
      </c>
      <c r="C666" s="109">
        <v>-324.87</v>
      </c>
    </row>
    <row r="667" spans="1:3" ht="15" x14ac:dyDescent="0.25">
      <c r="A667" s="108" t="s">
        <v>1613</v>
      </c>
      <c r="B667" s="3" t="s">
        <v>1614</v>
      </c>
      <c r="C667" s="109">
        <v>-162.66</v>
      </c>
    </row>
    <row r="668" spans="1:3" ht="15" x14ac:dyDescent="0.25">
      <c r="A668" s="108" t="s">
        <v>1615</v>
      </c>
      <c r="B668" s="3" t="s">
        <v>1616</v>
      </c>
      <c r="C668" s="109">
        <v>8161.17</v>
      </c>
    </row>
    <row r="669" spans="1:3" ht="15" x14ac:dyDescent="0.25">
      <c r="A669" s="108" t="s">
        <v>1617</v>
      </c>
      <c r="B669" s="3" t="s">
        <v>1618</v>
      </c>
      <c r="C669" s="109">
        <v>13166.550000000001</v>
      </c>
    </row>
    <row r="670" spans="1:3" ht="15" x14ac:dyDescent="0.25">
      <c r="A670" s="108" t="s">
        <v>1619</v>
      </c>
      <c r="B670" s="3" t="s">
        <v>1620</v>
      </c>
      <c r="C670" s="109">
        <v>244.28999999999985</v>
      </c>
    </row>
    <row r="671" spans="1:3" ht="15" x14ac:dyDescent="0.25">
      <c r="A671" s="108" t="s">
        <v>1621</v>
      </c>
      <c r="B671" s="3" t="s">
        <v>1622</v>
      </c>
      <c r="C671" s="109">
        <v>-207.6</v>
      </c>
    </row>
    <row r="672" spans="1:3" ht="15" x14ac:dyDescent="0.25">
      <c r="A672" s="108" t="s">
        <v>1623</v>
      </c>
      <c r="B672" s="3" t="s">
        <v>1624</v>
      </c>
      <c r="C672" s="109">
        <v>128034.10999999999</v>
      </c>
    </row>
    <row r="673" spans="1:3" ht="15" x14ac:dyDescent="0.25">
      <c r="A673" s="108" t="s">
        <v>1625</v>
      </c>
      <c r="B673" s="3" t="s">
        <v>1626</v>
      </c>
      <c r="C673" s="109">
        <v>2531.29</v>
      </c>
    </row>
    <row r="674" spans="1:3" ht="15" x14ac:dyDescent="0.25">
      <c r="A674" s="108" t="s">
        <v>1627</v>
      </c>
      <c r="B674" s="3" t="s">
        <v>1628</v>
      </c>
      <c r="C674" s="109">
        <v>-149.88</v>
      </c>
    </row>
    <row r="675" spans="1:3" ht="15" x14ac:dyDescent="0.25">
      <c r="A675" s="108" t="s">
        <v>1629</v>
      </c>
      <c r="B675" s="3" t="s">
        <v>1630</v>
      </c>
      <c r="C675" s="109">
        <v>65826.740000000005</v>
      </c>
    </row>
    <row r="676" spans="1:3" ht="15" x14ac:dyDescent="0.25">
      <c r="A676" s="108" t="s">
        <v>1631</v>
      </c>
      <c r="B676" s="3" t="s">
        <v>1632</v>
      </c>
      <c r="C676" s="109">
        <v>159583.82999999999</v>
      </c>
    </row>
    <row r="677" spans="1:3" ht="15" x14ac:dyDescent="0.25">
      <c r="A677" s="108" t="s">
        <v>1633</v>
      </c>
      <c r="B677" s="3" t="s">
        <v>1634</v>
      </c>
      <c r="C677" s="109">
        <v>84495.07</v>
      </c>
    </row>
    <row r="678" spans="1:3" ht="15" x14ac:dyDescent="0.25">
      <c r="A678" s="108" t="s">
        <v>1635</v>
      </c>
      <c r="B678" s="3" t="s">
        <v>1636</v>
      </c>
      <c r="C678" s="109">
        <v>138244.91000000003</v>
      </c>
    </row>
    <row r="679" spans="1:3" ht="15" x14ac:dyDescent="0.25">
      <c r="A679" s="108" t="s">
        <v>1637</v>
      </c>
      <c r="B679" s="3" t="s">
        <v>1638</v>
      </c>
      <c r="C679" s="109">
        <v>486858.16000000021</v>
      </c>
    </row>
    <row r="680" spans="1:3" ht="15" x14ac:dyDescent="0.25">
      <c r="A680" s="108" t="s">
        <v>1639</v>
      </c>
      <c r="B680" s="3" t="s">
        <v>1640</v>
      </c>
      <c r="C680" s="109">
        <v>1231617.1400000008</v>
      </c>
    </row>
    <row r="681" spans="1:3" ht="15" x14ac:dyDescent="0.25">
      <c r="A681" s="108" t="s">
        <v>1641</v>
      </c>
      <c r="B681" s="3" t="s">
        <v>1642</v>
      </c>
      <c r="C681" s="109">
        <v>304311.7099999999</v>
      </c>
    </row>
    <row r="682" spans="1:3" ht="15" x14ac:dyDescent="0.25">
      <c r="A682" s="108" t="s">
        <v>1643</v>
      </c>
      <c r="B682" s="3" t="s">
        <v>1644</v>
      </c>
      <c r="C682" s="109">
        <v>387694.01999999973</v>
      </c>
    </row>
    <row r="683" spans="1:3" ht="15" x14ac:dyDescent="0.25">
      <c r="A683" s="108" t="s">
        <v>1645</v>
      </c>
      <c r="B683" s="3" t="s">
        <v>1646</v>
      </c>
      <c r="C683" s="109">
        <v>1324942.8</v>
      </c>
    </row>
    <row r="684" spans="1:3" ht="15" x14ac:dyDescent="0.25">
      <c r="A684" s="108" t="s">
        <v>1647</v>
      </c>
      <c r="B684" s="3" t="s">
        <v>1648</v>
      </c>
      <c r="C684" s="109">
        <v>497569.11000000004</v>
      </c>
    </row>
    <row r="685" spans="1:3" ht="15" x14ac:dyDescent="0.25">
      <c r="A685" s="108" t="s">
        <v>1649</v>
      </c>
      <c r="B685" s="3" t="s">
        <v>1650</v>
      </c>
      <c r="C685" s="109">
        <v>1118847.070000001</v>
      </c>
    </row>
    <row r="686" spans="1:3" ht="15" x14ac:dyDescent="0.25">
      <c r="A686" s="108" t="s">
        <v>1651</v>
      </c>
      <c r="B686" s="3" t="s">
        <v>1652</v>
      </c>
      <c r="C686" s="109">
        <v>485560.34999999992</v>
      </c>
    </row>
    <row r="687" spans="1:3" ht="15" x14ac:dyDescent="0.25">
      <c r="A687" s="108" t="s">
        <v>1653</v>
      </c>
      <c r="B687" s="3" t="s">
        <v>1654</v>
      </c>
      <c r="C687" s="109">
        <v>2408.09</v>
      </c>
    </row>
    <row r="688" spans="1:3" ht="15" x14ac:dyDescent="0.25">
      <c r="A688" s="108" t="s">
        <v>1655</v>
      </c>
      <c r="B688" s="3" t="s">
        <v>1656</v>
      </c>
      <c r="C688" s="109">
        <v>99.18</v>
      </c>
    </row>
    <row r="689" spans="1:3" ht="15" x14ac:dyDescent="0.25">
      <c r="A689" s="108" t="s">
        <v>1657</v>
      </c>
      <c r="B689" s="3" t="s">
        <v>1658</v>
      </c>
      <c r="C689" s="109">
        <v>-488.29999999999518</v>
      </c>
    </row>
    <row r="690" spans="1:3" ht="15" x14ac:dyDescent="0.25">
      <c r="A690" s="108" t="s">
        <v>1659</v>
      </c>
      <c r="B690" s="3" t="s">
        <v>1660</v>
      </c>
      <c r="C690" s="109">
        <v>7615.53</v>
      </c>
    </row>
    <row r="691" spans="1:3" ht="15" x14ac:dyDescent="0.25">
      <c r="A691" s="108" t="s">
        <v>1661</v>
      </c>
      <c r="B691" s="3" t="s">
        <v>1662</v>
      </c>
      <c r="C691" s="109">
        <v>2210.46</v>
      </c>
    </row>
    <row r="692" spans="1:3" ht="15" x14ac:dyDescent="0.25">
      <c r="A692" s="108" t="s">
        <v>1663</v>
      </c>
      <c r="B692" s="3" t="s">
        <v>1664</v>
      </c>
      <c r="C692" s="109">
        <v>1353.39</v>
      </c>
    </row>
    <row r="693" spans="1:3" ht="15" x14ac:dyDescent="0.25">
      <c r="A693" s="108" t="s">
        <v>1665</v>
      </c>
      <c r="B693" s="3" t="s">
        <v>1666</v>
      </c>
      <c r="C693" s="109">
        <v>144020.75</v>
      </c>
    </row>
    <row r="694" spans="1:3" ht="15" x14ac:dyDescent="0.25">
      <c r="A694" s="108" t="s">
        <v>1667</v>
      </c>
      <c r="B694" s="3" t="s">
        <v>1668</v>
      </c>
      <c r="C694" s="109">
        <v>442031.39000000013</v>
      </c>
    </row>
    <row r="695" spans="1:3" ht="15" x14ac:dyDescent="0.25">
      <c r="A695" s="108" t="s">
        <v>1669</v>
      </c>
      <c r="B695" s="3" t="s">
        <v>1670</v>
      </c>
      <c r="C695" s="109">
        <v>216984.31000000003</v>
      </c>
    </row>
    <row r="696" spans="1:3" ht="15" x14ac:dyDescent="0.25">
      <c r="A696" s="108" t="s">
        <v>1671</v>
      </c>
      <c r="B696" s="3" t="s">
        <v>1672</v>
      </c>
      <c r="C696" s="109">
        <v>77178.500000000029</v>
      </c>
    </row>
    <row r="697" spans="1:3" ht="15" x14ac:dyDescent="0.25">
      <c r="A697" s="108" t="s">
        <v>1673</v>
      </c>
      <c r="B697" s="3" t="s">
        <v>1674</v>
      </c>
      <c r="C697" s="109">
        <v>111250.07999999997</v>
      </c>
    </row>
    <row r="698" spans="1:3" ht="15" x14ac:dyDescent="0.25">
      <c r="A698" s="108" t="s">
        <v>1675</v>
      </c>
      <c r="B698" s="3" t="s">
        <v>1676</v>
      </c>
      <c r="C698" s="109">
        <v>240084.37999999989</v>
      </c>
    </row>
    <row r="699" spans="1:3" ht="15" x14ac:dyDescent="0.25">
      <c r="A699" s="108" t="s">
        <v>1677</v>
      </c>
      <c r="B699" s="3" t="s">
        <v>1678</v>
      </c>
      <c r="C699" s="109">
        <v>44724.38</v>
      </c>
    </row>
    <row r="700" spans="1:3" ht="15" x14ac:dyDescent="0.25">
      <c r="A700" s="108" t="s">
        <v>1679</v>
      </c>
      <c r="B700" s="3" t="s">
        <v>1680</v>
      </c>
      <c r="C700" s="109">
        <v>220410.44999999998</v>
      </c>
    </row>
    <row r="701" spans="1:3" ht="15" x14ac:dyDescent="0.25">
      <c r="A701" s="108" t="s">
        <v>1681</v>
      </c>
      <c r="B701" s="3" t="s">
        <v>1682</v>
      </c>
      <c r="C701" s="109">
        <v>127104.30000000008</v>
      </c>
    </row>
    <row r="702" spans="1:3" ht="15" x14ac:dyDescent="0.25">
      <c r="A702" s="108" t="s">
        <v>1683</v>
      </c>
      <c r="B702" s="3" t="s">
        <v>1684</v>
      </c>
      <c r="C702" s="109">
        <v>254.83999999999969</v>
      </c>
    </row>
    <row r="703" spans="1:3" ht="15" x14ac:dyDescent="0.25">
      <c r="A703" s="108" t="s">
        <v>1685</v>
      </c>
      <c r="B703" s="3" t="s">
        <v>1686</v>
      </c>
      <c r="C703" s="109">
        <v>13051.059999999996</v>
      </c>
    </row>
    <row r="704" spans="1:3" ht="15" x14ac:dyDescent="0.25">
      <c r="A704" s="108" t="s">
        <v>1687</v>
      </c>
      <c r="B704" s="3" t="s">
        <v>1688</v>
      </c>
      <c r="C704" s="109">
        <v>123428.36999999995</v>
      </c>
    </row>
    <row r="705" spans="1:3" ht="15" x14ac:dyDescent="0.25">
      <c r="A705" s="108" t="s">
        <v>1689</v>
      </c>
      <c r="B705" s="3" t="s">
        <v>1690</v>
      </c>
      <c r="C705" s="109">
        <v>8834.9500000000044</v>
      </c>
    </row>
    <row r="706" spans="1:3" ht="15" x14ac:dyDescent="0.25">
      <c r="A706" s="108" t="s">
        <v>1691</v>
      </c>
      <c r="B706" s="3" t="s">
        <v>1692</v>
      </c>
      <c r="C706" s="109">
        <v>0.38</v>
      </c>
    </row>
    <row r="707" spans="1:3" ht="15" x14ac:dyDescent="0.25">
      <c r="A707" s="108" t="s">
        <v>1693</v>
      </c>
      <c r="B707" s="3" t="s">
        <v>1694</v>
      </c>
      <c r="C707" s="109">
        <v>24552.149999999998</v>
      </c>
    </row>
    <row r="708" spans="1:3" ht="15" x14ac:dyDescent="0.25">
      <c r="A708" s="108" t="s">
        <v>1695</v>
      </c>
      <c r="B708" s="3" t="s">
        <v>1696</v>
      </c>
      <c r="C708" s="109">
        <v>2223.19</v>
      </c>
    </row>
    <row r="709" spans="1:3" ht="15" x14ac:dyDescent="0.25">
      <c r="A709" s="108" t="s">
        <v>1697</v>
      </c>
      <c r="B709" s="3" t="s">
        <v>1698</v>
      </c>
      <c r="C709" s="109">
        <v>208422.75000000006</v>
      </c>
    </row>
    <row r="710" spans="1:3" ht="15" x14ac:dyDescent="0.25">
      <c r="A710" s="108" t="s">
        <v>1699</v>
      </c>
      <c r="B710" s="3" t="s">
        <v>1700</v>
      </c>
      <c r="C710" s="109">
        <v>51092.210000000006</v>
      </c>
    </row>
    <row r="711" spans="1:3" ht="15" x14ac:dyDescent="0.25">
      <c r="A711" s="108" t="s">
        <v>1701</v>
      </c>
      <c r="B711" s="3" t="s">
        <v>1702</v>
      </c>
      <c r="C711" s="109">
        <v>586617.18000000005</v>
      </c>
    </row>
    <row r="712" spans="1:3" ht="15" x14ac:dyDescent="0.25">
      <c r="A712" s="108" t="s">
        <v>1703</v>
      </c>
      <c r="B712" s="3" t="s">
        <v>1704</v>
      </c>
      <c r="C712" s="109">
        <v>674017.43999999948</v>
      </c>
    </row>
    <row r="713" spans="1:3" ht="15" x14ac:dyDescent="0.25">
      <c r="A713" s="108" t="s">
        <v>1705</v>
      </c>
      <c r="B713" s="3" t="s">
        <v>1706</v>
      </c>
      <c r="C713" s="109">
        <v>193128.13000000012</v>
      </c>
    </row>
    <row r="714" spans="1:3" ht="15" x14ac:dyDescent="0.25">
      <c r="A714" s="108" t="s">
        <v>1707</v>
      </c>
      <c r="B714" s="3" t="s">
        <v>1708</v>
      </c>
      <c r="C714" s="109">
        <v>328050.61</v>
      </c>
    </row>
    <row r="715" spans="1:3" ht="15" x14ac:dyDescent="0.25">
      <c r="A715" s="108" t="s">
        <v>1709</v>
      </c>
      <c r="B715" s="3" t="s">
        <v>1710</v>
      </c>
      <c r="C715" s="109">
        <v>663854.85000000009</v>
      </c>
    </row>
    <row r="716" spans="1:3" ht="15" x14ac:dyDescent="0.25">
      <c r="A716" s="108" t="s">
        <v>1711</v>
      </c>
      <c r="B716" s="3" t="s">
        <v>1712</v>
      </c>
      <c r="C716" s="109">
        <v>434248.77999999997</v>
      </c>
    </row>
    <row r="717" spans="1:3" ht="15" x14ac:dyDescent="0.25">
      <c r="A717" s="108" t="s">
        <v>1713</v>
      </c>
      <c r="B717" s="3" t="s">
        <v>1714</v>
      </c>
      <c r="C717" s="109">
        <v>776527.24</v>
      </c>
    </row>
    <row r="718" spans="1:3" ht="15" x14ac:dyDescent="0.25">
      <c r="A718" s="108" t="s">
        <v>1715</v>
      </c>
      <c r="B718" s="3" t="s">
        <v>1716</v>
      </c>
      <c r="C718" s="109">
        <v>777245.79999999993</v>
      </c>
    </row>
    <row r="719" spans="1:3" ht="15" x14ac:dyDescent="0.25">
      <c r="A719" s="108" t="s">
        <v>1717</v>
      </c>
      <c r="B719" s="3" t="s">
        <v>1718</v>
      </c>
      <c r="C719" s="109">
        <v>1820496.4399999997</v>
      </c>
    </row>
    <row r="720" spans="1:3" ht="15" x14ac:dyDescent="0.25">
      <c r="A720" s="108" t="s">
        <v>1719</v>
      </c>
      <c r="B720" s="3" t="s">
        <v>1720</v>
      </c>
      <c r="C720" s="109">
        <v>517517.23000000033</v>
      </c>
    </row>
    <row r="721" spans="1:3" ht="15" x14ac:dyDescent="0.25">
      <c r="A721" s="108" t="s">
        <v>1721</v>
      </c>
      <c r="B721" s="3" t="s">
        <v>1722</v>
      </c>
      <c r="C721" s="109">
        <v>78158.47</v>
      </c>
    </row>
    <row r="722" spans="1:3" ht="15" x14ac:dyDescent="0.25">
      <c r="A722" s="108" t="s">
        <v>1723</v>
      </c>
      <c r="B722" s="3" t="s">
        <v>1724</v>
      </c>
      <c r="C722" s="109">
        <v>10332.58</v>
      </c>
    </row>
    <row r="723" spans="1:3" ht="15" x14ac:dyDescent="0.25">
      <c r="A723" s="108" t="s">
        <v>1725</v>
      </c>
      <c r="B723" s="3" t="s">
        <v>1726</v>
      </c>
      <c r="C723" s="109">
        <v>9075.4199999999983</v>
      </c>
    </row>
    <row r="724" spans="1:3" ht="15" x14ac:dyDescent="0.25">
      <c r="A724" s="108" t="s">
        <v>1727</v>
      </c>
      <c r="B724" s="3" t="s">
        <v>1728</v>
      </c>
      <c r="C724" s="109">
        <v>9205.5000000000018</v>
      </c>
    </row>
    <row r="725" spans="1:3" ht="15" x14ac:dyDescent="0.25">
      <c r="A725" s="108" t="s">
        <v>1729</v>
      </c>
      <c r="B725" s="3" t="s">
        <v>1730</v>
      </c>
      <c r="C725" s="109">
        <v>306314.9800000001</v>
      </c>
    </row>
    <row r="726" spans="1:3" ht="15" x14ac:dyDescent="0.25">
      <c r="A726" s="108" t="s">
        <v>1731</v>
      </c>
      <c r="B726" s="3" t="s">
        <v>1732</v>
      </c>
      <c r="C726" s="109">
        <v>331731.41000000003</v>
      </c>
    </row>
    <row r="727" spans="1:3" ht="15" x14ac:dyDescent="0.25">
      <c r="A727" s="108" t="s">
        <v>1733</v>
      </c>
      <c r="B727" s="3" t="s">
        <v>1734</v>
      </c>
      <c r="C727" s="109">
        <v>1190598.1299999999</v>
      </c>
    </row>
    <row r="728" spans="1:3" ht="15" x14ac:dyDescent="0.25">
      <c r="A728" s="108" t="s">
        <v>1735</v>
      </c>
      <c r="B728" s="3" t="s">
        <v>1736</v>
      </c>
      <c r="C728" s="109">
        <v>1473052.8800000015</v>
      </c>
    </row>
    <row r="729" spans="1:3" ht="15" x14ac:dyDescent="0.25">
      <c r="A729" s="108" t="s">
        <v>1737</v>
      </c>
      <c r="B729" s="3" t="s">
        <v>1738</v>
      </c>
      <c r="C729" s="109">
        <v>244085.89999999988</v>
      </c>
    </row>
    <row r="730" spans="1:3" ht="15" x14ac:dyDescent="0.25">
      <c r="A730" s="108" t="s">
        <v>1739</v>
      </c>
      <c r="B730" s="3" t="s">
        <v>1740</v>
      </c>
      <c r="C730" s="109">
        <v>30780.32</v>
      </c>
    </row>
    <row r="731" spans="1:3" ht="15" x14ac:dyDescent="0.25">
      <c r="A731" s="108" t="s">
        <v>1741</v>
      </c>
      <c r="B731" s="3" t="s">
        <v>1742</v>
      </c>
      <c r="C731" s="109">
        <v>20403.500000000004</v>
      </c>
    </row>
    <row r="732" spans="1:3" ht="15" x14ac:dyDescent="0.25">
      <c r="A732" s="108" t="s">
        <v>1743</v>
      </c>
      <c r="B732" s="3" t="s">
        <v>1744</v>
      </c>
      <c r="C732" s="109">
        <v>230614.65000000008</v>
      </c>
    </row>
    <row r="733" spans="1:3" ht="15" x14ac:dyDescent="0.25">
      <c r="A733" s="108" t="s">
        <v>1745</v>
      </c>
      <c r="B733" s="3" t="s">
        <v>1746</v>
      </c>
      <c r="C733" s="109">
        <v>20218.62</v>
      </c>
    </row>
    <row r="734" spans="1:3" ht="15" x14ac:dyDescent="0.25">
      <c r="A734" s="108" t="s">
        <v>1747</v>
      </c>
      <c r="B734" s="3" t="s">
        <v>1748</v>
      </c>
      <c r="C734" s="109">
        <v>8847.68</v>
      </c>
    </row>
    <row r="735" spans="1:3" ht="15" x14ac:dyDescent="0.25">
      <c r="A735" s="108" t="s">
        <v>1749</v>
      </c>
      <c r="B735" s="3" t="s">
        <v>1750</v>
      </c>
      <c r="C735" s="109">
        <v>213017.34999999998</v>
      </c>
    </row>
    <row r="736" spans="1:3" ht="15" x14ac:dyDescent="0.25">
      <c r="A736" s="108" t="s">
        <v>1751</v>
      </c>
      <c r="B736" s="3" t="s">
        <v>1752</v>
      </c>
      <c r="C736" s="109">
        <v>100775.60000000002</v>
      </c>
    </row>
    <row r="737" spans="1:3" ht="15" x14ac:dyDescent="0.25">
      <c r="A737" s="108" t="s">
        <v>1753</v>
      </c>
      <c r="B737" s="3" t="s">
        <v>1754</v>
      </c>
      <c r="C737" s="109">
        <v>23888.34</v>
      </c>
    </row>
    <row r="738" spans="1:3" ht="15" x14ac:dyDescent="0.25">
      <c r="A738" s="108" t="s">
        <v>1755</v>
      </c>
      <c r="B738" s="3" t="s">
        <v>1756</v>
      </c>
      <c r="C738" s="109">
        <v>297467.62</v>
      </c>
    </row>
    <row r="739" spans="1:3" ht="15" x14ac:dyDescent="0.25">
      <c r="A739" s="108" t="s">
        <v>1757</v>
      </c>
      <c r="B739" s="3" t="s">
        <v>1758</v>
      </c>
      <c r="C739" s="109">
        <v>44169.780000000013</v>
      </c>
    </row>
    <row r="740" spans="1:3" ht="15" x14ac:dyDescent="0.25">
      <c r="A740" s="108" t="s">
        <v>1759</v>
      </c>
      <c r="B740" s="3" t="s">
        <v>1760</v>
      </c>
      <c r="C740" s="109">
        <v>7169.82</v>
      </c>
    </row>
    <row r="741" spans="1:3" ht="15" x14ac:dyDescent="0.25">
      <c r="A741" s="108" t="s">
        <v>1761</v>
      </c>
      <c r="B741" s="3" t="s">
        <v>1762</v>
      </c>
      <c r="C741" s="109">
        <v>50200.840000000011</v>
      </c>
    </row>
    <row r="742" spans="1:3" ht="15" x14ac:dyDescent="0.25">
      <c r="A742" s="108" t="s">
        <v>1763</v>
      </c>
      <c r="B742" s="3" t="s">
        <v>1764</v>
      </c>
      <c r="C742" s="109">
        <v>52664.459999999992</v>
      </c>
    </row>
    <row r="743" spans="1:3" ht="15" x14ac:dyDescent="0.25">
      <c r="A743" s="108" t="s">
        <v>1765</v>
      </c>
      <c r="B743" s="3" t="s">
        <v>1766</v>
      </c>
      <c r="C743" s="109">
        <v>956695.68999999971</v>
      </c>
    </row>
    <row r="744" spans="1:3" ht="15" x14ac:dyDescent="0.25">
      <c r="A744" s="108" t="s">
        <v>1767</v>
      </c>
      <c r="B744" s="3" t="s">
        <v>1768</v>
      </c>
      <c r="C744" s="109">
        <v>28661.309999999994</v>
      </c>
    </row>
    <row r="745" spans="1:3" ht="15" x14ac:dyDescent="0.25">
      <c r="A745" s="108" t="s">
        <v>1769</v>
      </c>
      <c r="B745" s="3" t="s">
        <v>1770</v>
      </c>
      <c r="C745" s="109">
        <v>14807.23</v>
      </c>
    </row>
    <row r="746" spans="1:3" ht="15" x14ac:dyDescent="0.25">
      <c r="A746" s="108" t="s">
        <v>1771</v>
      </c>
      <c r="B746" s="3" t="s">
        <v>1772</v>
      </c>
      <c r="C746" s="109">
        <v>218798.11000000013</v>
      </c>
    </row>
    <row r="747" spans="1:3" ht="15" x14ac:dyDescent="0.25">
      <c r="A747" s="108" t="s">
        <v>1773</v>
      </c>
      <c r="B747" s="3" t="s">
        <v>1774</v>
      </c>
      <c r="C747" s="109">
        <v>19772.850000000002</v>
      </c>
    </row>
    <row r="748" spans="1:3" ht="15" x14ac:dyDescent="0.25">
      <c r="A748" s="108" t="s">
        <v>1775</v>
      </c>
      <c r="B748" s="3" t="s">
        <v>1776</v>
      </c>
      <c r="C748" s="109">
        <v>121704.07000000007</v>
      </c>
    </row>
    <row r="749" spans="1:3" ht="15" x14ac:dyDescent="0.25">
      <c r="A749" s="108" t="s">
        <v>1777</v>
      </c>
      <c r="B749" s="3" t="s">
        <v>1778</v>
      </c>
      <c r="C749" s="109">
        <v>96795.800000000017</v>
      </c>
    </row>
    <row r="750" spans="1:3" ht="15" x14ac:dyDescent="0.25">
      <c r="A750" s="108" t="s">
        <v>1779</v>
      </c>
      <c r="B750" s="3" t="s">
        <v>1780</v>
      </c>
      <c r="C750" s="109">
        <v>298257.98999999993</v>
      </c>
    </row>
    <row r="751" spans="1:3" ht="15" x14ac:dyDescent="0.25">
      <c r="A751" s="108" t="s">
        <v>1781</v>
      </c>
      <c r="B751" s="3" t="s">
        <v>1782</v>
      </c>
      <c r="C751" s="109">
        <v>25167.25</v>
      </c>
    </row>
    <row r="752" spans="1:3" ht="15" x14ac:dyDescent="0.25">
      <c r="A752" s="108" t="s">
        <v>1783</v>
      </c>
      <c r="B752" s="3" t="s">
        <v>1784</v>
      </c>
      <c r="C752" s="109">
        <v>112207.33000000002</v>
      </c>
    </row>
    <row r="753" spans="1:3" ht="15" x14ac:dyDescent="0.25">
      <c r="A753" s="108" t="s">
        <v>1785</v>
      </c>
      <c r="B753" s="3" t="s">
        <v>1786</v>
      </c>
      <c r="C753" s="109">
        <v>499923.62000000005</v>
      </c>
    </row>
    <row r="754" spans="1:3" ht="15" x14ac:dyDescent="0.25">
      <c r="A754" s="108" t="s">
        <v>1787</v>
      </c>
      <c r="B754" s="3" t="s">
        <v>1788</v>
      </c>
      <c r="C754" s="109">
        <v>9868.6000000000022</v>
      </c>
    </row>
    <row r="755" spans="1:3" ht="15" x14ac:dyDescent="0.25">
      <c r="A755" s="108" t="s">
        <v>1789</v>
      </c>
      <c r="B755" s="3" t="s">
        <v>1790</v>
      </c>
      <c r="C755" s="109">
        <v>10182.450000000001</v>
      </c>
    </row>
    <row r="756" spans="1:3" ht="15" x14ac:dyDescent="0.25">
      <c r="A756" s="108" t="s">
        <v>1791</v>
      </c>
      <c r="B756" s="3" t="s">
        <v>1792</v>
      </c>
      <c r="C756" s="109">
        <v>11516.61</v>
      </c>
    </row>
    <row r="757" spans="1:3" ht="15" x14ac:dyDescent="0.25">
      <c r="A757" s="108" t="s">
        <v>1793</v>
      </c>
      <c r="B757" s="3" t="s">
        <v>1794</v>
      </c>
      <c r="C757" s="109">
        <v>5158.51</v>
      </c>
    </row>
    <row r="758" spans="1:3" ht="15" x14ac:dyDescent="0.25">
      <c r="A758" s="108" t="s">
        <v>1795</v>
      </c>
      <c r="B758" s="3" t="s">
        <v>1796</v>
      </c>
      <c r="C758" s="109">
        <v>54425.630000000005</v>
      </c>
    </row>
    <row r="759" spans="1:3" ht="15" x14ac:dyDescent="0.25">
      <c r="A759" s="108" t="s">
        <v>1797</v>
      </c>
      <c r="B759" s="3" t="s">
        <v>1798</v>
      </c>
      <c r="C759" s="109">
        <v>846.26000000009276</v>
      </c>
    </row>
    <row r="760" spans="1:3" ht="15" x14ac:dyDescent="0.25">
      <c r="A760" s="108" t="s">
        <v>1799</v>
      </c>
      <c r="B760" s="3" t="s">
        <v>1800</v>
      </c>
      <c r="C760" s="109">
        <v>22440</v>
      </c>
    </row>
    <row r="761" spans="1:3" ht="15" x14ac:dyDescent="0.25">
      <c r="A761" s="108" t="s">
        <v>1801</v>
      </c>
      <c r="B761" s="3" t="s">
        <v>1802</v>
      </c>
      <c r="C761" s="109">
        <v>111020.38</v>
      </c>
    </row>
    <row r="762" spans="1:3" ht="15" x14ac:dyDescent="0.25">
      <c r="A762" s="108" t="s">
        <v>1803</v>
      </c>
      <c r="B762" s="3" t="s">
        <v>1804</v>
      </c>
      <c r="C762" s="109">
        <v>6505.03</v>
      </c>
    </row>
    <row r="763" spans="1:3" ht="15" x14ac:dyDescent="0.25">
      <c r="A763" s="108" t="s">
        <v>1805</v>
      </c>
      <c r="B763" s="3" t="s">
        <v>1806</v>
      </c>
      <c r="C763" s="109">
        <v>5699.55</v>
      </c>
    </row>
    <row r="764" spans="1:3" ht="15" x14ac:dyDescent="0.25">
      <c r="A764" s="108" t="s">
        <v>1807</v>
      </c>
      <c r="B764" s="3" t="s">
        <v>1808</v>
      </c>
      <c r="C764" s="109">
        <v>314024.93999999994</v>
      </c>
    </row>
    <row r="765" spans="1:3" ht="15" x14ac:dyDescent="0.25">
      <c r="A765" s="108" t="s">
        <v>1809</v>
      </c>
      <c r="B765" s="3" t="s">
        <v>1810</v>
      </c>
      <c r="C765" s="109">
        <v>3405878.8099999982</v>
      </c>
    </row>
    <row r="766" spans="1:3" ht="15" x14ac:dyDescent="0.25">
      <c r="A766" s="108" t="s">
        <v>1811</v>
      </c>
      <c r="B766" s="3" t="s">
        <v>1812</v>
      </c>
      <c r="C766" s="109">
        <v>421361.72999999986</v>
      </c>
    </row>
    <row r="767" spans="1:3" ht="15" x14ac:dyDescent="0.25">
      <c r="A767" s="108" t="s">
        <v>1813</v>
      </c>
      <c r="B767" s="3" t="s">
        <v>1814</v>
      </c>
      <c r="C767" s="109">
        <v>128452.89999999998</v>
      </c>
    </row>
    <row r="768" spans="1:3" ht="15" x14ac:dyDescent="0.25">
      <c r="A768" s="108" t="s">
        <v>1815</v>
      </c>
      <c r="B768" s="3" t="s">
        <v>1816</v>
      </c>
      <c r="C768" s="109">
        <v>220995.05999999997</v>
      </c>
    </row>
    <row r="769" spans="1:3" ht="15" x14ac:dyDescent="0.25">
      <c r="A769" s="108" t="s">
        <v>1817</v>
      </c>
      <c r="B769" s="3" t="s">
        <v>1818</v>
      </c>
      <c r="C769" s="109">
        <v>2958.2200000000007</v>
      </c>
    </row>
    <row r="770" spans="1:3" ht="15" x14ac:dyDescent="0.25">
      <c r="A770" s="108" t="s">
        <v>1819</v>
      </c>
      <c r="B770" s="3" t="s">
        <v>1820</v>
      </c>
      <c r="C770" s="109">
        <v>130649.67999999996</v>
      </c>
    </row>
    <row r="771" spans="1:3" ht="15" x14ac:dyDescent="0.25">
      <c r="A771" s="108" t="s">
        <v>1821</v>
      </c>
      <c r="B771" s="3" t="s">
        <v>1822</v>
      </c>
      <c r="C771" s="109">
        <v>155164.55000000002</v>
      </c>
    </row>
    <row r="772" spans="1:3" ht="15" x14ac:dyDescent="0.25">
      <c r="A772" s="108" t="s">
        <v>1823</v>
      </c>
      <c r="B772" s="3" t="s">
        <v>1824</v>
      </c>
      <c r="C772" s="109">
        <v>75214.11</v>
      </c>
    </row>
    <row r="773" spans="1:3" ht="15" x14ac:dyDescent="0.25">
      <c r="A773" s="108" t="s">
        <v>1825</v>
      </c>
      <c r="B773" s="3" t="s">
        <v>1826</v>
      </c>
      <c r="C773" s="109">
        <v>77396.500000000029</v>
      </c>
    </row>
    <row r="774" spans="1:3" ht="15" x14ac:dyDescent="0.25">
      <c r="A774" s="108" t="s">
        <v>1827</v>
      </c>
      <c r="B774" s="3" t="s">
        <v>1828</v>
      </c>
      <c r="C774" s="109">
        <v>477461.49</v>
      </c>
    </row>
    <row r="775" spans="1:3" ht="15" x14ac:dyDescent="0.25">
      <c r="A775" s="108" t="s">
        <v>1829</v>
      </c>
      <c r="B775" s="3" t="s">
        <v>1830</v>
      </c>
      <c r="C775" s="109">
        <v>12326.040000000005</v>
      </c>
    </row>
    <row r="776" spans="1:3" ht="15" x14ac:dyDescent="0.25">
      <c r="A776" s="108" t="s">
        <v>1831</v>
      </c>
      <c r="B776" s="3" t="s">
        <v>1832</v>
      </c>
      <c r="C776" s="109">
        <v>4499.71</v>
      </c>
    </row>
    <row r="777" spans="1:3" ht="15" x14ac:dyDescent="0.25">
      <c r="A777" s="108" t="s">
        <v>1833</v>
      </c>
      <c r="B777" s="3" t="s">
        <v>1834</v>
      </c>
      <c r="C777" s="109">
        <v>87326.719999999958</v>
      </c>
    </row>
    <row r="778" spans="1:3" ht="15" x14ac:dyDescent="0.25">
      <c r="A778" s="108" t="s">
        <v>1835</v>
      </c>
      <c r="B778" s="3" t="s">
        <v>1836</v>
      </c>
      <c r="C778" s="109">
        <v>10187.779999999999</v>
      </c>
    </row>
    <row r="779" spans="1:3" ht="15" x14ac:dyDescent="0.25">
      <c r="A779" s="108" t="s">
        <v>1837</v>
      </c>
      <c r="B779" s="3" t="s">
        <v>1838</v>
      </c>
      <c r="C779" s="109">
        <v>13549.750000000002</v>
      </c>
    </row>
    <row r="780" spans="1:3" ht="15" x14ac:dyDescent="0.25">
      <c r="A780" s="108" t="s">
        <v>1839</v>
      </c>
      <c r="B780" s="3" t="s">
        <v>1840</v>
      </c>
      <c r="C780" s="109">
        <v>10187.779999999999</v>
      </c>
    </row>
    <row r="781" spans="1:3" ht="15" x14ac:dyDescent="0.25">
      <c r="A781" s="108" t="s">
        <v>1841</v>
      </c>
      <c r="B781" s="3" t="s">
        <v>1842</v>
      </c>
      <c r="C781" s="109">
        <v>23502.440000000006</v>
      </c>
    </row>
    <row r="782" spans="1:3" ht="15" x14ac:dyDescent="0.25">
      <c r="A782" s="108" t="s">
        <v>1843</v>
      </c>
      <c r="B782" s="3" t="s">
        <v>1844</v>
      </c>
      <c r="C782" s="109">
        <v>10232.73</v>
      </c>
    </row>
    <row r="783" spans="1:3" ht="15" x14ac:dyDescent="0.25">
      <c r="A783" s="108" t="s">
        <v>1845</v>
      </c>
      <c r="B783" s="3" t="s">
        <v>1846</v>
      </c>
      <c r="C783" s="109">
        <v>-1.4600000000000728</v>
      </c>
    </row>
    <row r="784" spans="1:3" ht="15" x14ac:dyDescent="0.25">
      <c r="A784" s="108" t="s">
        <v>1847</v>
      </c>
      <c r="B784" s="3" t="s">
        <v>1848</v>
      </c>
      <c r="C784" s="109">
        <v>17560.78</v>
      </c>
    </row>
    <row r="785" spans="1:3" ht="15" x14ac:dyDescent="0.25">
      <c r="A785" s="108" t="s">
        <v>1849</v>
      </c>
      <c r="B785" s="3" t="s">
        <v>1850</v>
      </c>
      <c r="C785" s="109">
        <v>28623.649999999998</v>
      </c>
    </row>
    <row r="786" spans="1:3" ht="15" x14ac:dyDescent="0.25">
      <c r="A786" s="108" t="s">
        <v>1851</v>
      </c>
      <c r="B786" s="3" t="s">
        <v>1852</v>
      </c>
      <c r="C786" s="109">
        <v>40171.520000000004</v>
      </c>
    </row>
    <row r="787" spans="1:3" ht="15" x14ac:dyDescent="0.25">
      <c r="A787" s="108" t="s">
        <v>1853</v>
      </c>
      <c r="B787" s="3" t="s">
        <v>1854</v>
      </c>
      <c r="C787" s="109">
        <v>11135.429999999998</v>
      </c>
    </row>
    <row r="788" spans="1:3" ht="15" x14ac:dyDescent="0.25">
      <c r="A788" s="108" t="s">
        <v>1855</v>
      </c>
      <c r="B788" s="3" t="s">
        <v>1856</v>
      </c>
      <c r="C788" s="109">
        <v>59525.49</v>
      </c>
    </row>
    <row r="789" spans="1:3" ht="15" x14ac:dyDescent="0.25">
      <c r="A789" s="108" t="s">
        <v>1857</v>
      </c>
      <c r="B789" s="3" t="s">
        <v>1858</v>
      </c>
      <c r="C789" s="109">
        <v>-5.8207660913467407E-11</v>
      </c>
    </row>
    <row r="790" spans="1:3" ht="15" x14ac:dyDescent="0.25">
      <c r="A790" s="108" t="s">
        <v>1859</v>
      </c>
      <c r="B790" s="3" t="s">
        <v>1860</v>
      </c>
      <c r="C790" s="109">
        <v>5164.5600000000004</v>
      </c>
    </row>
    <row r="791" spans="1:3" ht="15" x14ac:dyDescent="0.25">
      <c r="A791" s="108" t="s">
        <v>1861</v>
      </c>
      <c r="B791" s="3" t="s">
        <v>1862</v>
      </c>
      <c r="C791" s="109">
        <v>17436.11</v>
      </c>
    </row>
    <row r="792" spans="1:3" ht="15" x14ac:dyDescent="0.25">
      <c r="A792" s="108" t="s">
        <v>1863</v>
      </c>
      <c r="B792" s="3" t="s">
        <v>1864</v>
      </c>
      <c r="C792" s="109">
        <v>25040.62</v>
      </c>
    </row>
    <row r="793" spans="1:3" ht="15" x14ac:dyDescent="0.25">
      <c r="A793" s="108" t="s">
        <v>1865</v>
      </c>
      <c r="B793" s="3" t="s">
        <v>1866</v>
      </c>
      <c r="C793" s="109">
        <v>107566.81</v>
      </c>
    </row>
    <row r="794" spans="1:3" ht="15" x14ac:dyDescent="0.25">
      <c r="A794" s="108" t="s">
        <v>1867</v>
      </c>
      <c r="B794" s="3" t="s">
        <v>1868</v>
      </c>
      <c r="C794" s="109">
        <v>7595</v>
      </c>
    </row>
    <row r="795" spans="1:3" ht="15" x14ac:dyDescent="0.25">
      <c r="A795" s="108" t="s">
        <v>1869</v>
      </c>
      <c r="B795" s="3" t="s">
        <v>1870</v>
      </c>
      <c r="C795" s="109">
        <v>65708.659999999989</v>
      </c>
    </row>
    <row r="796" spans="1:3" ht="15" x14ac:dyDescent="0.25">
      <c r="A796" s="108" t="s">
        <v>1871</v>
      </c>
      <c r="B796" s="3" t="s">
        <v>1872</v>
      </c>
      <c r="C796" s="109">
        <v>4978.47</v>
      </c>
    </row>
    <row r="797" spans="1:3" ht="15" x14ac:dyDescent="0.25">
      <c r="A797" s="108" t="s">
        <v>1873</v>
      </c>
      <c r="B797" s="3" t="s">
        <v>1874</v>
      </c>
      <c r="C797" s="109">
        <v>10724083.819999993</v>
      </c>
    </row>
    <row r="798" spans="1:3" ht="15" x14ac:dyDescent="0.25">
      <c r="A798" s="108" t="s">
        <v>1875</v>
      </c>
      <c r="B798" s="3" t="s">
        <v>1876</v>
      </c>
      <c r="C798" s="109">
        <v>10833193.570000002</v>
      </c>
    </row>
    <row r="799" spans="1:3" ht="15" x14ac:dyDescent="0.25">
      <c r="A799" s="108" t="s">
        <v>1877</v>
      </c>
      <c r="B799" s="3" t="s">
        <v>1878</v>
      </c>
      <c r="C799" s="109">
        <v>2126476.0799999991</v>
      </c>
    </row>
    <row r="800" spans="1:3" ht="15" x14ac:dyDescent="0.25">
      <c r="A800" s="108" t="s">
        <v>1879</v>
      </c>
      <c r="B800" s="3" t="s">
        <v>1880</v>
      </c>
      <c r="C800" s="109">
        <v>9347071.1300000064</v>
      </c>
    </row>
    <row r="801" spans="1:3" ht="15" x14ac:dyDescent="0.25">
      <c r="A801" s="108" t="s">
        <v>1881</v>
      </c>
      <c r="B801" s="3" t="s">
        <v>1882</v>
      </c>
      <c r="C801" s="109">
        <v>1521433.1799999997</v>
      </c>
    </row>
    <row r="802" spans="1:3" ht="15" x14ac:dyDescent="0.25">
      <c r="A802" s="108" t="s">
        <v>1883</v>
      </c>
      <c r="B802" s="3" t="s">
        <v>1884</v>
      </c>
      <c r="C802" s="109">
        <v>15699.599999999999</v>
      </c>
    </row>
    <row r="803" spans="1:3" ht="15" x14ac:dyDescent="0.25">
      <c r="A803" s="108" t="s">
        <v>1885</v>
      </c>
      <c r="B803" s="3" t="s">
        <v>1886</v>
      </c>
      <c r="C803" s="109">
        <v>129033.68</v>
      </c>
    </row>
    <row r="804" spans="1:3" ht="15" x14ac:dyDescent="0.25">
      <c r="A804" s="108" t="s">
        <v>1887</v>
      </c>
      <c r="B804" s="3" t="s">
        <v>1888</v>
      </c>
      <c r="C804" s="109">
        <v>4478.62</v>
      </c>
    </row>
    <row r="805" spans="1:3" ht="15" x14ac:dyDescent="0.25">
      <c r="A805" s="108" t="s">
        <v>1889</v>
      </c>
      <c r="B805" s="3" t="s">
        <v>1890</v>
      </c>
      <c r="C805" s="109">
        <v>8493.6500000000015</v>
      </c>
    </row>
    <row r="806" spans="1:3" ht="15" x14ac:dyDescent="0.25">
      <c r="A806" s="108" t="s">
        <v>1891</v>
      </c>
      <c r="B806" s="3" t="s">
        <v>1892</v>
      </c>
      <c r="C806" s="109">
        <v>128231.28999999998</v>
      </c>
    </row>
    <row r="807" spans="1:3" ht="15" x14ac:dyDescent="0.25">
      <c r="A807" s="108" t="s">
        <v>1893</v>
      </c>
      <c r="B807" s="3" t="s">
        <v>1894</v>
      </c>
      <c r="C807" s="109">
        <v>644325.53000000014</v>
      </c>
    </row>
    <row r="808" spans="1:3" ht="15" x14ac:dyDescent="0.25">
      <c r="A808" s="108" t="s">
        <v>1895</v>
      </c>
      <c r="B808" s="3" t="s">
        <v>1896</v>
      </c>
      <c r="C808" s="109">
        <v>7762.81</v>
      </c>
    </row>
    <row r="809" spans="1:3" ht="15" x14ac:dyDescent="0.25">
      <c r="A809" s="108" t="s">
        <v>1897</v>
      </c>
      <c r="B809" s="3" t="s">
        <v>1898</v>
      </c>
      <c r="C809" s="109">
        <v>4490.62</v>
      </c>
    </row>
    <row r="810" spans="1:3" ht="15" x14ac:dyDescent="0.25">
      <c r="A810" s="108" t="s">
        <v>1899</v>
      </c>
      <c r="B810" s="3" t="s">
        <v>1900</v>
      </c>
      <c r="C810" s="109">
        <v>78695.709999999992</v>
      </c>
    </row>
    <row r="811" spans="1:3" ht="15" x14ac:dyDescent="0.25">
      <c r="A811" s="108" t="s">
        <v>1901</v>
      </c>
      <c r="B811" s="3" t="s">
        <v>1902</v>
      </c>
      <c r="C811" s="109">
        <v>8741.5200000000023</v>
      </c>
    </row>
    <row r="812" spans="1:3" ht="15" x14ac:dyDescent="0.25">
      <c r="A812" s="108" t="s">
        <v>1903</v>
      </c>
      <c r="B812" s="3" t="s">
        <v>1904</v>
      </c>
      <c r="C812" s="109">
        <v>34666.910000000011</v>
      </c>
    </row>
    <row r="813" spans="1:3" ht="15" x14ac:dyDescent="0.25">
      <c r="A813" s="108" t="s">
        <v>1905</v>
      </c>
      <c r="B813" s="3" t="s">
        <v>1906</v>
      </c>
      <c r="C813" s="109">
        <v>187404.71</v>
      </c>
    </row>
    <row r="814" spans="1:3" ht="15" x14ac:dyDescent="0.25">
      <c r="A814" s="108" t="s">
        <v>1907</v>
      </c>
      <c r="B814" s="3" t="s">
        <v>1908</v>
      </c>
      <c r="C814" s="109">
        <v>521903.7</v>
      </c>
    </row>
    <row r="815" spans="1:3" ht="15" x14ac:dyDescent="0.25">
      <c r="A815" s="108" t="s">
        <v>1909</v>
      </c>
      <c r="B815" s="3" t="s">
        <v>1910</v>
      </c>
      <c r="C815" s="109">
        <v>21868.91</v>
      </c>
    </row>
    <row r="816" spans="1:3" ht="15" x14ac:dyDescent="0.25">
      <c r="A816" s="108" t="s">
        <v>1911</v>
      </c>
      <c r="B816" s="3" t="s">
        <v>1912</v>
      </c>
      <c r="C816" s="109">
        <v>10064.58</v>
      </c>
    </row>
    <row r="817" spans="1:3" ht="15" x14ac:dyDescent="0.25">
      <c r="A817" s="108" t="s">
        <v>1913</v>
      </c>
      <c r="B817" s="3" t="s">
        <v>1914</v>
      </c>
      <c r="C817" s="109">
        <v>153739.34</v>
      </c>
    </row>
    <row r="818" spans="1:3" ht="15" x14ac:dyDescent="0.25">
      <c r="A818" s="108" t="s">
        <v>1915</v>
      </c>
      <c r="B818" s="3" t="s">
        <v>1916</v>
      </c>
      <c r="C818" s="109">
        <v>40775.65</v>
      </c>
    </row>
    <row r="819" spans="1:3" ht="15" x14ac:dyDescent="0.25">
      <c r="A819" s="108" t="s">
        <v>1917</v>
      </c>
      <c r="B819" s="3" t="s">
        <v>1918</v>
      </c>
      <c r="C819" s="109">
        <v>41717.500000000015</v>
      </c>
    </row>
    <row r="820" spans="1:3" ht="15" x14ac:dyDescent="0.25">
      <c r="A820" s="108" t="s">
        <v>1919</v>
      </c>
      <c r="B820" s="3" t="s">
        <v>1920</v>
      </c>
      <c r="C820" s="109">
        <v>964.22</v>
      </c>
    </row>
    <row r="821" spans="1:3" ht="15" x14ac:dyDescent="0.25">
      <c r="A821" s="108" t="s">
        <v>1921</v>
      </c>
      <c r="B821" s="3" t="s">
        <v>1922</v>
      </c>
      <c r="C821" s="109">
        <v>138471.93999999994</v>
      </c>
    </row>
    <row r="822" spans="1:3" ht="15" x14ac:dyDescent="0.25">
      <c r="A822" s="108" t="s">
        <v>1923</v>
      </c>
      <c r="B822" s="3" t="s">
        <v>1924</v>
      </c>
      <c r="C822" s="109">
        <v>70651.690000000031</v>
      </c>
    </row>
    <row r="823" spans="1:3" ht="15" x14ac:dyDescent="0.25">
      <c r="A823" s="108" t="s">
        <v>1925</v>
      </c>
      <c r="B823" s="3" t="s">
        <v>1926</v>
      </c>
      <c r="C823" s="109">
        <v>65771.749999999971</v>
      </c>
    </row>
    <row r="824" spans="1:3" ht="15" x14ac:dyDescent="0.25">
      <c r="A824" s="108" t="s">
        <v>1927</v>
      </c>
      <c r="B824" s="3" t="s">
        <v>1928</v>
      </c>
      <c r="C824" s="109">
        <v>47193.279999999999</v>
      </c>
    </row>
    <row r="825" spans="1:3" ht="15" x14ac:dyDescent="0.25">
      <c r="A825" s="108" t="s">
        <v>1929</v>
      </c>
      <c r="B825" s="3" t="s">
        <v>1930</v>
      </c>
      <c r="C825" s="109">
        <v>4633.2</v>
      </c>
    </row>
    <row r="826" spans="1:3" ht="15" x14ac:dyDescent="0.25">
      <c r="A826" s="108" t="s">
        <v>1931</v>
      </c>
      <c r="B826" s="3" t="s">
        <v>1932</v>
      </c>
      <c r="C826" s="109">
        <v>15697.560000000001</v>
      </c>
    </row>
    <row r="827" spans="1:3" ht="15" x14ac:dyDescent="0.25">
      <c r="A827" s="108" t="s">
        <v>1933</v>
      </c>
      <c r="B827" s="3" t="s">
        <v>1934</v>
      </c>
      <c r="C827" s="109">
        <v>22275</v>
      </c>
    </row>
    <row r="828" spans="1:3" ht="15" x14ac:dyDescent="0.25">
      <c r="A828" s="108" t="s">
        <v>1935</v>
      </c>
      <c r="B828" s="3" t="s">
        <v>1936</v>
      </c>
      <c r="C828" s="109">
        <v>4426.54</v>
      </c>
    </row>
    <row r="829" spans="1:3" ht="15" x14ac:dyDescent="0.25">
      <c r="A829" s="108" t="s">
        <v>1937</v>
      </c>
      <c r="B829" s="3" t="s">
        <v>1938</v>
      </c>
      <c r="C829" s="109">
        <v>73771.149999999994</v>
      </c>
    </row>
    <row r="830" spans="1:3" ht="15" x14ac:dyDescent="0.25">
      <c r="A830" s="108" t="s">
        <v>1939</v>
      </c>
      <c r="B830" s="3" t="s">
        <v>1940</v>
      </c>
      <c r="C830" s="109">
        <v>5461.3099999999995</v>
      </c>
    </row>
    <row r="831" spans="1:3" ht="15" x14ac:dyDescent="0.25">
      <c r="A831" s="108" t="s">
        <v>1941</v>
      </c>
      <c r="B831" s="3" t="s">
        <v>1942</v>
      </c>
      <c r="C831" s="109">
        <v>28241.719999999998</v>
      </c>
    </row>
    <row r="832" spans="1:3" ht="15" x14ac:dyDescent="0.25">
      <c r="A832" s="108" t="s">
        <v>1943</v>
      </c>
      <c r="B832" s="3" t="s">
        <v>1944</v>
      </c>
      <c r="C832" s="109">
        <v>73937.62000000001</v>
      </c>
    </row>
    <row r="833" spans="1:3" ht="15" x14ac:dyDescent="0.25">
      <c r="A833" s="108" t="s">
        <v>1945</v>
      </c>
      <c r="B833" s="3" t="s">
        <v>1946</v>
      </c>
      <c r="C833" s="109">
        <v>31217.87000000001</v>
      </c>
    </row>
    <row r="834" spans="1:3" ht="15" x14ac:dyDescent="0.25">
      <c r="A834" s="108" t="s">
        <v>1947</v>
      </c>
      <c r="B834" s="3" t="s">
        <v>1948</v>
      </c>
      <c r="C834" s="109">
        <v>26991.700000000004</v>
      </c>
    </row>
    <row r="835" spans="1:3" ht="15" x14ac:dyDescent="0.25">
      <c r="A835" s="108" t="s">
        <v>1949</v>
      </c>
      <c r="B835" s="3" t="s">
        <v>1950</v>
      </c>
      <c r="C835" s="109">
        <v>41094.83</v>
      </c>
    </row>
    <row r="836" spans="1:3" ht="15" x14ac:dyDescent="0.25">
      <c r="A836" s="108" t="s">
        <v>1951</v>
      </c>
      <c r="B836" s="3" t="s">
        <v>1952</v>
      </c>
      <c r="C836" s="109">
        <v>32788.279999999992</v>
      </c>
    </row>
    <row r="837" spans="1:3" ht="15" x14ac:dyDescent="0.25">
      <c r="A837" s="108" t="s">
        <v>1953</v>
      </c>
      <c r="B837" s="3" t="s">
        <v>1954</v>
      </c>
      <c r="C837" s="109">
        <v>37186.959999999999</v>
      </c>
    </row>
    <row r="838" spans="1:3" ht="15" x14ac:dyDescent="0.25">
      <c r="A838" s="108" t="s">
        <v>1955</v>
      </c>
      <c r="B838" s="3" t="s">
        <v>1956</v>
      </c>
      <c r="C838" s="109">
        <v>36321.919999999998</v>
      </c>
    </row>
    <row r="839" spans="1:3" ht="15" x14ac:dyDescent="0.25">
      <c r="A839" s="108" t="s">
        <v>1957</v>
      </c>
      <c r="B839" s="3" t="s">
        <v>1958</v>
      </c>
      <c r="C839" s="109">
        <v>29850.670000000009</v>
      </c>
    </row>
    <row r="840" spans="1:3" ht="15" x14ac:dyDescent="0.25">
      <c r="A840" s="108" t="s">
        <v>1959</v>
      </c>
      <c r="B840" s="3" t="s">
        <v>1960</v>
      </c>
      <c r="C840" s="109">
        <v>38603.179999999993</v>
      </c>
    </row>
    <row r="841" spans="1:3" ht="15" x14ac:dyDescent="0.25">
      <c r="A841" s="108" t="s">
        <v>1961</v>
      </c>
      <c r="B841" s="3" t="s">
        <v>1962</v>
      </c>
      <c r="C841" s="109">
        <v>37085.329999999994</v>
      </c>
    </row>
    <row r="842" spans="1:3" ht="15" x14ac:dyDescent="0.25">
      <c r="A842" s="108" t="s">
        <v>1963</v>
      </c>
      <c r="B842" s="3" t="s">
        <v>1964</v>
      </c>
      <c r="C842" s="109">
        <v>41817.930000000008</v>
      </c>
    </row>
    <row r="843" spans="1:3" ht="15" x14ac:dyDescent="0.25">
      <c r="A843" s="108" t="s">
        <v>1965</v>
      </c>
      <c r="B843" s="3" t="s">
        <v>1966</v>
      </c>
      <c r="C843" s="109">
        <v>40233.5</v>
      </c>
    </row>
    <row r="844" spans="1:3" ht="15" x14ac:dyDescent="0.25">
      <c r="A844" s="108" t="s">
        <v>1967</v>
      </c>
      <c r="B844" s="3" t="s">
        <v>1968</v>
      </c>
      <c r="C844" s="109">
        <v>86068.159999999989</v>
      </c>
    </row>
    <row r="845" spans="1:3" ht="15" x14ac:dyDescent="0.25">
      <c r="A845" s="108" t="s">
        <v>1969</v>
      </c>
      <c r="B845" s="3" t="s">
        <v>1970</v>
      </c>
      <c r="C845" s="109">
        <v>21696.73</v>
      </c>
    </row>
    <row r="846" spans="1:3" ht="15" x14ac:dyDescent="0.25">
      <c r="A846" s="108" t="s">
        <v>1971</v>
      </c>
      <c r="B846" s="3" t="s">
        <v>1972</v>
      </c>
      <c r="C846" s="109">
        <v>519884.88999999996</v>
      </c>
    </row>
    <row r="847" spans="1:3" ht="15" x14ac:dyDescent="0.25">
      <c r="A847" s="108" t="s">
        <v>1973</v>
      </c>
      <c r="B847" s="3" t="s">
        <v>1974</v>
      </c>
      <c r="C847" s="109">
        <v>23792.010000000002</v>
      </c>
    </row>
    <row r="848" spans="1:3" ht="15" x14ac:dyDescent="0.25">
      <c r="A848" s="108" t="s">
        <v>1975</v>
      </c>
      <c r="B848" s="3" t="s">
        <v>1976</v>
      </c>
      <c r="C848" s="109">
        <v>35798.31</v>
      </c>
    </row>
    <row r="849" spans="1:3" ht="15" x14ac:dyDescent="0.25">
      <c r="A849" s="108" t="s">
        <v>1977</v>
      </c>
      <c r="B849" s="3" t="s">
        <v>1978</v>
      </c>
      <c r="C849" s="109">
        <v>10932.01</v>
      </c>
    </row>
    <row r="850" spans="1:3" ht="15" x14ac:dyDescent="0.25">
      <c r="A850" s="108" t="s">
        <v>1979</v>
      </c>
      <c r="B850" s="3" t="s">
        <v>1980</v>
      </c>
      <c r="C850" s="109">
        <v>177734.83999999997</v>
      </c>
    </row>
    <row r="851" spans="1:3" ht="15" x14ac:dyDescent="0.25">
      <c r="A851" s="108" t="s">
        <v>1981</v>
      </c>
      <c r="B851" s="3" t="s">
        <v>1982</v>
      </c>
      <c r="C851" s="109">
        <v>36786.85</v>
      </c>
    </row>
    <row r="852" spans="1:3" ht="15" x14ac:dyDescent="0.25">
      <c r="A852" s="108" t="s">
        <v>1983</v>
      </c>
      <c r="B852" s="3" t="s">
        <v>1984</v>
      </c>
      <c r="C852" s="109">
        <v>7193.6</v>
      </c>
    </row>
    <row r="853" spans="1:3" ht="15" x14ac:dyDescent="0.25">
      <c r="A853" s="108" t="s">
        <v>1985</v>
      </c>
      <c r="B853" s="3" t="s">
        <v>1986</v>
      </c>
      <c r="C853" s="109">
        <v>29149.849999999995</v>
      </c>
    </row>
    <row r="854" spans="1:3" ht="15" x14ac:dyDescent="0.25">
      <c r="A854" s="108" t="s">
        <v>1987</v>
      </c>
      <c r="B854" s="3" t="s">
        <v>1988</v>
      </c>
      <c r="C854" s="109">
        <v>15120.9</v>
      </c>
    </row>
    <row r="855" spans="1:3" ht="15" x14ac:dyDescent="0.25">
      <c r="A855" s="108" t="s">
        <v>1989</v>
      </c>
      <c r="B855" s="3" t="s">
        <v>1990</v>
      </c>
      <c r="C855" s="109">
        <v>43827.160000000018</v>
      </c>
    </row>
    <row r="856" spans="1:3" ht="15" x14ac:dyDescent="0.25">
      <c r="A856" s="108" t="s">
        <v>1991</v>
      </c>
      <c r="B856" s="3" t="s">
        <v>1992</v>
      </c>
      <c r="C856" s="109">
        <v>58339.179999999978</v>
      </c>
    </row>
    <row r="857" spans="1:3" ht="15" x14ac:dyDescent="0.25">
      <c r="A857" s="108" t="s">
        <v>1993</v>
      </c>
      <c r="B857" s="3" t="s">
        <v>1994</v>
      </c>
      <c r="C857" s="109">
        <v>18458.349999999999</v>
      </c>
    </row>
    <row r="858" spans="1:3" ht="15" x14ac:dyDescent="0.25">
      <c r="A858" s="108" t="s">
        <v>1995</v>
      </c>
      <c r="B858" s="3" t="s">
        <v>1996</v>
      </c>
      <c r="C858" s="109">
        <v>10512.36</v>
      </c>
    </row>
    <row r="859" spans="1:3" ht="15" x14ac:dyDescent="0.25">
      <c r="A859" s="108" t="s">
        <v>1997</v>
      </c>
      <c r="B859" s="3" t="s">
        <v>1998</v>
      </c>
      <c r="C859" s="109">
        <v>8599.4599999999991</v>
      </c>
    </row>
    <row r="860" spans="1:3" ht="15" x14ac:dyDescent="0.25">
      <c r="A860" s="108" t="s">
        <v>1999</v>
      </c>
      <c r="B860" s="3" t="s">
        <v>2000</v>
      </c>
      <c r="C860" s="109">
        <v>2333.92</v>
      </c>
    </row>
    <row r="861" spans="1:3" ht="15" x14ac:dyDescent="0.25">
      <c r="A861" s="108" t="s">
        <v>2001</v>
      </c>
      <c r="B861" s="3" t="s">
        <v>2002</v>
      </c>
      <c r="C861" s="109">
        <v>967655.88999999897</v>
      </c>
    </row>
    <row r="862" spans="1:3" ht="15" x14ac:dyDescent="0.25">
      <c r="A862" s="108" t="s">
        <v>2003</v>
      </c>
      <c r="B862" s="3" t="s">
        <v>2004</v>
      </c>
      <c r="C862" s="109">
        <v>25562.900000000005</v>
      </c>
    </row>
    <row r="863" spans="1:3" ht="15" x14ac:dyDescent="0.25">
      <c r="A863" s="108" t="s">
        <v>2005</v>
      </c>
      <c r="B863" s="3" t="s">
        <v>2006</v>
      </c>
      <c r="C863" s="109">
        <v>4650.75</v>
      </c>
    </row>
    <row r="864" spans="1:3" ht="15" x14ac:dyDescent="0.25">
      <c r="A864" s="108" t="s">
        <v>2007</v>
      </c>
      <c r="B864" s="3" t="s">
        <v>2008</v>
      </c>
      <c r="C864" s="109">
        <v>24172.89</v>
      </c>
    </row>
    <row r="865" spans="1:3" ht="15" x14ac:dyDescent="0.25">
      <c r="A865" s="108" t="s">
        <v>2009</v>
      </c>
      <c r="B865" s="3" t="s">
        <v>2010</v>
      </c>
      <c r="C865" s="109">
        <v>4902834.669999999</v>
      </c>
    </row>
    <row r="866" spans="1:3" ht="15" x14ac:dyDescent="0.25">
      <c r="A866" s="108" t="s">
        <v>2011</v>
      </c>
      <c r="B866" s="3" t="s">
        <v>2012</v>
      </c>
      <c r="C866" s="109">
        <v>19018.12</v>
      </c>
    </row>
    <row r="867" spans="1:3" ht="15" x14ac:dyDescent="0.25">
      <c r="A867" s="108" t="s">
        <v>2013</v>
      </c>
      <c r="B867" s="3" t="s">
        <v>2014</v>
      </c>
      <c r="C867" s="109">
        <v>71788.73</v>
      </c>
    </row>
    <row r="868" spans="1:3" ht="15" x14ac:dyDescent="0.25">
      <c r="A868" s="108" t="s">
        <v>2015</v>
      </c>
      <c r="B868" s="3" t="s">
        <v>2016</v>
      </c>
      <c r="C868" s="109">
        <v>37287.619999999995</v>
      </c>
    </row>
    <row r="869" spans="1:3" ht="15" x14ac:dyDescent="0.25">
      <c r="A869" s="108" t="s">
        <v>2017</v>
      </c>
      <c r="B869" s="3" t="s">
        <v>2018</v>
      </c>
      <c r="C869" s="109">
        <v>6677.5099999999984</v>
      </c>
    </row>
    <row r="870" spans="1:3" ht="15" x14ac:dyDescent="0.25">
      <c r="A870" s="108" t="s">
        <v>2019</v>
      </c>
      <c r="B870" s="3" t="s">
        <v>2020</v>
      </c>
      <c r="C870" s="109">
        <v>50253.32</v>
      </c>
    </row>
    <row r="871" spans="1:3" ht="15" x14ac:dyDescent="0.25">
      <c r="A871" s="108" t="s">
        <v>2021</v>
      </c>
      <c r="B871" s="3" t="s">
        <v>2022</v>
      </c>
      <c r="C871" s="109">
        <v>12438.75</v>
      </c>
    </row>
    <row r="872" spans="1:3" ht="15" x14ac:dyDescent="0.25">
      <c r="A872" s="108" t="s">
        <v>2023</v>
      </c>
      <c r="B872" s="3" t="s">
        <v>2024</v>
      </c>
      <c r="C872" s="109">
        <v>26814.850000000002</v>
      </c>
    </row>
    <row r="873" spans="1:3" ht="15" x14ac:dyDescent="0.25">
      <c r="A873" s="108" t="s">
        <v>2025</v>
      </c>
      <c r="B873" s="3" t="s">
        <v>2026</v>
      </c>
      <c r="C873" s="109">
        <v>26814.850000000002</v>
      </c>
    </row>
    <row r="874" spans="1:3" ht="15" x14ac:dyDescent="0.25">
      <c r="A874" s="108" t="s">
        <v>2027</v>
      </c>
      <c r="B874" s="3" t="s">
        <v>2028</v>
      </c>
      <c r="C874" s="109">
        <v>31947.339999999997</v>
      </c>
    </row>
    <row r="875" spans="1:3" ht="15" x14ac:dyDescent="0.25">
      <c r="A875" s="108" t="s">
        <v>2029</v>
      </c>
      <c r="B875" s="3" t="s">
        <v>2030</v>
      </c>
      <c r="C875" s="109">
        <v>28523.399999999998</v>
      </c>
    </row>
    <row r="876" spans="1:3" ht="15" x14ac:dyDescent="0.25">
      <c r="A876" s="108" t="s">
        <v>2031</v>
      </c>
      <c r="B876" s="3" t="s">
        <v>2032</v>
      </c>
      <c r="C876" s="109">
        <v>28747.93</v>
      </c>
    </row>
    <row r="877" spans="1:3" ht="15" x14ac:dyDescent="0.25">
      <c r="A877" s="108" t="s">
        <v>2033</v>
      </c>
      <c r="B877" s="3" t="s">
        <v>2034</v>
      </c>
      <c r="C877" s="109">
        <v>274092.44</v>
      </c>
    </row>
    <row r="878" spans="1:3" ht="15" x14ac:dyDescent="0.25">
      <c r="A878" s="108" t="s">
        <v>2035</v>
      </c>
      <c r="B878" s="3" t="s">
        <v>2036</v>
      </c>
      <c r="C878" s="109">
        <v>8769.02</v>
      </c>
    </row>
    <row r="879" spans="1:3" ht="15" x14ac:dyDescent="0.25">
      <c r="A879" s="108" t="s">
        <v>2037</v>
      </c>
      <c r="B879" s="3" t="s">
        <v>2038</v>
      </c>
      <c r="C879" s="109">
        <v>100470.62000000002</v>
      </c>
    </row>
    <row r="880" spans="1:3" ht="15" x14ac:dyDescent="0.25">
      <c r="A880" s="108" t="s">
        <v>2039</v>
      </c>
      <c r="B880" s="3" t="s">
        <v>2040</v>
      </c>
      <c r="C880" s="109">
        <v>81512.510000000009</v>
      </c>
    </row>
    <row r="881" spans="1:3" ht="15" x14ac:dyDescent="0.25">
      <c r="A881" s="108" t="s">
        <v>2041</v>
      </c>
      <c r="B881" s="3" t="s">
        <v>2042</v>
      </c>
      <c r="C881" s="109">
        <v>13733.829999999998</v>
      </c>
    </row>
    <row r="882" spans="1:3" ht="15" x14ac:dyDescent="0.25">
      <c r="A882" s="108" t="s">
        <v>2043</v>
      </c>
      <c r="B882" s="3" t="s">
        <v>2044</v>
      </c>
      <c r="C882" s="109">
        <v>6264</v>
      </c>
    </row>
    <row r="883" spans="1:3" ht="15" x14ac:dyDescent="0.25">
      <c r="A883" s="108" t="s">
        <v>2045</v>
      </c>
      <c r="B883" s="3" t="s">
        <v>2046</v>
      </c>
      <c r="C883" s="109">
        <v>6100</v>
      </c>
    </row>
    <row r="884" spans="1:3" ht="15" x14ac:dyDescent="0.25">
      <c r="A884" s="108" t="s">
        <v>2047</v>
      </c>
      <c r="B884" s="3" t="s">
        <v>2048</v>
      </c>
      <c r="C884" s="109">
        <v>28812.699999999997</v>
      </c>
    </row>
    <row r="885" spans="1:3" ht="15" x14ac:dyDescent="0.25">
      <c r="A885" s="108" t="s">
        <v>2049</v>
      </c>
      <c r="B885" s="3" t="s">
        <v>2050</v>
      </c>
      <c r="C885" s="109">
        <v>14345.259999999998</v>
      </c>
    </row>
    <row r="886" spans="1:3" ht="15" x14ac:dyDescent="0.25">
      <c r="A886" s="108" t="s">
        <v>2051</v>
      </c>
      <c r="B886" s="3" t="s">
        <v>2052</v>
      </c>
      <c r="C886" s="109">
        <v>1754382.2599999998</v>
      </c>
    </row>
    <row r="887" spans="1:3" ht="15" x14ac:dyDescent="0.25">
      <c r="A887" s="108" t="s">
        <v>2053</v>
      </c>
      <c r="B887" s="3" t="s">
        <v>2054</v>
      </c>
      <c r="C887" s="109">
        <v>448784.25000000023</v>
      </c>
    </row>
    <row r="888" spans="1:3" ht="15" x14ac:dyDescent="0.25">
      <c r="A888" s="108" t="s">
        <v>2055</v>
      </c>
      <c r="B888" s="3" t="s">
        <v>2056</v>
      </c>
      <c r="C888" s="109">
        <v>602380.04999999993</v>
      </c>
    </row>
    <row r="889" spans="1:3" ht="15" x14ac:dyDescent="0.25">
      <c r="A889" s="108" t="s">
        <v>2057</v>
      </c>
      <c r="B889" s="3" t="s">
        <v>2058</v>
      </c>
      <c r="C889" s="109">
        <v>52562.65</v>
      </c>
    </row>
    <row r="890" spans="1:3" ht="15" x14ac:dyDescent="0.25">
      <c r="A890" s="108" t="s">
        <v>2059</v>
      </c>
      <c r="B890" s="3" t="s">
        <v>2060</v>
      </c>
      <c r="C890" s="109">
        <v>130516.44</v>
      </c>
    </row>
    <row r="891" spans="1:3" ht="15" x14ac:dyDescent="0.25">
      <c r="A891" s="108" t="s">
        <v>2061</v>
      </c>
      <c r="B891" s="3" t="s">
        <v>2062</v>
      </c>
      <c r="C891" s="109">
        <v>27.990000000000009</v>
      </c>
    </row>
    <row r="892" spans="1:3" ht="15" x14ac:dyDescent="0.25">
      <c r="A892" s="108" t="s">
        <v>2063</v>
      </c>
      <c r="B892" s="3" t="s">
        <v>2064</v>
      </c>
      <c r="C892" s="109">
        <v>40998.76999999999</v>
      </c>
    </row>
    <row r="893" spans="1:3" ht="15" x14ac:dyDescent="0.25">
      <c r="A893" s="108" t="s">
        <v>2065</v>
      </c>
      <c r="B893" s="3" t="s">
        <v>2066</v>
      </c>
      <c r="C893" s="109">
        <v>175943.75000000006</v>
      </c>
    </row>
    <row r="894" spans="1:3" ht="15" x14ac:dyDescent="0.25">
      <c r="A894" s="108" t="s">
        <v>2067</v>
      </c>
      <c r="B894" s="3" t="s">
        <v>2068</v>
      </c>
      <c r="C894" s="109">
        <v>167265.29</v>
      </c>
    </row>
    <row r="895" spans="1:3" ht="15" x14ac:dyDescent="0.25">
      <c r="A895" s="108" t="s">
        <v>2069</v>
      </c>
      <c r="B895" s="3" t="s">
        <v>2070</v>
      </c>
      <c r="C895" s="109">
        <v>155525.75000000003</v>
      </c>
    </row>
    <row r="896" spans="1:3" ht="15" x14ac:dyDescent="0.25">
      <c r="A896" s="108" t="s">
        <v>2071</v>
      </c>
      <c r="B896" s="3" t="s">
        <v>2072</v>
      </c>
      <c r="C896" s="109">
        <v>322625.42999999993</v>
      </c>
    </row>
    <row r="897" spans="1:3" ht="15" x14ac:dyDescent="0.25">
      <c r="A897" s="108" t="s">
        <v>2073</v>
      </c>
      <c r="B897" s="3" t="s">
        <v>2074</v>
      </c>
      <c r="C897" s="109">
        <v>97337.62000000001</v>
      </c>
    </row>
    <row r="898" spans="1:3" ht="15" x14ac:dyDescent="0.25">
      <c r="A898" s="108" t="s">
        <v>2075</v>
      </c>
      <c r="B898" s="3" t="s">
        <v>2076</v>
      </c>
      <c r="C898" s="109">
        <v>6903.16</v>
      </c>
    </row>
    <row r="899" spans="1:3" ht="15" x14ac:dyDescent="0.25">
      <c r="A899" s="108" t="s">
        <v>2077</v>
      </c>
      <c r="B899" s="3" t="s">
        <v>2078</v>
      </c>
      <c r="C899" s="109">
        <v>10389.700000000001</v>
      </c>
    </row>
    <row r="900" spans="1:3" ht="15" x14ac:dyDescent="0.25">
      <c r="A900" s="108" t="s">
        <v>2079</v>
      </c>
      <c r="B900" s="3" t="s">
        <v>2080</v>
      </c>
      <c r="C900" s="109">
        <v>62729.729999999989</v>
      </c>
    </row>
    <row r="901" spans="1:3" ht="15" x14ac:dyDescent="0.25">
      <c r="A901" s="108" t="s">
        <v>2081</v>
      </c>
      <c r="B901" s="3" t="s">
        <v>2082</v>
      </c>
      <c r="C901" s="109">
        <v>177648.17</v>
      </c>
    </row>
    <row r="902" spans="1:3" ht="15" x14ac:dyDescent="0.25">
      <c r="A902" s="108" t="s">
        <v>2083</v>
      </c>
      <c r="B902" s="3" t="s">
        <v>2084</v>
      </c>
      <c r="C902" s="109">
        <v>44412.039999999994</v>
      </c>
    </row>
    <row r="903" spans="1:3" ht="15" x14ac:dyDescent="0.25">
      <c r="A903" s="108" t="s">
        <v>2085</v>
      </c>
      <c r="B903" s="3" t="s">
        <v>2086</v>
      </c>
      <c r="C903" s="109">
        <v>44412.039999999994</v>
      </c>
    </row>
    <row r="904" spans="1:3" ht="15" x14ac:dyDescent="0.25">
      <c r="A904" s="108" t="s">
        <v>2087</v>
      </c>
      <c r="B904" s="3" t="s">
        <v>2088</v>
      </c>
      <c r="C904" s="109">
        <v>133236.13</v>
      </c>
    </row>
    <row r="905" spans="1:3" ht="15" x14ac:dyDescent="0.25">
      <c r="A905" s="108" t="s">
        <v>2089</v>
      </c>
      <c r="B905" s="3" t="s">
        <v>2090</v>
      </c>
      <c r="C905" s="109">
        <v>44412.04</v>
      </c>
    </row>
    <row r="906" spans="1:3" ht="15" x14ac:dyDescent="0.25">
      <c r="A906" s="108" t="s">
        <v>2091</v>
      </c>
      <c r="B906" s="3" t="s">
        <v>2092</v>
      </c>
      <c r="C906" s="109">
        <v>52641.799999999996</v>
      </c>
    </row>
    <row r="907" spans="1:3" ht="15" x14ac:dyDescent="0.25">
      <c r="A907" s="108" t="s">
        <v>2093</v>
      </c>
      <c r="B907" s="3" t="s">
        <v>2094</v>
      </c>
      <c r="C907" s="109">
        <v>28795.86</v>
      </c>
    </row>
    <row r="908" spans="1:3" ht="15" x14ac:dyDescent="0.25">
      <c r="A908" s="108" t="s">
        <v>2095</v>
      </c>
      <c r="B908" s="3" t="s">
        <v>2096</v>
      </c>
      <c r="C908" s="109">
        <v>3345.98</v>
      </c>
    </row>
    <row r="909" spans="1:3" ht="15" x14ac:dyDescent="0.25">
      <c r="A909" s="108" t="s">
        <v>2097</v>
      </c>
      <c r="B909" s="3" t="s">
        <v>2098</v>
      </c>
      <c r="C909" s="109">
        <v>3000</v>
      </c>
    </row>
    <row r="910" spans="1:3" ht="15" x14ac:dyDescent="0.25">
      <c r="A910" s="108" t="s">
        <v>2099</v>
      </c>
      <c r="B910" s="3" t="s">
        <v>2100</v>
      </c>
      <c r="C910" s="109">
        <v>217509.17</v>
      </c>
    </row>
    <row r="911" spans="1:3" ht="15" x14ac:dyDescent="0.25">
      <c r="A911" s="108" t="s">
        <v>2101</v>
      </c>
      <c r="B911" s="3" t="s">
        <v>2102</v>
      </c>
      <c r="C911" s="109">
        <v>37039.429999999986</v>
      </c>
    </row>
    <row r="912" spans="1:3" ht="15" x14ac:dyDescent="0.25">
      <c r="A912" s="108" t="s">
        <v>2103</v>
      </c>
      <c r="B912" s="3" t="s">
        <v>2104</v>
      </c>
      <c r="C912" s="109">
        <v>150305.52999999997</v>
      </c>
    </row>
    <row r="913" spans="1:3" ht="15" x14ac:dyDescent="0.25">
      <c r="A913" s="108" t="s">
        <v>2105</v>
      </c>
      <c r="B913" s="3" t="s">
        <v>2106</v>
      </c>
      <c r="C913" s="109">
        <v>10394.740000000002</v>
      </c>
    </row>
    <row r="914" spans="1:3" ht="15" x14ac:dyDescent="0.25">
      <c r="A914" s="108" t="s">
        <v>2107</v>
      </c>
      <c r="B914" s="3" t="s">
        <v>2108</v>
      </c>
      <c r="C914" s="109">
        <v>123971.38</v>
      </c>
    </row>
    <row r="915" spans="1:3" ht="15" x14ac:dyDescent="0.25">
      <c r="A915" s="108" t="s">
        <v>2109</v>
      </c>
      <c r="B915" s="3" t="s">
        <v>2110</v>
      </c>
      <c r="C915" s="109">
        <v>44470.29</v>
      </c>
    </row>
    <row r="916" spans="1:3" ht="15" x14ac:dyDescent="0.25">
      <c r="A916" s="108" t="s">
        <v>2111</v>
      </c>
      <c r="B916" s="3" t="s">
        <v>2112</v>
      </c>
      <c r="C916" s="109">
        <v>18658.229999999992</v>
      </c>
    </row>
    <row r="917" spans="1:3" ht="15" x14ac:dyDescent="0.25">
      <c r="A917" s="108" t="s">
        <v>2113</v>
      </c>
      <c r="B917" s="3" t="s">
        <v>2114</v>
      </c>
      <c r="C917" s="109">
        <v>459006.82999999996</v>
      </c>
    </row>
    <row r="918" spans="1:3" ht="15" x14ac:dyDescent="0.25">
      <c r="A918" s="108" t="s">
        <v>2115</v>
      </c>
      <c r="B918" s="3" t="s">
        <v>2116</v>
      </c>
      <c r="C918" s="109">
        <v>150657.15</v>
      </c>
    </row>
    <row r="919" spans="1:3" ht="15" x14ac:dyDescent="0.25">
      <c r="A919" s="108" t="s">
        <v>2117</v>
      </c>
      <c r="B919" s="3" t="s">
        <v>2118</v>
      </c>
      <c r="C919" s="109">
        <v>72917.099999999977</v>
      </c>
    </row>
    <row r="920" spans="1:3" ht="15" x14ac:dyDescent="0.25">
      <c r="A920" s="108" t="s">
        <v>2119</v>
      </c>
      <c r="B920" s="3" t="s">
        <v>2120</v>
      </c>
      <c r="C920" s="109">
        <v>23481.660000000003</v>
      </c>
    </row>
    <row r="921" spans="1:3" ht="15" x14ac:dyDescent="0.25">
      <c r="A921" s="108" t="s">
        <v>2121</v>
      </c>
      <c r="B921" s="3" t="s">
        <v>2122</v>
      </c>
      <c r="C921" s="109">
        <v>80335.230000000069</v>
      </c>
    </row>
    <row r="922" spans="1:3" ht="15" x14ac:dyDescent="0.25">
      <c r="A922" s="108" t="s">
        <v>2123</v>
      </c>
      <c r="B922" s="3" t="s">
        <v>2124</v>
      </c>
      <c r="C922" s="109">
        <v>84036.260000000009</v>
      </c>
    </row>
    <row r="923" spans="1:3" ht="15" x14ac:dyDescent="0.25">
      <c r="A923" s="108" t="s">
        <v>2125</v>
      </c>
      <c r="B923" s="3" t="s">
        <v>2126</v>
      </c>
      <c r="C923" s="109">
        <v>22865.710000000003</v>
      </c>
    </row>
    <row r="924" spans="1:3" ht="15" x14ac:dyDescent="0.25">
      <c r="A924" s="108" t="s">
        <v>2127</v>
      </c>
      <c r="B924" s="3" t="s">
        <v>2128</v>
      </c>
      <c r="C924" s="109">
        <v>347638.30999999994</v>
      </c>
    </row>
    <row r="925" spans="1:3" ht="15" x14ac:dyDescent="0.25">
      <c r="A925" s="108" t="s">
        <v>2129</v>
      </c>
      <c r="B925" s="3" t="s">
        <v>2130</v>
      </c>
      <c r="C925" s="109">
        <v>408348.69000000012</v>
      </c>
    </row>
    <row r="926" spans="1:3" ht="15" x14ac:dyDescent="0.25">
      <c r="A926" s="108" t="s">
        <v>2131</v>
      </c>
      <c r="B926" s="3" t="s">
        <v>2132</v>
      </c>
      <c r="C926" s="109">
        <v>41469.80999999999</v>
      </c>
    </row>
    <row r="927" spans="1:3" ht="15" x14ac:dyDescent="0.25">
      <c r="A927" s="108" t="s">
        <v>2133</v>
      </c>
      <c r="B927" s="3" t="s">
        <v>2134</v>
      </c>
      <c r="C927" s="109">
        <v>245741.8</v>
      </c>
    </row>
    <row r="928" spans="1:3" ht="15" x14ac:dyDescent="0.25">
      <c r="A928" s="108" t="s">
        <v>2135</v>
      </c>
      <c r="B928" s="3" t="s">
        <v>2136</v>
      </c>
      <c r="C928" s="109">
        <v>3110</v>
      </c>
    </row>
    <row r="929" spans="1:3" ht="15" x14ac:dyDescent="0.25">
      <c r="A929" s="108" t="s">
        <v>2137</v>
      </c>
      <c r="B929" s="3" t="s">
        <v>2138</v>
      </c>
      <c r="C929" s="109">
        <v>493919.69999999995</v>
      </c>
    </row>
    <row r="930" spans="1:3" ht="15" x14ac:dyDescent="0.25">
      <c r="A930" s="108" t="s">
        <v>2139</v>
      </c>
      <c r="B930" s="3" t="s">
        <v>2140</v>
      </c>
      <c r="C930" s="109">
        <v>40070.659999999989</v>
      </c>
    </row>
    <row r="931" spans="1:3" ht="15" x14ac:dyDescent="0.25">
      <c r="A931" s="108" t="s">
        <v>2141</v>
      </c>
      <c r="B931" s="3" t="s">
        <v>2142</v>
      </c>
      <c r="C931" s="109">
        <v>30228.460000000006</v>
      </c>
    </row>
    <row r="932" spans="1:3" ht="15" x14ac:dyDescent="0.25">
      <c r="A932" s="108" t="s">
        <v>2143</v>
      </c>
      <c r="B932" s="3" t="s">
        <v>2144</v>
      </c>
      <c r="C932" s="109">
        <v>20332.170000000002</v>
      </c>
    </row>
    <row r="933" spans="1:3" ht="15" x14ac:dyDescent="0.25">
      <c r="A933" s="108" t="s">
        <v>2145</v>
      </c>
      <c r="B933" s="3" t="s">
        <v>2146</v>
      </c>
      <c r="C933" s="109">
        <v>34932.089999999997</v>
      </c>
    </row>
    <row r="934" spans="1:3" ht="15" x14ac:dyDescent="0.25">
      <c r="A934" s="108" t="s">
        <v>2147</v>
      </c>
      <c r="B934" s="3" t="s">
        <v>2148</v>
      </c>
      <c r="C934" s="109">
        <v>84156.290000000037</v>
      </c>
    </row>
    <row r="935" spans="1:3" ht="15" x14ac:dyDescent="0.25">
      <c r="A935" s="108" t="s">
        <v>2149</v>
      </c>
      <c r="B935" s="3" t="s">
        <v>2150</v>
      </c>
      <c r="C935" s="109">
        <v>46471.22</v>
      </c>
    </row>
    <row r="936" spans="1:3" ht="15" x14ac:dyDescent="0.25">
      <c r="A936" s="108" t="s">
        <v>2151</v>
      </c>
      <c r="B936" s="3" t="s">
        <v>2152</v>
      </c>
      <c r="C936" s="109">
        <v>14201.3</v>
      </c>
    </row>
    <row r="937" spans="1:3" ht="15" x14ac:dyDescent="0.25">
      <c r="A937" s="108" t="s">
        <v>2153</v>
      </c>
      <c r="B937" s="3" t="s">
        <v>2154</v>
      </c>
      <c r="C937" s="109">
        <v>22668.97</v>
      </c>
    </row>
    <row r="938" spans="1:3" ht="15" x14ac:dyDescent="0.25">
      <c r="A938" s="108" t="s">
        <v>2155</v>
      </c>
      <c r="B938" s="3" t="s">
        <v>2156</v>
      </c>
      <c r="C938" s="109">
        <v>269.85999999999996</v>
      </c>
    </row>
    <row r="939" spans="1:3" ht="15" x14ac:dyDescent="0.25">
      <c r="A939" s="108" t="s">
        <v>2157</v>
      </c>
      <c r="B939" s="3" t="s">
        <v>2158</v>
      </c>
      <c r="C939" s="109">
        <v>123313.59999999999</v>
      </c>
    </row>
    <row r="940" spans="1:3" ht="15" x14ac:dyDescent="0.25">
      <c r="A940" s="108" t="s">
        <v>2159</v>
      </c>
      <c r="B940" s="3" t="s">
        <v>2160</v>
      </c>
      <c r="C940" s="109">
        <v>350074.39999999991</v>
      </c>
    </row>
    <row r="941" spans="1:3" ht="15" x14ac:dyDescent="0.25">
      <c r="A941" s="108" t="s">
        <v>2161</v>
      </c>
      <c r="B941" s="3" t="s">
        <v>2162</v>
      </c>
      <c r="C941" s="109">
        <v>19907.68</v>
      </c>
    </row>
    <row r="942" spans="1:3" ht="15" x14ac:dyDescent="0.25">
      <c r="A942" s="108" t="s">
        <v>2163</v>
      </c>
      <c r="B942" s="3" t="s">
        <v>2164</v>
      </c>
      <c r="C942" s="109">
        <v>80006.14</v>
      </c>
    </row>
    <row r="943" spans="1:3" ht="15" x14ac:dyDescent="0.25">
      <c r="A943" s="108" t="s">
        <v>2165</v>
      </c>
      <c r="B943" s="3" t="s">
        <v>2166</v>
      </c>
      <c r="C943" s="109">
        <v>10498.480000000003</v>
      </c>
    </row>
    <row r="944" spans="1:3" ht="15" x14ac:dyDescent="0.25">
      <c r="A944" s="108" t="s">
        <v>2167</v>
      </c>
      <c r="B944" s="3" t="s">
        <v>2168</v>
      </c>
      <c r="C944" s="109">
        <v>12530.960000000003</v>
      </c>
    </row>
    <row r="945" spans="1:3" ht="15" x14ac:dyDescent="0.25">
      <c r="A945" s="108" t="s">
        <v>2169</v>
      </c>
      <c r="B945" s="3" t="s">
        <v>2170</v>
      </c>
      <c r="C945" s="109">
        <v>207622.41</v>
      </c>
    </row>
    <row r="946" spans="1:3" ht="15" x14ac:dyDescent="0.25">
      <c r="A946" s="108" t="s">
        <v>2171</v>
      </c>
      <c r="B946" s="3" t="s">
        <v>2172</v>
      </c>
      <c r="C946" s="109">
        <v>344644.33999999985</v>
      </c>
    </row>
    <row r="947" spans="1:3" ht="15" x14ac:dyDescent="0.25">
      <c r="A947" s="108" t="s">
        <v>2173</v>
      </c>
      <c r="B947" s="3" t="s">
        <v>2174</v>
      </c>
      <c r="C947" s="109">
        <v>3154.25</v>
      </c>
    </row>
    <row r="948" spans="1:3" ht="15" x14ac:dyDescent="0.25">
      <c r="A948" s="108" t="s">
        <v>2175</v>
      </c>
      <c r="B948" s="3" t="s">
        <v>2176</v>
      </c>
      <c r="C948" s="109">
        <v>33854.550000000003</v>
      </c>
    </row>
    <row r="949" spans="1:3" ht="15" x14ac:dyDescent="0.25">
      <c r="A949" s="108" t="s">
        <v>2177</v>
      </c>
      <c r="B949" s="3" t="s">
        <v>2178</v>
      </c>
      <c r="C949" s="109">
        <v>85057.34</v>
      </c>
    </row>
    <row r="950" spans="1:3" ht="15" x14ac:dyDescent="0.25">
      <c r="A950" s="108" t="s">
        <v>2179</v>
      </c>
      <c r="B950" s="3" t="s">
        <v>2180</v>
      </c>
      <c r="C950" s="109">
        <v>6866.34</v>
      </c>
    </row>
    <row r="951" spans="1:3" ht="15" x14ac:dyDescent="0.25">
      <c r="A951" s="108" t="s">
        <v>2181</v>
      </c>
      <c r="B951" s="3" t="s">
        <v>2182</v>
      </c>
      <c r="C951" s="109">
        <v>61408.370000000017</v>
      </c>
    </row>
    <row r="952" spans="1:3" ht="15" x14ac:dyDescent="0.25">
      <c r="A952" s="108" t="s">
        <v>2183</v>
      </c>
      <c r="B952" s="3" t="s">
        <v>2184</v>
      </c>
      <c r="C952" s="109">
        <v>102010.41</v>
      </c>
    </row>
    <row r="953" spans="1:3" ht="15" x14ac:dyDescent="0.25">
      <c r="A953" s="108" t="s">
        <v>2185</v>
      </c>
      <c r="B953" s="3" t="s">
        <v>2186</v>
      </c>
      <c r="C953" s="109">
        <v>50005.829999999994</v>
      </c>
    </row>
    <row r="954" spans="1:3" ht="15" x14ac:dyDescent="0.25">
      <c r="A954" s="108" t="s">
        <v>2187</v>
      </c>
      <c r="B954" s="3" t="s">
        <v>2188</v>
      </c>
      <c r="C954" s="109">
        <v>41434.949999999997</v>
      </c>
    </row>
    <row r="955" spans="1:3" ht="15" x14ac:dyDescent="0.25">
      <c r="A955" s="108" t="s">
        <v>2189</v>
      </c>
      <c r="B955" s="3" t="s">
        <v>2190</v>
      </c>
      <c r="C955" s="109">
        <v>394561.29</v>
      </c>
    </row>
    <row r="956" spans="1:3" ht="15" x14ac:dyDescent="0.25">
      <c r="A956" s="108" t="s">
        <v>2191</v>
      </c>
      <c r="B956" s="3" t="s">
        <v>2192</v>
      </c>
      <c r="C956" s="109">
        <v>252288.53000000012</v>
      </c>
    </row>
    <row r="957" spans="1:3" ht="15" x14ac:dyDescent="0.25">
      <c r="A957" s="108" t="s">
        <v>2193</v>
      </c>
      <c r="B957" s="3" t="s">
        <v>2194</v>
      </c>
      <c r="C957" s="109">
        <v>171065.09999999995</v>
      </c>
    </row>
    <row r="958" spans="1:3" ht="15" x14ac:dyDescent="0.25">
      <c r="A958" s="108" t="s">
        <v>2195</v>
      </c>
      <c r="B958" s="3" t="s">
        <v>2196</v>
      </c>
      <c r="C958" s="109">
        <v>82587.23</v>
      </c>
    </row>
    <row r="959" spans="1:3" ht="15" x14ac:dyDescent="0.25">
      <c r="A959" s="108" t="s">
        <v>2197</v>
      </c>
      <c r="B959" s="3" t="s">
        <v>2198</v>
      </c>
      <c r="C959" s="109">
        <v>38790.42</v>
      </c>
    </row>
    <row r="960" spans="1:3" ht="15" x14ac:dyDescent="0.25">
      <c r="A960" s="108" t="s">
        <v>2199</v>
      </c>
      <c r="B960" s="3" t="s">
        <v>2200</v>
      </c>
      <c r="C960" s="109">
        <v>101691.52000000002</v>
      </c>
    </row>
    <row r="961" spans="1:3" ht="15" x14ac:dyDescent="0.25">
      <c r="A961" s="108" t="s">
        <v>2201</v>
      </c>
      <c r="B961" s="3" t="s">
        <v>2202</v>
      </c>
      <c r="C961" s="109">
        <v>35090.889999999992</v>
      </c>
    </row>
    <row r="962" spans="1:3" ht="15" x14ac:dyDescent="0.25">
      <c r="A962" s="108" t="s">
        <v>2203</v>
      </c>
      <c r="B962" s="3" t="s">
        <v>2204</v>
      </c>
      <c r="C962" s="109">
        <v>188769.49999999997</v>
      </c>
    </row>
    <row r="963" spans="1:3" ht="15" x14ac:dyDescent="0.25">
      <c r="A963" s="108" t="s">
        <v>2205</v>
      </c>
      <c r="B963" s="3" t="s">
        <v>2206</v>
      </c>
      <c r="C963" s="109">
        <v>60312.580000000009</v>
      </c>
    </row>
    <row r="964" spans="1:3" ht="15" x14ac:dyDescent="0.25">
      <c r="A964" s="108" t="s">
        <v>2207</v>
      </c>
      <c r="B964" s="3" t="s">
        <v>2208</v>
      </c>
      <c r="C964" s="109">
        <v>30000.38</v>
      </c>
    </row>
    <row r="965" spans="1:3" ht="15" x14ac:dyDescent="0.25">
      <c r="A965" s="108" t="s">
        <v>2209</v>
      </c>
      <c r="B965" s="3" t="s">
        <v>2210</v>
      </c>
      <c r="C965" s="109">
        <v>75097.67</v>
      </c>
    </row>
    <row r="966" spans="1:3" ht="15" x14ac:dyDescent="0.25">
      <c r="A966" s="108" t="s">
        <v>2211</v>
      </c>
      <c r="B966" s="3" t="s">
        <v>2212</v>
      </c>
      <c r="C966" s="109">
        <v>48492.790000000015</v>
      </c>
    </row>
    <row r="967" spans="1:3" ht="15" x14ac:dyDescent="0.25">
      <c r="A967" s="108" t="s">
        <v>2213</v>
      </c>
      <c r="B967" s="3" t="s">
        <v>2214</v>
      </c>
      <c r="C967" s="109">
        <v>119696.02</v>
      </c>
    </row>
    <row r="968" spans="1:3" ht="15" x14ac:dyDescent="0.25">
      <c r="A968" s="108" t="s">
        <v>2215</v>
      </c>
      <c r="B968" s="3" t="s">
        <v>2216</v>
      </c>
      <c r="C968" s="109">
        <v>3859.0399999999995</v>
      </c>
    </row>
    <row r="969" spans="1:3" ht="15" x14ac:dyDescent="0.25">
      <c r="A969" s="108" t="s">
        <v>2217</v>
      </c>
      <c r="B969" s="3" t="s">
        <v>2218</v>
      </c>
      <c r="C969" s="109">
        <v>191687.19999999995</v>
      </c>
    </row>
    <row r="970" spans="1:3" ht="15" x14ac:dyDescent="0.25">
      <c r="A970" s="108" t="s">
        <v>2219</v>
      </c>
      <c r="B970" s="3" t="s">
        <v>2220</v>
      </c>
      <c r="C970" s="109">
        <v>23657.99</v>
      </c>
    </row>
    <row r="971" spans="1:3" ht="15" x14ac:dyDescent="0.25">
      <c r="A971" s="108" t="s">
        <v>2221</v>
      </c>
      <c r="B971" s="3" t="s">
        <v>2222</v>
      </c>
      <c r="C971" s="109">
        <v>20689.93</v>
      </c>
    </row>
    <row r="972" spans="1:3" ht="15" x14ac:dyDescent="0.25">
      <c r="A972" s="108" t="s">
        <v>2223</v>
      </c>
      <c r="B972" s="3" t="s">
        <v>2224</v>
      </c>
      <c r="C972" s="109">
        <v>36856.120000000003</v>
      </c>
    </row>
    <row r="973" spans="1:3" ht="15" x14ac:dyDescent="0.25">
      <c r="A973" s="108" t="s">
        <v>2225</v>
      </c>
      <c r="B973" s="3" t="s">
        <v>2226</v>
      </c>
      <c r="C973" s="109">
        <v>36856.120000000003</v>
      </c>
    </row>
    <row r="974" spans="1:3" ht="15" x14ac:dyDescent="0.25">
      <c r="A974" s="108" t="s">
        <v>2227</v>
      </c>
      <c r="B974" s="3" t="s">
        <v>2228</v>
      </c>
      <c r="C974" s="109">
        <v>36856.119999999995</v>
      </c>
    </row>
    <row r="975" spans="1:3" ht="15" x14ac:dyDescent="0.25">
      <c r="A975" s="108" t="s">
        <v>2229</v>
      </c>
      <c r="B975" s="3" t="s">
        <v>2230</v>
      </c>
      <c r="C975" s="109">
        <v>103750.43</v>
      </c>
    </row>
    <row r="976" spans="1:3" ht="15" x14ac:dyDescent="0.25">
      <c r="A976" s="108" t="s">
        <v>2231</v>
      </c>
      <c r="B976" s="3" t="s">
        <v>2232</v>
      </c>
      <c r="C976" s="109">
        <v>56814.19999999999</v>
      </c>
    </row>
    <row r="977" spans="1:3" ht="15" x14ac:dyDescent="0.25">
      <c r="A977" s="108" t="s">
        <v>2233</v>
      </c>
      <c r="B977" s="3" t="s">
        <v>2234</v>
      </c>
      <c r="C977" s="109">
        <v>10451.269999999999</v>
      </c>
    </row>
    <row r="978" spans="1:3" ht="15" x14ac:dyDescent="0.25">
      <c r="A978" s="108" t="s">
        <v>2235</v>
      </c>
      <c r="B978" s="3" t="s">
        <v>2236</v>
      </c>
      <c r="C978" s="109">
        <v>19959.259999999995</v>
      </c>
    </row>
    <row r="979" spans="1:3" ht="15" x14ac:dyDescent="0.25">
      <c r="A979" s="108" t="s">
        <v>2237</v>
      </c>
      <c r="B979" s="3" t="s">
        <v>2238</v>
      </c>
      <c r="C979" s="109">
        <v>118039.07999999997</v>
      </c>
    </row>
    <row r="980" spans="1:3" ht="15" x14ac:dyDescent="0.25">
      <c r="A980" s="108" t="s">
        <v>2239</v>
      </c>
      <c r="B980" s="3" t="s">
        <v>2240</v>
      </c>
      <c r="C980" s="109">
        <v>66145.740000000005</v>
      </c>
    </row>
    <row r="981" spans="1:3" ht="15" x14ac:dyDescent="0.25">
      <c r="A981" s="108" t="s">
        <v>2241</v>
      </c>
      <c r="B981" s="3" t="s">
        <v>2242</v>
      </c>
      <c r="C981" s="109">
        <v>84607.550000000017</v>
      </c>
    </row>
    <row r="982" spans="1:3" ht="15" x14ac:dyDescent="0.25">
      <c r="A982" s="108" t="s">
        <v>2243</v>
      </c>
      <c r="B982" s="3" t="s">
        <v>2244</v>
      </c>
      <c r="C982" s="109">
        <v>32033.55</v>
      </c>
    </row>
    <row r="983" spans="1:3" ht="15" x14ac:dyDescent="0.25">
      <c r="A983" s="108" t="s">
        <v>2245</v>
      </c>
      <c r="B983" s="3" t="s">
        <v>2246</v>
      </c>
      <c r="C983" s="109">
        <v>4307.95</v>
      </c>
    </row>
    <row r="984" spans="1:3" ht="15" x14ac:dyDescent="0.25">
      <c r="A984" s="108" t="s">
        <v>2247</v>
      </c>
      <c r="B984" s="3" t="s">
        <v>2248</v>
      </c>
      <c r="C984" s="109">
        <v>3125.41</v>
      </c>
    </row>
    <row r="985" spans="1:3" ht="15" x14ac:dyDescent="0.25">
      <c r="A985" s="108" t="s">
        <v>2249</v>
      </c>
      <c r="B985" s="3" t="s">
        <v>2250</v>
      </c>
      <c r="C985" s="109">
        <v>43540.340000000004</v>
      </c>
    </row>
    <row r="986" spans="1:3" ht="15" x14ac:dyDescent="0.25">
      <c r="A986" s="108" t="s">
        <v>2251</v>
      </c>
      <c r="B986" s="3" t="s">
        <v>2252</v>
      </c>
      <c r="C986" s="109">
        <v>7565.9400000000005</v>
      </c>
    </row>
    <row r="987" spans="1:3" ht="15" x14ac:dyDescent="0.25">
      <c r="A987" s="108" t="s">
        <v>2253</v>
      </c>
      <c r="B987" s="3" t="s">
        <v>2254</v>
      </c>
      <c r="C987" s="109">
        <v>15608.939999999999</v>
      </c>
    </row>
    <row r="988" spans="1:3" ht="15" x14ac:dyDescent="0.25">
      <c r="A988" s="108" t="s">
        <v>2255</v>
      </c>
      <c r="B988" s="3" t="s">
        <v>2256</v>
      </c>
      <c r="C988" s="109">
        <v>9329.4500000000007</v>
      </c>
    </row>
    <row r="989" spans="1:3" ht="15" x14ac:dyDescent="0.25">
      <c r="A989" s="108" t="s">
        <v>2257</v>
      </c>
      <c r="B989" s="3" t="s">
        <v>2258</v>
      </c>
      <c r="C989" s="109">
        <v>15498.919999999998</v>
      </c>
    </row>
    <row r="990" spans="1:3" ht="15" x14ac:dyDescent="0.25">
      <c r="A990" s="108" t="s">
        <v>2259</v>
      </c>
      <c r="B990" s="3" t="s">
        <v>2260</v>
      </c>
      <c r="C990" s="109">
        <v>20263.379999999997</v>
      </c>
    </row>
    <row r="991" spans="1:3" ht="15" x14ac:dyDescent="0.25">
      <c r="A991" s="108" t="s">
        <v>2261</v>
      </c>
      <c r="B991" s="3" t="s">
        <v>2262</v>
      </c>
      <c r="C991" s="109">
        <v>99552</v>
      </c>
    </row>
    <row r="992" spans="1:3" ht="15" x14ac:dyDescent="0.25">
      <c r="A992" s="108" t="s">
        <v>2263</v>
      </c>
      <c r="B992" s="3" t="s">
        <v>2264</v>
      </c>
      <c r="C992" s="109">
        <v>13997.2</v>
      </c>
    </row>
    <row r="993" spans="1:3" ht="15" x14ac:dyDescent="0.25">
      <c r="A993" s="108" t="s">
        <v>2265</v>
      </c>
      <c r="B993" s="3" t="s">
        <v>2266</v>
      </c>
      <c r="C993" s="109">
        <v>22636.879999999986</v>
      </c>
    </row>
    <row r="994" spans="1:3" ht="15" x14ac:dyDescent="0.25">
      <c r="A994" s="108" t="s">
        <v>2267</v>
      </c>
      <c r="B994" s="3" t="s">
        <v>2268</v>
      </c>
      <c r="C994" s="109">
        <v>43562.19</v>
      </c>
    </row>
    <row r="995" spans="1:3" ht="15" x14ac:dyDescent="0.25">
      <c r="A995" s="108" t="s">
        <v>2269</v>
      </c>
      <c r="B995" s="3" t="s">
        <v>2270</v>
      </c>
      <c r="C995" s="109">
        <v>5532.7100000000009</v>
      </c>
    </row>
    <row r="996" spans="1:3" ht="15" x14ac:dyDescent="0.25">
      <c r="A996" s="108" t="s">
        <v>2271</v>
      </c>
      <c r="B996" s="3" t="s">
        <v>2272</v>
      </c>
      <c r="C996" s="109">
        <v>363255.7900000001</v>
      </c>
    </row>
    <row r="997" spans="1:3" ht="15" x14ac:dyDescent="0.25">
      <c r="A997" s="108" t="s">
        <v>2273</v>
      </c>
      <c r="B997" s="3" t="s">
        <v>2274</v>
      </c>
      <c r="C997" s="109">
        <v>48446.580000000009</v>
      </c>
    </row>
    <row r="998" spans="1:3" ht="15" x14ac:dyDescent="0.25">
      <c r="A998" s="108" t="s">
        <v>2275</v>
      </c>
      <c r="B998" s="3" t="s">
        <v>2276</v>
      </c>
      <c r="C998" s="109">
        <v>37408.410000000003</v>
      </c>
    </row>
    <row r="999" spans="1:3" ht="15" x14ac:dyDescent="0.25">
      <c r="A999" s="108" t="s">
        <v>2277</v>
      </c>
      <c r="B999" s="3" t="s">
        <v>2278</v>
      </c>
      <c r="C999" s="109">
        <v>16837.919999999998</v>
      </c>
    </row>
    <row r="1000" spans="1:3" ht="15" x14ac:dyDescent="0.25">
      <c r="A1000" s="108" t="s">
        <v>2279</v>
      </c>
      <c r="B1000" s="3" t="s">
        <v>2280</v>
      </c>
      <c r="C1000" s="109">
        <v>14492.630000000001</v>
      </c>
    </row>
    <row r="1001" spans="1:3" ht="15" x14ac:dyDescent="0.25">
      <c r="A1001" s="108" t="s">
        <v>2281</v>
      </c>
      <c r="B1001" s="3" t="s">
        <v>2282</v>
      </c>
      <c r="C1001" s="109">
        <v>8755.33</v>
      </c>
    </row>
    <row r="1002" spans="1:3" ht="15" x14ac:dyDescent="0.25">
      <c r="A1002" s="108" t="s">
        <v>2283</v>
      </c>
      <c r="B1002" s="3" t="s">
        <v>2284</v>
      </c>
      <c r="C1002" s="109">
        <v>285808.68</v>
      </c>
    </row>
    <row r="1003" spans="1:3" ht="15" x14ac:dyDescent="0.25">
      <c r="A1003" s="108" t="s">
        <v>2285</v>
      </c>
      <c r="B1003" s="3" t="s">
        <v>2286</v>
      </c>
      <c r="C1003" s="109">
        <v>169527.35</v>
      </c>
    </row>
    <row r="1004" spans="1:3" ht="15" x14ac:dyDescent="0.25">
      <c r="A1004" s="108" t="s">
        <v>2287</v>
      </c>
      <c r="B1004" s="3" t="s">
        <v>2288</v>
      </c>
      <c r="C1004" s="109">
        <v>13898.49</v>
      </c>
    </row>
    <row r="1005" spans="1:3" ht="15" x14ac:dyDescent="0.25">
      <c r="A1005" s="108" t="s">
        <v>2289</v>
      </c>
      <c r="B1005" s="3" t="s">
        <v>2290</v>
      </c>
      <c r="C1005" s="109">
        <v>188282.80000000002</v>
      </c>
    </row>
    <row r="1006" spans="1:3" ht="15" x14ac:dyDescent="0.25">
      <c r="A1006" s="108" t="s">
        <v>2291</v>
      </c>
      <c r="B1006" s="3" t="s">
        <v>2292</v>
      </c>
      <c r="C1006" s="109">
        <v>12849.19</v>
      </c>
    </row>
    <row r="1007" spans="1:3" ht="15" x14ac:dyDescent="0.25">
      <c r="A1007" s="108" t="s">
        <v>2293</v>
      </c>
      <c r="B1007" s="3" t="s">
        <v>2294</v>
      </c>
      <c r="C1007" s="109">
        <v>14219.43</v>
      </c>
    </row>
    <row r="1008" spans="1:3" ht="15" x14ac:dyDescent="0.25">
      <c r="A1008" s="108" t="s">
        <v>2295</v>
      </c>
      <c r="B1008" s="3" t="s">
        <v>2296</v>
      </c>
      <c r="C1008" s="109">
        <v>5133.5199999999995</v>
      </c>
    </row>
    <row r="1009" spans="1:3" ht="15" x14ac:dyDescent="0.25">
      <c r="A1009" s="108" t="s">
        <v>2297</v>
      </c>
      <c r="B1009" s="3" t="s">
        <v>2298</v>
      </c>
      <c r="C1009" s="109">
        <v>19095.88</v>
      </c>
    </row>
    <row r="1010" spans="1:3" ht="15" x14ac:dyDescent="0.25">
      <c r="A1010" s="108" t="s">
        <v>2299</v>
      </c>
      <c r="B1010" s="3" t="s">
        <v>2300</v>
      </c>
      <c r="C1010" s="109">
        <v>22500</v>
      </c>
    </row>
    <row r="1011" spans="1:3" ht="15" x14ac:dyDescent="0.25">
      <c r="A1011" s="108" t="s">
        <v>2301</v>
      </c>
      <c r="B1011" s="3" t="s">
        <v>2302</v>
      </c>
      <c r="C1011" s="109">
        <v>22057.64</v>
      </c>
    </row>
    <row r="1012" spans="1:3" ht="15" x14ac:dyDescent="0.25">
      <c r="A1012" s="108" t="s">
        <v>2303</v>
      </c>
      <c r="B1012" s="3" t="s">
        <v>2304</v>
      </c>
      <c r="C1012" s="109">
        <v>11713.880000000001</v>
      </c>
    </row>
    <row r="1013" spans="1:3" ht="15" x14ac:dyDescent="0.25">
      <c r="A1013" s="108" t="s">
        <v>2305</v>
      </c>
      <c r="B1013" s="3" t="s">
        <v>2306</v>
      </c>
      <c r="C1013" s="109">
        <v>22750.38</v>
      </c>
    </row>
    <row r="1014" spans="1:3" ht="15" x14ac:dyDescent="0.25">
      <c r="A1014" s="108" t="s">
        <v>2307</v>
      </c>
      <c r="B1014" s="3" t="s">
        <v>2308</v>
      </c>
      <c r="C1014" s="109">
        <v>23042.9</v>
      </c>
    </row>
    <row r="1015" spans="1:3" ht="15" x14ac:dyDescent="0.25">
      <c r="A1015" s="108" t="s">
        <v>2309</v>
      </c>
      <c r="B1015" s="3" t="s">
        <v>2310</v>
      </c>
      <c r="C1015" s="109">
        <v>8781.1099999999988</v>
      </c>
    </row>
    <row r="1016" spans="1:3" ht="15" x14ac:dyDescent="0.25">
      <c r="A1016" s="108" t="s">
        <v>2311</v>
      </c>
      <c r="B1016" s="3" t="s">
        <v>2312</v>
      </c>
      <c r="C1016" s="109">
        <v>104070.18</v>
      </c>
    </row>
    <row r="1017" spans="1:3" ht="15" x14ac:dyDescent="0.25">
      <c r="A1017" s="108" t="s">
        <v>2313</v>
      </c>
      <c r="B1017" s="3" t="s">
        <v>2314</v>
      </c>
      <c r="C1017" s="109">
        <v>4120.33</v>
      </c>
    </row>
    <row r="1018" spans="1:3" ht="15" x14ac:dyDescent="0.25">
      <c r="A1018" s="108" t="s">
        <v>2315</v>
      </c>
      <c r="B1018" s="3" t="s">
        <v>2316</v>
      </c>
      <c r="C1018" s="109">
        <v>154031.53</v>
      </c>
    </row>
    <row r="1019" spans="1:3" ht="15" x14ac:dyDescent="0.25">
      <c r="A1019" s="108" t="s">
        <v>2317</v>
      </c>
      <c r="B1019" s="3" t="s">
        <v>2318</v>
      </c>
      <c r="C1019" s="109">
        <v>136514.22</v>
      </c>
    </row>
    <row r="1020" spans="1:3" ht="15" x14ac:dyDescent="0.25">
      <c r="A1020" s="108" t="s">
        <v>2319</v>
      </c>
      <c r="B1020" s="3" t="s">
        <v>2320</v>
      </c>
      <c r="C1020" s="109">
        <v>13059.9</v>
      </c>
    </row>
    <row r="1021" spans="1:3" ht="15" x14ac:dyDescent="0.25">
      <c r="A1021" s="108" t="s">
        <v>2321</v>
      </c>
      <c r="B1021" s="3" t="s">
        <v>2322</v>
      </c>
      <c r="C1021" s="109">
        <v>21806.069999999992</v>
      </c>
    </row>
    <row r="1022" spans="1:3" ht="15" x14ac:dyDescent="0.25">
      <c r="A1022" s="108" t="s">
        <v>2323</v>
      </c>
      <c r="B1022" s="3" t="s">
        <v>2324</v>
      </c>
      <c r="C1022" s="109">
        <v>416684.89999999997</v>
      </c>
    </row>
    <row r="1023" spans="1:3" ht="15" x14ac:dyDescent="0.25">
      <c r="A1023" s="108" t="s">
        <v>2325</v>
      </c>
      <c r="B1023" s="3" t="s">
        <v>2326</v>
      </c>
      <c r="C1023" s="109">
        <v>131048.85</v>
      </c>
    </row>
    <row r="1024" spans="1:3" ht="15" x14ac:dyDescent="0.25">
      <c r="A1024" s="108" t="s">
        <v>2327</v>
      </c>
      <c r="B1024" s="3" t="s">
        <v>2328</v>
      </c>
      <c r="C1024" s="109">
        <v>119077.35000000003</v>
      </c>
    </row>
    <row r="1025" spans="1:3" ht="15" x14ac:dyDescent="0.25">
      <c r="A1025" s="108" t="s">
        <v>2329</v>
      </c>
      <c r="B1025" s="3" t="s">
        <v>2330</v>
      </c>
      <c r="C1025" s="109">
        <v>32107.7</v>
      </c>
    </row>
    <row r="1026" spans="1:3" ht="15" x14ac:dyDescent="0.25">
      <c r="A1026" s="108" t="s">
        <v>2331</v>
      </c>
      <c r="B1026" s="3" t="s">
        <v>2332</v>
      </c>
      <c r="C1026" s="109">
        <v>67509.47</v>
      </c>
    </row>
    <row r="1027" spans="1:3" ht="15" x14ac:dyDescent="0.25">
      <c r="A1027" s="108" t="s">
        <v>2333</v>
      </c>
      <c r="B1027" s="3" t="s">
        <v>2334</v>
      </c>
      <c r="C1027" s="109">
        <v>21139.129999999997</v>
      </c>
    </row>
    <row r="1028" spans="1:3" ht="15" x14ac:dyDescent="0.25">
      <c r="A1028" s="108" t="s">
        <v>2335</v>
      </c>
      <c r="B1028" s="3" t="s">
        <v>2336</v>
      </c>
      <c r="C1028" s="109">
        <v>38223.51999999999</v>
      </c>
    </row>
    <row r="1029" spans="1:3" ht="15" x14ac:dyDescent="0.25">
      <c r="A1029" s="108" t="s">
        <v>2337</v>
      </c>
      <c r="B1029" s="3" t="s">
        <v>2338</v>
      </c>
      <c r="C1029" s="109">
        <v>38246.87000000001</v>
      </c>
    </row>
    <row r="1030" spans="1:3" ht="15" x14ac:dyDescent="0.25">
      <c r="A1030" s="108" t="s">
        <v>2339</v>
      </c>
      <c r="B1030" s="3" t="s">
        <v>2340</v>
      </c>
      <c r="C1030" s="109">
        <v>5267.36</v>
      </c>
    </row>
    <row r="1031" spans="1:3" ht="15" x14ac:dyDescent="0.25">
      <c r="A1031" s="108" t="s">
        <v>2341</v>
      </c>
      <c r="B1031" s="3" t="s">
        <v>2342</v>
      </c>
      <c r="C1031" s="109">
        <v>13271.970000000001</v>
      </c>
    </row>
    <row r="1032" spans="1:3" ht="15" x14ac:dyDescent="0.25">
      <c r="A1032" s="108" t="s">
        <v>2343</v>
      </c>
      <c r="B1032" s="3" t="s">
        <v>2344</v>
      </c>
      <c r="C1032" s="109">
        <v>17546.18</v>
      </c>
    </row>
    <row r="1033" spans="1:3" ht="15" x14ac:dyDescent="0.25">
      <c r="A1033" s="108" t="s">
        <v>2345</v>
      </c>
      <c r="B1033" s="3" t="s">
        <v>2346</v>
      </c>
      <c r="C1033" s="109">
        <v>136935</v>
      </c>
    </row>
    <row r="1034" spans="1:3" ht="15" x14ac:dyDescent="0.25">
      <c r="A1034" s="108" t="s">
        <v>2347</v>
      </c>
      <c r="B1034" s="3" t="s">
        <v>2348</v>
      </c>
      <c r="C1034" s="109">
        <v>9282.1600000000017</v>
      </c>
    </row>
    <row r="1035" spans="1:3" ht="15" x14ac:dyDescent="0.25">
      <c r="A1035" s="108" t="s">
        <v>2349</v>
      </c>
      <c r="B1035" s="3" t="s">
        <v>2350</v>
      </c>
      <c r="C1035" s="109">
        <v>79468.77</v>
      </c>
    </row>
    <row r="1036" spans="1:3" ht="15" x14ac:dyDescent="0.25">
      <c r="A1036" s="108" t="s">
        <v>2351</v>
      </c>
      <c r="B1036" s="3" t="s">
        <v>2352</v>
      </c>
      <c r="C1036" s="109">
        <v>90644.489999999976</v>
      </c>
    </row>
    <row r="1037" spans="1:3" ht="15" x14ac:dyDescent="0.25">
      <c r="A1037" s="108" t="s">
        <v>2353</v>
      </c>
      <c r="B1037" s="3" t="s">
        <v>2354</v>
      </c>
      <c r="C1037" s="109">
        <v>10885.5</v>
      </c>
    </row>
    <row r="1038" spans="1:3" ht="15" x14ac:dyDescent="0.25">
      <c r="A1038" s="108" t="s">
        <v>2355</v>
      </c>
      <c r="B1038" s="3" t="s">
        <v>2356</v>
      </c>
      <c r="C1038" s="109">
        <v>12225</v>
      </c>
    </row>
    <row r="1039" spans="1:3" ht="15" x14ac:dyDescent="0.25">
      <c r="A1039" s="108" t="s">
        <v>2357</v>
      </c>
      <c r="B1039" s="3" t="s">
        <v>2358</v>
      </c>
      <c r="C1039" s="109">
        <v>27965.989999999998</v>
      </c>
    </row>
    <row r="1040" spans="1:3" ht="15" x14ac:dyDescent="0.25">
      <c r="A1040" s="108" t="s">
        <v>2359</v>
      </c>
      <c r="B1040" s="3" t="s">
        <v>2360</v>
      </c>
      <c r="C1040" s="109">
        <v>76474.91</v>
      </c>
    </row>
    <row r="1041" spans="1:3" ht="15" x14ac:dyDescent="0.25">
      <c r="A1041" s="108" t="s">
        <v>2361</v>
      </c>
      <c r="B1041" s="3" t="s">
        <v>2362</v>
      </c>
      <c r="C1041" s="109">
        <v>42544.15</v>
      </c>
    </row>
    <row r="1042" spans="1:3" ht="15" x14ac:dyDescent="0.25">
      <c r="A1042" s="108" t="s">
        <v>2363</v>
      </c>
      <c r="B1042" s="3" t="s">
        <v>2364</v>
      </c>
      <c r="C1042" s="109">
        <v>51128.44</v>
      </c>
    </row>
    <row r="1043" spans="1:3" ht="15" x14ac:dyDescent="0.25">
      <c r="A1043" s="108" t="s">
        <v>2365</v>
      </c>
      <c r="B1043" s="3" t="s">
        <v>2366</v>
      </c>
      <c r="C1043" s="109">
        <v>63757.579999999987</v>
      </c>
    </row>
    <row r="1044" spans="1:3" ht="15" x14ac:dyDescent="0.25">
      <c r="A1044" s="108" t="s">
        <v>2367</v>
      </c>
      <c r="B1044" s="3" t="s">
        <v>2368</v>
      </c>
      <c r="C1044" s="109">
        <v>26687.56</v>
      </c>
    </row>
    <row r="1045" spans="1:3" ht="15" x14ac:dyDescent="0.25">
      <c r="A1045" s="108" t="s">
        <v>2369</v>
      </c>
      <c r="B1045" s="3" t="s">
        <v>2370</v>
      </c>
      <c r="C1045" s="109">
        <v>69711.12</v>
      </c>
    </row>
    <row r="1046" spans="1:3" ht="15" x14ac:dyDescent="0.25">
      <c r="A1046" s="108" t="s">
        <v>2371</v>
      </c>
      <c r="B1046" s="3" t="s">
        <v>2372</v>
      </c>
      <c r="C1046" s="109">
        <v>29181.69</v>
      </c>
    </row>
    <row r="1047" spans="1:3" ht="15" x14ac:dyDescent="0.25">
      <c r="A1047" s="108" t="s">
        <v>2373</v>
      </c>
      <c r="B1047" s="3" t="s">
        <v>2374</v>
      </c>
      <c r="C1047" s="109">
        <v>46463.64</v>
      </c>
    </row>
    <row r="1048" spans="1:3" ht="15" x14ac:dyDescent="0.25">
      <c r="A1048" s="108" t="s">
        <v>2375</v>
      </c>
      <c r="B1048" s="3" t="s">
        <v>2376</v>
      </c>
      <c r="C1048" s="109">
        <v>28314.909999999996</v>
      </c>
    </row>
    <row r="1049" spans="1:3" ht="15" x14ac:dyDescent="0.25">
      <c r="A1049" s="108" t="s">
        <v>2377</v>
      </c>
      <c r="B1049" s="3" t="s">
        <v>2378</v>
      </c>
      <c r="C1049" s="109">
        <v>68519.539999999994</v>
      </c>
    </row>
    <row r="1050" spans="1:3" ht="15" x14ac:dyDescent="0.25">
      <c r="A1050" s="108" t="s">
        <v>2379</v>
      </c>
      <c r="B1050" s="3" t="s">
        <v>2380</v>
      </c>
      <c r="C1050" s="109">
        <v>6930.96</v>
      </c>
    </row>
    <row r="1051" spans="1:3" ht="15" x14ac:dyDescent="0.25">
      <c r="A1051" s="108" t="s">
        <v>2381</v>
      </c>
      <c r="B1051" s="3" t="s">
        <v>2382</v>
      </c>
      <c r="C1051" s="109">
        <v>29769.42</v>
      </c>
    </row>
    <row r="1052" spans="1:3" ht="15" x14ac:dyDescent="0.25">
      <c r="A1052" s="108" t="s">
        <v>2383</v>
      </c>
      <c r="B1052" s="3" t="s">
        <v>2384</v>
      </c>
      <c r="C1052" s="109">
        <v>87934.89</v>
      </c>
    </row>
    <row r="1053" spans="1:3" ht="15" x14ac:dyDescent="0.25">
      <c r="A1053" s="108" t="s">
        <v>2385</v>
      </c>
      <c r="B1053" s="3" t="s">
        <v>2386</v>
      </c>
      <c r="C1053" s="109">
        <v>24922.460000000006</v>
      </c>
    </row>
    <row r="1054" spans="1:3" ht="15" x14ac:dyDescent="0.25">
      <c r="A1054" s="108" t="s">
        <v>2387</v>
      </c>
      <c r="B1054" s="3" t="s">
        <v>2388</v>
      </c>
      <c r="C1054" s="109">
        <v>23720.400000000001</v>
      </c>
    </row>
    <row r="1055" spans="1:3" ht="15" x14ac:dyDescent="0.25">
      <c r="A1055" s="108" t="s">
        <v>2389</v>
      </c>
      <c r="B1055" s="3" t="s">
        <v>2390</v>
      </c>
      <c r="C1055" s="109">
        <v>163064.28</v>
      </c>
    </row>
    <row r="1056" spans="1:3" ht="15" x14ac:dyDescent="0.25">
      <c r="A1056" s="108" t="s">
        <v>2391</v>
      </c>
      <c r="B1056" s="3" t="s">
        <v>2392</v>
      </c>
      <c r="C1056" s="109">
        <v>53779.789999999994</v>
      </c>
    </row>
    <row r="1057" spans="1:3" ht="15" x14ac:dyDescent="0.25">
      <c r="A1057" s="108" t="s">
        <v>2393</v>
      </c>
      <c r="B1057" s="3" t="s">
        <v>2394</v>
      </c>
      <c r="C1057" s="109">
        <v>603981.17999999993</v>
      </c>
    </row>
    <row r="1058" spans="1:3" ht="15" x14ac:dyDescent="0.25">
      <c r="A1058" s="108" t="s">
        <v>2395</v>
      </c>
      <c r="B1058" s="3" t="s">
        <v>2396</v>
      </c>
      <c r="C1058" s="109">
        <v>6785.6100000000006</v>
      </c>
    </row>
    <row r="1059" spans="1:3" ht="15" x14ac:dyDescent="0.25">
      <c r="A1059" s="108" t="s">
        <v>2397</v>
      </c>
      <c r="B1059" s="3" t="s">
        <v>2398</v>
      </c>
      <c r="C1059" s="109">
        <v>17120.330000000002</v>
      </c>
    </row>
    <row r="1060" spans="1:3" ht="15" x14ac:dyDescent="0.25">
      <c r="A1060" s="108" t="s">
        <v>2399</v>
      </c>
      <c r="B1060" s="3" t="s">
        <v>2400</v>
      </c>
      <c r="C1060" s="109">
        <v>15606.48</v>
      </c>
    </row>
    <row r="1061" spans="1:3" ht="15" x14ac:dyDescent="0.25">
      <c r="A1061" s="108" t="s">
        <v>2401</v>
      </c>
      <c r="B1061" s="3" t="s">
        <v>2402</v>
      </c>
      <c r="C1061" s="109">
        <v>3695.7</v>
      </c>
    </row>
    <row r="1062" spans="1:3" ht="15" x14ac:dyDescent="0.25">
      <c r="A1062" s="108" t="s">
        <v>2403</v>
      </c>
      <c r="B1062" s="3" t="s">
        <v>2404</v>
      </c>
      <c r="C1062" s="109">
        <v>11621.07</v>
      </c>
    </row>
    <row r="1063" spans="1:3" ht="15" x14ac:dyDescent="0.25">
      <c r="A1063" s="108" t="s">
        <v>2405</v>
      </c>
      <c r="B1063" s="3" t="s">
        <v>2406</v>
      </c>
      <c r="C1063" s="109">
        <v>20688.680000000008</v>
      </c>
    </row>
    <row r="1064" spans="1:3" ht="15" x14ac:dyDescent="0.25">
      <c r="A1064" s="108" t="s">
        <v>2407</v>
      </c>
      <c r="B1064" s="3" t="s">
        <v>2408</v>
      </c>
      <c r="C1064" s="109">
        <v>43567</v>
      </c>
    </row>
    <row r="1065" spans="1:3" ht="15" x14ac:dyDescent="0.25">
      <c r="A1065" s="108" t="s">
        <v>2409</v>
      </c>
      <c r="B1065" s="3" t="s">
        <v>2410</v>
      </c>
      <c r="C1065" s="109">
        <v>27002</v>
      </c>
    </row>
    <row r="1066" spans="1:3" ht="15" x14ac:dyDescent="0.25">
      <c r="A1066" s="108" t="s">
        <v>2411</v>
      </c>
      <c r="B1066" s="3" t="s">
        <v>2412</v>
      </c>
      <c r="C1066" s="109">
        <v>26577.18</v>
      </c>
    </row>
    <row r="1067" spans="1:3" ht="15" x14ac:dyDescent="0.25">
      <c r="A1067" s="108" t="s">
        <v>2413</v>
      </c>
      <c r="B1067" s="3" t="s">
        <v>2414</v>
      </c>
      <c r="C1067" s="109">
        <v>35750.1</v>
      </c>
    </row>
    <row r="1068" spans="1:3" ht="15" x14ac:dyDescent="0.25">
      <c r="A1068" s="108" t="s">
        <v>2415</v>
      </c>
      <c r="B1068" s="3" t="s">
        <v>2416</v>
      </c>
      <c r="C1068" s="109">
        <v>822383.76999999979</v>
      </c>
    </row>
    <row r="1069" spans="1:3" ht="15" x14ac:dyDescent="0.25">
      <c r="A1069" s="108" t="s">
        <v>2417</v>
      </c>
      <c r="B1069" s="3" t="s">
        <v>2418</v>
      </c>
      <c r="C1069" s="109">
        <v>52882.61</v>
      </c>
    </row>
    <row r="1070" spans="1:3" ht="15" x14ac:dyDescent="0.25">
      <c r="A1070" s="108" t="s">
        <v>2419</v>
      </c>
      <c r="B1070" s="3" t="s">
        <v>2420</v>
      </c>
      <c r="C1070" s="109">
        <v>24491.22</v>
      </c>
    </row>
    <row r="1071" spans="1:3" ht="15" x14ac:dyDescent="0.25">
      <c r="A1071" s="108" t="s">
        <v>2421</v>
      </c>
      <c r="B1071" s="3" t="s">
        <v>2422</v>
      </c>
      <c r="C1071" s="109">
        <v>29293.42</v>
      </c>
    </row>
    <row r="1072" spans="1:3" ht="15" x14ac:dyDescent="0.25">
      <c r="A1072" s="108" t="s">
        <v>2423</v>
      </c>
      <c r="B1072" s="3" t="s">
        <v>2424</v>
      </c>
      <c r="C1072" s="109">
        <v>8971.3700000000008</v>
      </c>
    </row>
    <row r="1073" spans="1:3" ht="15" x14ac:dyDescent="0.25">
      <c r="A1073" s="108" t="s">
        <v>2425</v>
      </c>
      <c r="B1073" s="3" t="s">
        <v>2426</v>
      </c>
      <c r="C1073" s="109">
        <v>16396.400000000001</v>
      </c>
    </row>
    <row r="1074" spans="1:3" ht="15" x14ac:dyDescent="0.25">
      <c r="A1074" s="108" t="s">
        <v>2427</v>
      </c>
      <c r="B1074" s="3" t="s">
        <v>2428</v>
      </c>
      <c r="C1074" s="109">
        <v>12145.37</v>
      </c>
    </row>
    <row r="1075" spans="1:3" ht="15" x14ac:dyDescent="0.25">
      <c r="A1075" s="108" t="s">
        <v>2429</v>
      </c>
      <c r="B1075" s="3" t="s">
        <v>2430</v>
      </c>
      <c r="C1075" s="109">
        <v>9625.57</v>
      </c>
    </row>
    <row r="1076" spans="1:3" ht="15" x14ac:dyDescent="0.25">
      <c r="A1076" s="108" t="s">
        <v>2431</v>
      </c>
      <c r="B1076" s="3" t="s">
        <v>2432</v>
      </c>
      <c r="C1076" s="109">
        <v>4395.83</v>
      </c>
    </row>
    <row r="1077" spans="1:3" ht="15" x14ac:dyDescent="0.25">
      <c r="A1077" s="108" t="s">
        <v>2433</v>
      </c>
      <c r="B1077" s="3" t="s">
        <v>2434</v>
      </c>
      <c r="C1077" s="109">
        <v>23867.08</v>
      </c>
    </row>
    <row r="1078" spans="1:3" ht="15" x14ac:dyDescent="0.25">
      <c r="A1078" s="108" t="s">
        <v>2435</v>
      </c>
      <c r="B1078" s="3" t="s">
        <v>2436</v>
      </c>
      <c r="C1078" s="109">
        <v>63763.509999999995</v>
      </c>
    </row>
    <row r="1079" spans="1:3" ht="15" x14ac:dyDescent="0.25">
      <c r="A1079" s="108" t="s">
        <v>2437</v>
      </c>
      <c r="B1079" s="3" t="s">
        <v>2438</v>
      </c>
      <c r="C1079" s="109">
        <v>3837.84</v>
      </c>
    </row>
    <row r="1080" spans="1:3" ht="15" x14ac:dyDescent="0.25">
      <c r="A1080" s="108" t="s">
        <v>2439</v>
      </c>
      <c r="B1080" s="3" t="s">
        <v>2440</v>
      </c>
      <c r="C1080" s="109">
        <v>3496.93</v>
      </c>
    </row>
    <row r="1081" spans="1:3" ht="15" x14ac:dyDescent="0.25">
      <c r="A1081" s="108" t="s">
        <v>2441</v>
      </c>
      <c r="B1081" s="3" t="s">
        <v>2442</v>
      </c>
      <c r="C1081" s="109">
        <v>4984.5199999999986</v>
      </c>
    </row>
    <row r="1082" spans="1:3" ht="15" x14ac:dyDescent="0.25">
      <c r="A1082" s="108" t="s">
        <v>2443</v>
      </c>
      <c r="B1082" s="3" t="s">
        <v>2444</v>
      </c>
      <c r="C1082" s="109">
        <v>11453.29</v>
      </c>
    </row>
    <row r="1083" spans="1:3" ht="15" x14ac:dyDescent="0.25">
      <c r="A1083" s="108" t="s">
        <v>2445</v>
      </c>
      <c r="B1083" s="3" t="s">
        <v>2446</v>
      </c>
      <c r="C1083" s="109">
        <v>4629.78</v>
      </c>
    </row>
    <row r="1084" spans="1:3" ht="15" x14ac:dyDescent="0.25">
      <c r="A1084" s="108" t="s">
        <v>2447</v>
      </c>
      <c r="B1084" s="3" t="s">
        <v>2448</v>
      </c>
      <c r="C1084" s="109">
        <v>36536.44</v>
      </c>
    </row>
    <row r="1085" spans="1:3" ht="15" x14ac:dyDescent="0.25">
      <c r="A1085" s="108" t="s">
        <v>2449</v>
      </c>
      <c r="B1085" s="3" t="s">
        <v>2450</v>
      </c>
      <c r="C1085" s="109">
        <v>14464.879999999997</v>
      </c>
    </row>
    <row r="1086" spans="1:3" ht="15" x14ac:dyDescent="0.25">
      <c r="A1086" s="108" t="s">
        <v>2451</v>
      </c>
      <c r="B1086" s="3" t="s">
        <v>2452</v>
      </c>
      <c r="C1086" s="109">
        <v>7104.0000000000009</v>
      </c>
    </row>
    <row r="1087" spans="1:3" ht="15" x14ac:dyDescent="0.25">
      <c r="A1087" s="108" t="s">
        <v>2453</v>
      </c>
      <c r="B1087" s="3" t="s">
        <v>2454</v>
      </c>
      <c r="C1087" s="109">
        <v>7864.94</v>
      </c>
    </row>
    <row r="1088" spans="1:3" ht="15" x14ac:dyDescent="0.25">
      <c r="A1088" s="108" t="s">
        <v>2455</v>
      </c>
      <c r="B1088" s="3" t="s">
        <v>2456</v>
      </c>
      <c r="C1088" s="109">
        <v>132040.65</v>
      </c>
    </row>
    <row r="1089" spans="1:3" ht="15" x14ac:dyDescent="0.25">
      <c r="A1089" s="108" t="s">
        <v>2457</v>
      </c>
      <c r="B1089" s="3" t="s">
        <v>2458</v>
      </c>
      <c r="C1089" s="109">
        <v>2202.2399999999998</v>
      </c>
    </row>
    <row r="1090" spans="1:3" ht="15" x14ac:dyDescent="0.25">
      <c r="A1090" s="108" t="s">
        <v>2459</v>
      </c>
      <c r="B1090" s="3" t="s">
        <v>2460</v>
      </c>
      <c r="C1090" s="109">
        <v>23985.79</v>
      </c>
    </row>
    <row r="1091" spans="1:3" ht="15" x14ac:dyDescent="0.25">
      <c r="A1091" s="108" t="s">
        <v>2461</v>
      </c>
      <c r="B1091" s="3" t="s">
        <v>2462</v>
      </c>
      <c r="C1091" s="109">
        <v>396770.28</v>
      </c>
    </row>
    <row r="1092" spans="1:3" ht="15" x14ac:dyDescent="0.25">
      <c r="A1092" s="108" t="s">
        <v>2463</v>
      </c>
      <c r="B1092" s="3" t="s">
        <v>2464</v>
      </c>
      <c r="C1092" s="109">
        <v>29226.23</v>
      </c>
    </row>
    <row r="1093" spans="1:3" ht="15" x14ac:dyDescent="0.25">
      <c r="A1093" s="108" t="s">
        <v>2465</v>
      </c>
      <c r="B1093" s="3" t="s">
        <v>2466</v>
      </c>
      <c r="C1093" s="109">
        <v>26889.46</v>
      </c>
    </row>
    <row r="1094" spans="1:3" ht="15" x14ac:dyDescent="0.25">
      <c r="A1094" s="108" t="s">
        <v>2467</v>
      </c>
      <c r="B1094" s="3" t="s">
        <v>2468</v>
      </c>
      <c r="C1094" s="109">
        <v>3547.0499999999997</v>
      </c>
    </row>
    <row r="1095" spans="1:3" ht="15" x14ac:dyDescent="0.25">
      <c r="A1095" s="108" t="s">
        <v>2469</v>
      </c>
      <c r="B1095" s="3" t="s">
        <v>2470</v>
      </c>
      <c r="C1095" s="109">
        <v>11020.04</v>
      </c>
    </row>
    <row r="1096" spans="1:3" ht="15" x14ac:dyDescent="0.25">
      <c r="A1096" s="108" t="s">
        <v>2471</v>
      </c>
      <c r="B1096" s="3" t="s">
        <v>2472</v>
      </c>
      <c r="C1096" s="109">
        <v>34599.370000000003</v>
      </c>
    </row>
    <row r="1097" spans="1:3" ht="15" x14ac:dyDescent="0.25">
      <c r="A1097" s="108" t="s">
        <v>2473</v>
      </c>
      <c r="B1097" s="3" t="s">
        <v>2474</v>
      </c>
      <c r="C1097" s="109">
        <v>27348.190000000002</v>
      </c>
    </row>
    <row r="1098" spans="1:3" ht="15" x14ac:dyDescent="0.25">
      <c r="A1098" s="108" t="s">
        <v>2475</v>
      </c>
      <c r="B1098" s="3" t="s">
        <v>2476</v>
      </c>
      <c r="C1098" s="109">
        <v>33664.839999999997</v>
      </c>
    </row>
    <row r="1099" spans="1:3" ht="15" x14ac:dyDescent="0.25">
      <c r="A1099" s="108" t="s">
        <v>2477</v>
      </c>
      <c r="B1099" s="3" t="s">
        <v>2478</v>
      </c>
      <c r="C1099" s="109">
        <v>20809.300000000003</v>
      </c>
    </row>
    <row r="1100" spans="1:3" ht="15" x14ac:dyDescent="0.25">
      <c r="A1100" s="108" t="s">
        <v>2479</v>
      </c>
      <c r="B1100" s="3" t="s">
        <v>2480</v>
      </c>
      <c r="C1100" s="109">
        <v>56011.11</v>
      </c>
    </row>
    <row r="1101" spans="1:3" ht="15" x14ac:dyDescent="0.25">
      <c r="A1101" s="108" t="s">
        <v>2481</v>
      </c>
      <c r="B1101" s="3" t="s">
        <v>2482</v>
      </c>
      <c r="C1101" s="109">
        <v>58307.34</v>
      </c>
    </row>
    <row r="1102" spans="1:3" ht="15" x14ac:dyDescent="0.25">
      <c r="A1102" s="108" t="s">
        <v>2483</v>
      </c>
      <c r="B1102" s="3" t="s">
        <v>2484</v>
      </c>
      <c r="C1102" s="109">
        <v>9798.9199999999983</v>
      </c>
    </row>
    <row r="1103" spans="1:3" ht="15" x14ac:dyDescent="0.25">
      <c r="A1103" s="108" t="s">
        <v>2485</v>
      </c>
      <c r="B1103" s="3" t="s">
        <v>2486</v>
      </c>
      <c r="C1103" s="109">
        <v>28615.1</v>
      </c>
    </row>
    <row r="1104" spans="1:3" ht="15" x14ac:dyDescent="0.25">
      <c r="A1104" s="108" t="s">
        <v>2487</v>
      </c>
      <c r="B1104" s="3" t="s">
        <v>2488</v>
      </c>
      <c r="C1104" s="109">
        <v>54982.829999999994</v>
      </c>
    </row>
    <row r="1105" spans="1:3" ht="15" x14ac:dyDescent="0.25">
      <c r="A1105" s="108" t="s">
        <v>2489</v>
      </c>
      <c r="B1105" s="3" t="s">
        <v>2490</v>
      </c>
      <c r="C1105" s="109">
        <v>0</v>
      </c>
    </row>
    <row r="1106" spans="1:3" ht="15" x14ac:dyDescent="0.25">
      <c r="A1106" s="108" t="s">
        <v>2491</v>
      </c>
      <c r="B1106" s="3" t="s">
        <v>2492</v>
      </c>
      <c r="C1106" s="109">
        <v>16689.659999999996</v>
      </c>
    </row>
    <row r="1107" spans="1:3" ht="15" x14ac:dyDescent="0.25">
      <c r="A1107" s="108" t="s">
        <v>2493</v>
      </c>
      <c r="B1107" s="3" t="s">
        <v>2494</v>
      </c>
      <c r="C1107" s="109">
        <v>1057447.3500000006</v>
      </c>
    </row>
    <row r="1108" spans="1:3" ht="15" x14ac:dyDescent="0.25">
      <c r="A1108" s="108" t="s">
        <v>2495</v>
      </c>
      <c r="B1108" s="3" t="s">
        <v>2496</v>
      </c>
      <c r="C1108" s="109">
        <v>-1724.8</v>
      </c>
    </row>
    <row r="1109" spans="1:3" ht="15" x14ac:dyDescent="0.25">
      <c r="A1109" s="108" t="s">
        <v>2497</v>
      </c>
      <c r="B1109" s="3" t="s">
        <v>2498</v>
      </c>
      <c r="C1109" s="109">
        <v>95866.4</v>
      </c>
    </row>
    <row r="1110" spans="1:3" ht="15" x14ac:dyDescent="0.25">
      <c r="A1110" s="108" t="s">
        <v>2499</v>
      </c>
      <c r="B1110" s="3" t="s">
        <v>2500</v>
      </c>
      <c r="C1110" s="109">
        <v>161231.82</v>
      </c>
    </row>
    <row r="1111" spans="1:3" ht="15" x14ac:dyDescent="0.25">
      <c r="A1111" s="108" t="s">
        <v>2501</v>
      </c>
      <c r="B1111" s="3" t="s">
        <v>2502</v>
      </c>
      <c r="C1111" s="109">
        <v>0</v>
      </c>
    </row>
    <row r="1112" spans="1:3" ht="15" x14ac:dyDescent="0.25">
      <c r="A1112" s="108" t="s">
        <v>2503</v>
      </c>
      <c r="B1112" s="3" t="s">
        <v>2504</v>
      </c>
      <c r="C1112" s="109">
        <v>988.2299999999999</v>
      </c>
    </row>
    <row r="1113" spans="1:3" ht="15" x14ac:dyDescent="0.25">
      <c r="A1113" s="108" t="s">
        <v>2505</v>
      </c>
      <c r="B1113" s="3" t="s">
        <v>2506</v>
      </c>
      <c r="C1113" s="109">
        <v>234177.67999999993</v>
      </c>
    </row>
    <row r="1114" spans="1:3" ht="15" x14ac:dyDescent="0.25">
      <c r="A1114" s="108" t="s">
        <v>2507</v>
      </c>
      <c r="B1114" s="3" t="s">
        <v>2508</v>
      </c>
      <c r="C1114" s="109">
        <v>-235.2</v>
      </c>
    </row>
    <row r="1115" spans="1:3" ht="15" x14ac:dyDescent="0.25">
      <c r="A1115" s="108" t="s">
        <v>2509</v>
      </c>
      <c r="B1115" s="3" t="s">
        <v>2510</v>
      </c>
      <c r="C1115" s="109">
        <v>2366.6200000000003</v>
      </c>
    </row>
    <row r="1116" spans="1:3" ht="15" x14ac:dyDescent="0.25">
      <c r="A1116" s="108" t="s">
        <v>2511</v>
      </c>
      <c r="B1116" s="3" t="s">
        <v>2512</v>
      </c>
      <c r="C1116" s="109">
        <v>0</v>
      </c>
    </row>
    <row r="1117" spans="1:3" ht="15" x14ac:dyDescent="0.25">
      <c r="A1117" s="108" t="s">
        <v>2513</v>
      </c>
      <c r="B1117" s="3" t="s">
        <v>2514</v>
      </c>
      <c r="C1117" s="109">
        <v>0.02</v>
      </c>
    </row>
    <row r="1118" spans="1:3" ht="15" x14ac:dyDescent="0.25">
      <c r="A1118" s="108" t="s">
        <v>2515</v>
      </c>
      <c r="B1118" s="3" t="s">
        <v>2516</v>
      </c>
      <c r="C1118" s="109">
        <v>105434.66000000003</v>
      </c>
    </row>
    <row r="1119" spans="1:3" ht="15" x14ac:dyDescent="0.25">
      <c r="A1119" s="108" t="s">
        <v>2517</v>
      </c>
      <c r="B1119" s="3" t="s">
        <v>2518</v>
      </c>
      <c r="C1119" s="109">
        <v>160067.07000000009</v>
      </c>
    </row>
    <row r="1120" spans="1:3" ht="15" x14ac:dyDescent="0.25">
      <c r="A1120" s="108" t="s">
        <v>2519</v>
      </c>
      <c r="B1120" s="3" t="s">
        <v>2520</v>
      </c>
      <c r="C1120" s="109">
        <v>20677.95</v>
      </c>
    </row>
    <row r="1121" spans="1:3" ht="15" x14ac:dyDescent="0.25">
      <c r="A1121" s="108" t="s">
        <v>2521</v>
      </c>
      <c r="B1121" s="3" t="s">
        <v>2522</v>
      </c>
      <c r="C1121" s="109">
        <v>-2.1199999999999903</v>
      </c>
    </row>
    <row r="1122" spans="1:3" ht="15" x14ac:dyDescent="0.25">
      <c r="A1122" s="108" t="s">
        <v>2523</v>
      </c>
      <c r="B1122" s="3" t="s">
        <v>2524</v>
      </c>
      <c r="C1122" s="109">
        <v>48613.510000000017</v>
      </c>
    </row>
    <row r="1123" spans="1:3" ht="15" x14ac:dyDescent="0.25">
      <c r="A1123" s="108" t="s">
        <v>2525</v>
      </c>
      <c r="B1123" s="3" t="s">
        <v>2526</v>
      </c>
      <c r="C1123" s="109">
        <v>557745.33000000019</v>
      </c>
    </row>
    <row r="1124" spans="1:3" ht="15" x14ac:dyDescent="0.25">
      <c r="A1124" s="108" t="s">
        <v>2527</v>
      </c>
      <c r="B1124" s="3" t="s">
        <v>2528</v>
      </c>
      <c r="C1124" s="109">
        <v>246557.88999999996</v>
      </c>
    </row>
    <row r="1125" spans="1:3" ht="15" x14ac:dyDescent="0.25">
      <c r="A1125" s="108" t="s">
        <v>2529</v>
      </c>
      <c r="B1125" s="3" t="s">
        <v>2530</v>
      </c>
      <c r="C1125" s="109">
        <v>9148605.5500000082</v>
      </c>
    </row>
    <row r="1126" spans="1:3" ht="15" x14ac:dyDescent="0.25">
      <c r="A1126" s="108" t="s">
        <v>2531</v>
      </c>
      <c r="B1126" s="3" t="s">
        <v>2532</v>
      </c>
      <c r="C1126" s="109">
        <v>-2933.3500000000004</v>
      </c>
    </row>
    <row r="1127" spans="1:3" ht="15" x14ac:dyDescent="0.25">
      <c r="A1127" s="108" t="s">
        <v>2533</v>
      </c>
      <c r="B1127" s="3" t="s">
        <v>2534</v>
      </c>
      <c r="C1127" s="109">
        <v>484.97</v>
      </c>
    </row>
    <row r="1128" spans="1:3" ht="15" x14ac:dyDescent="0.25">
      <c r="A1128" s="108" t="s">
        <v>2535</v>
      </c>
      <c r="B1128" s="3" t="s">
        <v>2536</v>
      </c>
      <c r="C1128" s="109">
        <v>-17001.05</v>
      </c>
    </row>
    <row r="1129" spans="1:3" ht="15" x14ac:dyDescent="0.25">
      <c r="A1129" s="108" t="s">
        <v>2537</v>
      </c>
      <c r="B1129" s="3" t="s">
        <v>2538</v>
      </c>
      <c r="C1129" s="109">
        <v>37874.960000000014</v>
      </c>
    </row>
    <row r="1130" spans="1:3" ht="15" x14ac:dyDescent="0.25">
      <c r="A1130" s="108" t="s">
        <v>2539</v>
      </c>
      <c r="B1130" s="3" t="s">
        <v>2540</v>
      </c>
      <c r="C1130" s="109">
        <v>785992.33000000112</v>
      </c>
    </row>
    <row r="1131" spans="1:3" ht="15" x14ac:dyDescent="0.25">
      <c r="A1131" s="108" t="s">
        <v>2541</v>
      </c>
      <c r="B1131" s="3" t="s">
        <v>2542</v>
      </c>
      <c r="C1131" s="109">
        <v>85339.4</v>
      </c>
    </row>
    <row r="1132" spans="1:3" ht="15" x14ac:dyDescent="0.25">
      <c r="A1132" s="108" t="s">
        <v>2543</v>
      </c>
      <c r="B1132" s="3" t="s">
        <v>2544</v>
      </c>
      <c r="C1132" s="109">
        <v>4238.9399999999996</v>
      </c>
    </row>
    <row r="1133" spans="1:3" ht="15" x14ac:dyDescent="0.25">
      <c r="A1133" s="108" t="s">
        <v>2545</v>
      </c>
      <c r="B1133" s="3" t="s">
        <v>2546</v>
      </c>
      <c r="C1133" s="109">
        <v>0</v>
      </c>
    </row>
    <row r="1134" spans="1:3" ht="15" x14ac:dyDescent="0.25">
      <c r="A1134" s="108" t="s">
        <v>2547</v>
      </c>
      <c r="B1134" s="3" t="s">
        <v>2548</v>
      </c>
      <c r="C1134" s="109">
        <v>68900</v>
      </c>
    </row>
    <row r="1135" spans="1:3" ht="15" x14ac:dyDescent="0.25">
      <c r="A1135" s="108" t="s">
        <v>2549</v>
      </c>
      <c r="B1135" s="3" t="s">
        <v>2550</v>
      </c>
      <c r="C1135" s="109">
        <v>4591.1200000000017</v>
      </c>
    </row>
    <row r="1136" spans="1:3" ht="15" x14ac:dyDescent="0.25">
      <c r="A1136" s="108" t="s">
        <v>2551</v>
      </c>
      <c r="B1136" s="3" t="s">
        <v>2552</v>
      </c>
      <c r="C1136" s="109">
        <v>6.3671290462252728E-14</v>
      </c>
    </row>
    <row r="1137" spans="1:3" ht="15" x14ac:dyDescent="0.25">
      <c r="A1137" s="108" t="s">
        <v>2553</v>
      </c>
      <c r="B1137" s="3" t="s">
        <v>2554</v>
      </c>
      <c r="C1137" s="109">
        <v>0</v>
      </c>
    </row>
    <row r="1138" spans="1:3" ht="15" x14ac:dyDescent="0.25">
      <c r="A1138" s="108" t="s">
        <v>2555</v>
      </c>
      <c r="B1138" s="3" t="s">
        <v>2556</v>
      </c>
      <c r="C1138" s="109">
        <v>-12387.050000000001</v>
      </c>
    </row>
    <row r="1139" spans="1:3" ht="15" x14ac:dyDescent="0.25">
      <c r="A1139" s="108" t="s">
        <v>2557</v>
      </c>
      <c r="B1139" s="3" t="s">
        <v>2558</v>
      </c>
      <c r="C1139" s="109">
        <v>1664933.52</v>
      </c>
    </row>
    <row r="1140" spans="1:3" ht="15" x14ac:dyDescent="0.25">
      <c r="A1140" s="108" t="s">
        <v>2559</v>
      </c>
      <c r="B1140" s="3" t="s">
        <v>2560</v>
      </c>
      <c r="C1140" s="109">
        <v>63945.630000000026</v>
      </c>
    </row>
    <row r="1141" spans="1:3" ht="15" x14ac:dyDescent="0.25">
      <c r="A1141" s="108" t="s">
        <v>2561</v>
      </c>
      <c r="B1141" s="3" t="s">
        <v>2562</v>
      </c>
      <c r="C1141" s="109">
        <v>35503.230000000003</v>
      </c>
    </row>
    <row r="1142" spans="1:3" ht="15" x14ac:dyDescent="0.25">
      <c r="A1142" s="108" t="s">
        <v>2563</v>
      </c>
      <c r="B1142" s="3" t="s">
        <v>2564</v>
      </c>
      <c r="C1142" s="109">
        <v>68200.570000000007</v>
      </c>
    </row>
    <row r="1143" spans="1:3" ht="15" x14ac:dyDescent="0.25">
      <c r="A1143" s="108" t="s">
        <v>2565</v>
      </c>
      <c r="B1143" s="3" t="s">
        <v>2566</v>
      </c>
      <c r="C1143" s="109">
        <v>20271.380000000005</v>
      </c>
    </row>
    <row r="1144" spans="1:3" ht="15" x14ac:dyDescent="0.25">
      <c r="A1144" s="108" t="s">
        <v>2567</v>
      </c>
      <c r="B1144" s="3" t="s">
        <v>2568</v>
      </c>
      <c r="C1144" s="109">
        <v>5003.08</v>
      </c>
    </row>
    <row r="1145" spans="1:3" ht="15" x14ac:dyDescent="0.25">
      <c r="A1145" s="108" t="s">
        <v>2569</v>
      </c>
      <c r="B1145" s="3" t="s">
        <v>2570</v>
      </c>
      <c r="C1145" s="109">
        <v>16663.2</v>
      </c>
    </row>
    <row r="1146" spans="1:3" ht="15" x14ac:dyDescent="0.25">
      <c r="A1146" s="108" t="s">
        <v>2571</v>
      </c>
      <c r="B1146" s="3" t="s">
        <v>2572</v>
      </c>
      <c r="C1146" s="109">
        <v>2352</v>
      </c>
    </row>
    <row r="1147" spans="1:3" ht="15" x14ac:dyDescent="0.25">
      <c r="A1147" s="108" t="s">
        <v>2573</v>
      </c>
      <c r="B1147" s="3" t="s">
        <v>2574</v>
      </c>
      <c r="C1147" s="109">
        <v>4753.2499999999973</v>
      </c>
    </row>
    <row r="1148" spans="1:3" ht="15" x14ac:dyDescent="0.25">
      <c r="A1148" s="108" t="s">
        <v>2575</v>
      </c>
      <c r="B1148" s="3" t="s">
        <v>2576</v>
      </c>
      <c r="C1148" s="109">
        <v>3695.79</v>
      </c>
    </row>
    <row r="1149" spans="1:3" ht="15" x14ac:dyDescent="0.25">
      <c r="A1149" s="108" t="s">
        <v>2577</v>
      </c>
      <c r="B1149" s="3" t="s">
        <v>2578</v>
      </c>
      <c r="C1149" s="109">
        <v>6259.619999999999</v>
      </c>
    </row>
    <row r="1150" spans="1:3" ht="15" x14ac:dyDescent="0.25">
      <c r="A1150" s="108" t="s">
        <v>2579</v>
      </c>
      <c r="B1150" s="3" t="s">
        <v>2580</v>
      </c>
      <c r="C1150" s="109">
        <v>2617.34</v>
      </c>
    </row>
    <row r="1151" spans="1:3" ht="15" x14ac:dyDescent="0.25">
      <c r="A1151" s="108" t="s">
        <v>2581</v>
      </c>
      <c r="B1151" s="3" t="s">
        <v>2582</v>
      </c>
      <c r="C1151" s="109">
        <v>15746.83</v>
      </c>
    </row>
    <row r="1152" spans="1:3" ht="15" x14ac:dyDescent="0.25">
      <c r="A1152" s="108" t="s">
        <v>2583</v>
      </c>
      <c r="B1152" s="3" t="s">
        <v>2584</v>
      </c>
      <c r="C1152" s="109">
        <v>26174.400000000001</v>
      </c>
    </row>
    <row r="1153" spans="1:3" ht="15" x14ac:dyDescent="0.25">
      <c r="A1153" s="108" t="s">
        <v>2585</v>
      </c>
      <c r="B1153" s="3" t="s">
        <v>2586</v>
      </c>
      <c r="C1153" s="109">
        <v>90477.68</v>
      </c>
    </row>
    <row r="1154" spans="1:3" ht="15" x14ac:dyDescent="0.25">
      <c r="A1154" s="108" t="s">
        <v>2587</v>
      </c>
      <c r="B1154" s="3" t="s">
        <v>2588</v>
      </c>
      <c r="C1154" s="109">
        <v>-3196.72</v>
      </c>
    </row>
    <row r="1155" spans="1:3" ht="15" x14ac:dyDescent="0.25">
      <c r="A1155" s="108" t="s">
        <v>2589</v>
      </c>
      <c r="B1155" s="3" t="s">
        <v>2590</v>
      </c>
      <c r="C1155" s="109">
        <v>97868.739999999976</v>
      </c>
    </row>
    <row r="1156" spans="1:3" ht="15" x14ac:dyDescent="0.25">
      <c r="A1156" s="108" t="s">
        <v>2591</v>
      </c>
      <c r="B1156" s="3" t="s">
        <v>2592</v>
      </c>
      <c r="C1156" s="109">
        <v>0</v>
      </c>
    </row>
    <row r="1157" spans="1:3" ht="15" x14ac:dyDescent="0.25">
      <c r="A1157" s="108" t="s">
        <v>2593</v>
      </c>
      <c r="B1157" s="3" t="s">
        <v>2594</v>
      </c>
      <c r="C1157" s="109">
        <v>1590</v>
      </c>
    </row>
    <row r="1158" spans="1:3" ht="15" x14ac:dyDescent="0.25">
      <c r="A1158" s="108" t="s">
        <v>2595</v>
      </c>
      <c r="B1158" s="3" t="s">
        <v>2596</v>
      </c>
      <c r="C1158" s="109">
        <v>10536.99</v>
      </c>
    </row>
    <row r="1159" spans="1:3" ht="15" x14ac:dyDescent="0.25">
      <c r="A1159" s="108" t="s">
        <v>2597</v>
      </c>
      <c r="B1159" s="3" t="s">
        <v>2598</v>
      </c>
      <c r="C1159" s="109">
        <v>4300.8</v>
      </c>
    </row>
    <row r="1160" spans="1:3" ht="15" x14ac:dyDescent="0.25">
      <c r="A1160" s="108" t="s">
        <v>2599</v>
      </c>
      <c r="B1160" s="3" t="s">
        <v>2600</v>
      </c>
      <c r="C1160" s="109">
        <v>12913.779999999999</v>
      </c>
    </row>
    <row r="1161" spans="1:3" ht="15" x14ac:dyDescent="0.25">
      <c r="A1161" s="108" t="s">
        <v>2601</v>
      </c>
      <c r="B1161" s="3" t="s">
        <v>2602</v>
      </c>
      <c r="C1161" s="109">
        <v>3561.6</v>
      </c>
    </row>
    <row r="1162" spans="1:3" ht="15" x14ac:dyDescent="0.25">
      <c r="A1162" s="108" t="s">
        <v>2603</v>
      </c>
      <c r="B1162" s="3" t="s">
        <v>2604</v>
      </c>
      <c r="C1162" s="109">
        <v>4854.6100000000006</v>
      </c>
    </row>
    <row r="1163" spans="1:3" ht="15" x14ac:dyDescent="0.25">
      <c r="A1163" s="108" t="s">
        <v>2605</v>
      </c>
      <c r="B1163" s="3" t="s">
        <v>2606</v>
      </c>
      <c r="C1163" s="109">
        <v>1421.39</v>
      </c>
    </row>
    <row r="1164" spans="1:3" ht="15" x14ac:dyDescent="0.25">
      <c r="A1164" s="108" t="s">
        <v>2607</v>
      </c>
      <c r="B1164" s="3" t="s">
        <v>2608</v>
      </c>
      <c r="C1164" s="109">
        <v>-2043.2499999999995</v>
      </c>
    </row>
    <row r="1165" spans="1:3" ht="15" x14ac:dyDescent="0.25">
      <c r="A1165" s="108" t="s">
        <v>2609</v>
      </c>
      <c r="B1165" s="3" t="s">
        <v>2610</v>
      </c>
      <c r="C1165" s="109">
        <v>10770.57</v>
      </c>
    </row>
    <row r="1166" spans="1:3" ht="15" x14ac:dyDescent="0.25">
      <c r="A1166" s="108" t="s">
        <v>2611</v>
      </c>
      <c r="B1166" s="3" t="s">
        <v>2612</v>
      </c>
      <c r="C1166" s="109">
        <v>59458.310000000005</v>
      </c>
    </row>
    <row r="1167" spans="1:3" ht="15" x14ac:dyDescent="0.25">
      <c r="A1167" s="108" t="s">
        <v>2613</v>
      </c>
      <c r="B1167" s="3" t="s">
        <v>2614</v>
      </c>
      <c r="C1167" s="109">
        <v>33467.380000000005</v>
      </c>
    </row>
    <row r="1168" spans="1:3" ht="15" x14ac:dyDescent="0.25">
      <c r="A1168" s="108" t="s">
        <v>2615</v>
      </c>
      <c r="B1168" s="3" t="s">
        <v>2616</v>
      </c>
      <c r="C1168" s="109">
        <v>4222.5099999999993</v>
      </c>
    </row>
    <row r="1169" spans="1:3" ht="15" x14ac:dyDescent="0.25">
      <c r="A1169" s="108" t="s">
        <v>2617</v>
      </c>
      <c r="B1169" s="3" t="s">
        <v>2618</v>
      </c>
      <c r="C1169" s="109">
        <v>1992.8</v>
      </c>
    </row>
    <row r="1170" spans="1:3" ht="15" x14ac:dyDescent="0.25">
      <c r="A1170" s="108" t="s">
        <v>2619</v>
      </c>
      <c r="B1170" s="3" t="s">
        <v>2620</v>
      </c>
      <c r="C1170" s="109">
        <v>21629.590000000004</v>
      </c>
    </row>
    <row r="1171" spans="1:3" ht="15" x14ac:dyDescent="0.25">
      <c r="A1171" s="108" t="s">
        <v>2621</v>
      </c>
      <c r="B1171" s="3" t="s">
        <v>2622</v>
      </c>
      <c r="C1171" s="109">
        <v>147806.39999999999</v>
      </c>
    </row>
    <row r="1172" spans="1:3" ht="15" x14ac:dyDescent="0.25">
      <c r="A1172" s="108" t="s">
        <v>2623</v>
      </c>
      <c r="B1172" s="3" t="s">
        <v>2624</v>
      </c>
      <c r="C1172" s="109">
        <v>45531.880000000005</v>
      </c>
    </row>
    <row r="1173" spans="1:3" ht="15" x14ac:dyDescent="0.25">
      <c r="A1173" s="108" t="s">
        <v>2625</v>
      </c>
      <c r="B1173" s="3" t="s">
        <v>2626</v>
      </c>
      <c r="C1173" s="109">
        <v>20405</v>
      </c>
    </row>
    <row r="1174" spans="1:3" ht="15" x14ac:dyDescent="0.25">
      <c r="A1174" s="108" t="s">
        <v>2627</v>
      </c>
      <c r="B1174" s="3" t="s">
        <v>2628</v>
      </c>
      <c r="C1174" s="109">
        <v>0</v>
      </c>
    </row>
    <row r="1175" spans="1:3" ht="15" x14ac:dyDescent="0.25">
      <c r="A1175" s="108" t="s">
        <v>2629</v>
      </c>
      <c r="B1175" s="3" t="s">
        <v>2630</v>
      </c>
      <c r="C1175" s="109">
        <v>2849.28</v>
      </c>
    </row>
    <row r="1176" spans="1:3" ht="15" x14ac:dyDescent="0.25">
      <c r="A1176" s="108" t="s">
        <v>2631</v>
      </c>
      <c r="B1176" s="3" t="s">
        <v>2632</v>
      </c>
      <c r="C1176" s="109">
        <v>112301.25</v>
      </c>
    </row>
    <row r="1177" spans="1:3" ht="15" x14ac:dyDescent="0.25">
      <c r="A1177" s="108" t="s">
        <v>2633</v>
      </c>
      <c r="B1177" s="3" t="s">
        <v>2634</v>
      </c>
      <c r="C1177" s="109">
        <v>43554.84</v>
      </c>
    </row>
    <row r="1178" spans="1:3" ht="15" x14ac:dyDescent="0.25">
      <c r="A1178" s="108" t="s">
        <v>2635</v>
      </c>
      <c r="B1178" s="3" t="s">
        <v>2636</v>
      </c>
      <c r="C1178" s="109">
        <v>45802.259999999995</v>
      </c>
    </row>
    <row r="1179" spans="1:3" ht="15" x14ac:dyDescent="0.25">
      <c r="A1179" s="108" t="s">
        <v>2637</v>
      </c>
      <c r="B1179" s="3" t="s">
        <v>2638</v>
      </c>
      <c r="C1179" s="109">
        <v>14100</v>
      </c>
    </row>
    <row r="1180" spans="1:3" ht="15" x14ac:dyDescent="0.25">
      <c r="A1180" s="108" t="s">
        <v>2639</v>
      </c>
      <c r="B1180" s="3" t="s">
        <v>2640</v>
      </c>
      <c r="C1180" s="109">
        <v>97664.430000000008</v>
      </c>
    </row>
    <row r="1181" spans="1:3" ht="15" x14ac:dyDescent="0.25">
      <c r="A1181" s="108" t="s">
        <v>2641</v>
      </c>
      <c r="B1181" s="3" t="s">
        <v>2642</v>
      </c>
      <c r="C1181" s="109">
        <v>0</v>
      </c>
    </row>
    <row r="1182" spans="1:3" ht="15" x14ac:dyDescent="0.25">
      <c r="A1182" s="108" t="s">
        <v>2643</v>
      </c>
      <c r="B1182" s="3" t="s">
        <v>2644</v>
      </c>
      <c r="C1182" s="109">
        <v>47316.55</v>
      </c>
    </row>
    <row r="1183" spans="1:3" ht="15" x14ac:dyDescent="0.25">
      <c r="A1183" s="108" t="s">
        <v>2645</v>
      </c>
      <c r="B1183" s="3" t="s">
        <v>2646</v>
      </c>
      <c r="C1183" s="109">
        <v>88779.24</v>
      </c>
    </row>
    <row r="1184" spans="1:3" ht="15" x14ac:dyDescent="0.25">
      <c r="A1184" s="108" t="s">
        <v>2647</v>
      </c>
      <c r="B1184" s="3" t="s">
        <v>2648</v>
      </c>
      <c r="C1184" s="109">
        <v>0</v>
      </c>
    </row>
    <row r="1185" spans="1:3" ht="15" x14ac:dyDescent="0.25">
      <c r="A1185" s="108" t="s">
        <v>2649</v>
      </c>
      <c r="B1185" s="3" t="s">
        <v>2650</v>
      </c>
      <c r="C1185" s="109">
        <v>7434.1100000000006</v>
      </c>
    </row>
    <row r="1186" spans="1:3" ht="15" x14ac:dyDescent="0.25">
      <c r="A1186" s="108" t="s">
        <v>2651</v>
      </c>
      <c r="B1186" s="3" t="s">
        <v>2652</v>
      </c>
      <c r="C1186" s="109">
        <v>62973.54</v>
      </c>
    </row>
    <row r="1187" spans="1:3" ht="15" x14ac:dyDescent="0.25">
      <c r="A1187" s="108" t="s">
        <v>2653</v>
      </c>
      <c r="B1187" s="3" t="s">
        <v>2654</v>
      </c>
      <c r="C1187" s="109">
        <v>389631.62</v>
      </c>
    </row>
    <row r="1188" spans="1:3" ht="15" x14ac:dyDescent="0.25">
      <c r="A1188" s="108" t="s">
        <v>2655</v>
      </c>
      <c r="B1188" s="3" t="s">
        <v>2656</v>
      </c>
      <c r="C1188" s="109">
        <v>373131.74</v>
      </c>
    </row>
    <row r="1189" spans="1:3" ht="15" x14ac:dyDescent="0.25">
      <c r="A1189" s="108" t="s">
        <v>2657</v>
      </c>
      <c r="B1189" s="3" t="s">
        <v>2658</v>
      </c>
      <c r="C1189" s="109">
        <v>2690.28</v>
      </c>
    </row>
    <row r="1190" spans="1:3" ht="15" x14ac:dyDescent="0.25">
      <c r="A1190" s="108" t="s">
        <v>2659</v>
      </c>
      <c r="B1190" s="3" t="s">
        <v>2660</v>
      </c>
      <c r="C1190" s="109">
        <v>46934.78</v>
      </c>
    </row>
    <row r="1191" spans="1:3" ht="15" x14ac:dyDescent="0.25">
      <c r="A1191" s="108" t="s">
        <v>2661</v>
      </c>
      <c r="B1191" s="3" t="s">
        <v>2662</v>
      </c>
      <c r="C1191" s="109">
        <v>44453.03</v>
      </c>
    </row>
    <row r="1192" spans="1:3" ht="15" x14ac:dyDescent="0.25">
      <c r="A1192" s="108" t="s">
        <v>2663</v>
      </c>
      <c r="B1192" s="3" t="s">
        <v>2664</v>
      </c>
      <c r="C1192" s="109">
        <v>210796.24000000005</v>
      </c>
    </row>
    <row r="1193" spans="1:3" ht="15" x14ac:dyDescent="0.25">
      <c r="A1193" s="108" t="s">
        <v>2665</v>
      </c>
      <c r="B1193" s="3" t="s">
        <v>2666</v>
      </c>
      <c r="C1193" s="109">
        <v>60943.32</v>
      </c>
    </row>
    <row r="1194" spans="1:3" ht="15" x14ac:dyDescent="0.25">
      <c r="A1194" s="108" t="s">
        <v>2667</v>
      </c>
      <c r="B1194" s="3" t="s">
        <v>2668</v>
      </c>
      <c r="C1194" s="109">
        <v>27252.480000000003</v>
      </c>
    </row>
    <row r="1195" spans="1:3" ht="15" x14ac:dyDescent="0.25">
      <c r="A1195" s="108" t="s">
        <v>2669</v>
      </c>
      <c r="B1195" s="3" t="s">
        <v>2670</v>
      </c>
      <c r="C1195" s="109">
        <v>334773.03000000003</v>
      </c>
    </row>
    <row r="1196" spans="1:3" ht="15" x14ac:dyDescent="0.25">
      <c r="A1196" s="108" t="s">
        <v>2671</v>
      </c>
      <c r="B1196" s="3" t="s">
        <v>2672</v>
      </c>
      <c r="C1196" s="109">
        <v>43306.87</v>
      </c>
    </row>
    <row r="1197" spans="1:3" ht="15" x14ac:dyDescent="0.25">
      <c r="A1197" s="108" t="s">
        <v>2673</v>
      </c>
      <c r="B1197" s="3" t="s">
        <v>2674</v>
      </c>
      <c r="C1197" s="109">
        <v>1500.8800000000008</v>
      </c>
    </row>
    <row r="1198" spans="1:3" ht="15" x14ac:dyDescent="0.25">
      <c r="A1198" s="108" t="s">
        <v>2675</v>
      </c>
      <c r="B1198" s="3" t="s">
        <v>2676</v>
      </c>
      <c r="C1198" s="109">
        <v>36856.919999999969</v>
      </c>
    </row>
    <row r="1199" spans="1:3" ht="15" x14ac:dyDescent="0.25">
      <c r="A1199" s="108" t="s">
        <v>2677</v>
      </c>
      <c r="B1199" s="3" t="s">
        <v>2678</v>
      </c>
      <c r="C1199" s="109">
        <v>5058.25</v>
      </c>
    </row>
    <row r="1200" spans="1:3" ht="15" x14ac:dyDescent="0.25">
      <c r="A1200" s="108" t="s">
        <v>2679</v>
      </c>
      <c r="B1200" s="3" t="s">
        <v>2680</v>
      </c>
      <c r="C1200" s="109">
        <v>1742763.2100000002</v>
      </c>
    </row>
    <row r="1201" spans="1:3" ht="15" x14ac:dyDescent="0.25">
      <c r="A1201" s="108" t="s">
        <v>2681</v>
      </c>
      <c r="B1201" s="3" t="s">
        <v>2682</v>
      </c>
      <c r="C1201" s="109">
        <v>100835.73000000001</v>
      </c>
    </row>
    <row r="1202" spans="1:3" ht="15" x14ac:dyDescent="0.25">
      <c r="A1202" s="108" t="s">
        <v>2683</v>
      </c>
      <c r="B1202" s="3" t="s">
        <v>2683</v>
      </c>
      <c r="C1202" s="109">
        <v>45352.43</v>
      </c>
    </row>
    <row r="1203" spans="1:3" ht="15" x14ac:dyDescent="0.25">
      <c r="A1203" s="108" t="s">
        <v>2684</v>
      </c>
      <c r="B1203" s="3" t="s">
        <v>2685</v>
      </c>
      <c r="C1203" s="109">
        <v>76207.970000000016</v>
      </c>
    </row>
    <row r="1204" spans="1:3" ht="15" x14ac:dyDescent="0.25">
      <c r="A1204" s="108" t="s">
        <v>2686</v>
      </c>
      <c r="B1204" s="3" t="s">
        <v>2687</v>
      </c>
      <c r="C1204" s="109">
        <v>265278.03999999998</v>
      </c>
    </row>
    <row r="1205" spans="1:3" ht="15" x14ac:dyDescent="0.25">
      <c r="A1205" s="108" t="s">
        <v>2688</v>
      </c>
      <c r="B1205" s="3" t="s">
        <v>2689</v>
      </c>
      <c r="C1205" s="109">
        <v>167299.56999999998</v>
      </c>
    </row>
    <row r="1206" spans="1:3" ht="15" x14ac:dyDescent="0.25">
      <c r="A1206" s="108" t="s">
        <v>2690</v>
      </c>
      <c r="B1206" s="3" t="s">
        <v>2691</v>
      </c>
      <c r="C1206" s="109">
        <v>1418.8300000000002</v>
      </c>
    </row>
    <row r="1207" spans="1:3" ht="15" x14ac:dyDescent="0.25">
      <c r="A1207" s="108" t="s">
        <v>2692</v>
      </c>
      <c r="B1207" s="3" t="s">
        <v>2693</v>
      </c>
      <c r="C1207" s="109">
        <v>161228.07999999999</v>
      </c>
    </row>
    <row r="1208" spans="1:3" ht="15" x14ac:dyDescent="0.25">
      <c r="A1208" s="108" t="s">
        <v>2694</v>
      </c>
      <c r="B1208" s="3" t="s">
        <v>2695</v>
      </c>
      <c r="C1208" s="109">
        <v>110049.17000000003</v>
      </c>
    </row>
    <row r="1209" spans="1:3" ht="15" x14ac:dyDescent="0.25">
      <c r="A1209" s="108" t="s">
        <v>2696</v>
      </c>
      <c r="B1209" s="3" t="s">
        <v>2697</v>
      </c>
      <c r="C1209" s="109">
        <v>317490.95999999996</v>
      </c>
    </row>
    <row r="1210" spans="1:3" ht="15" x14ac:dyDescent="0.25">
      <c r="A1210" s="108" t="s">
        <v>2698</v>
      </c>
      <c r="B1210" s="3" t="s">
        <v>2699</v>
      </c>
      <c r="C1210" s="109">
        <v>362372.02000000008</v>
      </c>
    </row>
    <row r="1211" spans="1:3" ht="15" x14ac:dyDescent="0.25">
      <c r="A1211" s="108" t="s">
        <v>2700</v>
      </c>
      <c r="B1211" s="3" t="s">
        <v>2701</v>
      </c>
      <c r="C1211" s="109">
        <v>286299.89000000019</v>
      </c>
    </row>
    <row r="1212" spans="1:3" ht="15" x14ac:dyDescent="0.25">
      <c r="A1212" s="108" t="s">
        <v>2702</v>
      </c>
      <c r="B1212" s="3" t="s">
        <v>2703</v>
      </c>
      <c r="C1212" s="109">
        <v>294913.09999999992</v>
      </c>
    </row>
    <row r="1213" spans="1:3" ht="15" x14ac:dyDescent="0.25">
      <c r="A1213" s="108" t="s">
        <v>2704</v>
      </c>
      <c r="B1213" s="3" t="s">
        <v>2705</v>
      </c>
      <c r="C1213" s="109">
        <v>264731.49000000005</v>
      </c>
    </row>
    <row r="1214" spans="1:3" ht="15" x14ac:dyDescent="0.25">
      <c r="A1214" s="108" t="s">
        <v>2706</v>
      </c>
      <c r="B1214" s="3" t="s">
        <v>2707</v>
      </c>
      <c r="C1214" s="109">
        <v>157603.90000000011</v>
      </c>
    </row>
    <row r="1215" spans="1:3" ht="15" x14ac:dyDescent="0.25">
      <c r="A1215" s="108" t="s">
        <v>2708</v>
      </c>
      <c r="B1215" s="3" t="s">
        <v>2709</v>
      </c>
      <c r="C1215" s="109">
        <v>202569.04000000012</v>
      </c>
    </row>
    <row r="1216" spans="1:3" ht="15" x14ac:dyDescent="0.25">
      <c r="A1216" s="108" t="s">
        <v>2710</v>
      </c>
      <c r="B1216" s="3" t="s">
        <v>2711</v>
      </c>
      <c r="C1216" s="109">
        <v>268718.9899999997</v>
      </c>
    </row>
    <row r="1217" spans="1:3" ht="15" x14ac:dyDescent="0.25">
      <c r="A1217" s="108" t="s">
        <v>2712</v>
      </c>
      <c r="B1217" s="3" t="s">
        <v>2713</v>
      </c>
      <c r="C1217" s="109">
        <v>1124478.0699999989</v>
      </c>
    </row>
    <row r="1218" spans="1:3" ht="15" x14ac:dyDescent="0.25">
      <c r="A1218" s="108" t="s">
        <v>2714</v>
      </c>
      <c r="B1218" s="3" t="s">
        <v>2715</v>
      </c>
      <c r="C1218" s="109">
        <v>1713292.0199999996</v>
      </c>
    </row>
    <row r="1219" spans="1:3" ht="15" x14ac:dyDescent="0.25">
      <c r="A1219" s="108" t="s">
        <v>2716</v>
      </c>
      <c r="B1219" s="3" t="s">
        <v>2717</v>
      </c>
      <c r="C1219" s="109">
        <v>592663.42999999993</v>
      </c>
    </row>
    <row r="1220" spans="1:3" ht="15" x14ac:dyDescent="0.25">
      <c r="A1220" s="108" t="s">
        <v>2718</v>
      </c>
      <c r="B1220" s="3" t="s">
        <v>2719</v>
      </c>
      <c r="C1220" s="109">
        <v>288156.26000000013</v>
      </c>
    </row>
    <row r="1221" spans="1:3" ht="15" x14ac:dyDescent="0.25">
      <c r="A1221" s="108" t="s">
        <v>2720</v>
      </c>
      <c r="B1221" s="3" t="s">
        <v>2721</v>
      </c>
      <c r="C1221" s="109">
        <v>38718.039999999986</v>
      </c>
    </row>
    <row r="1222" spans="1:3" ht="15" x14ac:dyDescent="0.25">
      <c r="A1222" s="108" t="s">
        <v>2722</v>
      </c>
      <c r="B1222" s="3" t="s">
        <v>2723</v>
      </c>
      <c r="C1222" s="109">
        <v>45697.240000000013</v>
      </c>
    </row>
    <row r="1223" spans="1:3" ht="15" x14ac:dyDescent="0.25">
      <c r="A1223" s="108" t="s">
        <v>2724</v>
      </c>
      <c r="B1223" s="3" t="s">
        <v>2725</v>
      </c>
      <c r="C1223" s="109">
        <v>326903.27999999997</v>
      </c>
    </row>
    <row r="1224" spans="1:3" ht="15" x14ac:dyDescent="0.25">
      <c r="A1224" s="108" t="s">
        <v>2726</v>
      </c>
      <c r="B1224" s="3" t="s">
        <v>2727</v>
      </c>
      <c r="C1224" s="109">
        <v>277615.81999999989</v>
      </c>
    </row>
    <row r="1225" spans="1:3" ht="15" x14ac:dyDescent="0.25">
      <c r="A1225" s="108" t="s">
        <v>2728</v>
      </c>
      <c r="B1225" s="3" t="s">
        <v>2729</v>
      </c>
      <c r="C1225" s="109">
        <v>184854.37000000002</v>
      </c>
    </row>
    <row r="1226" spans="1:3" ht="15" x14ac:dyDescent="0.25">
      <c r="A1226" s="108" t="s">
        <v>2730</v>
      </c>
      <c r="B1226" s="3" t="s">
        <v>2731</v>
      </c>
      <c r="C1226" s="109">
        <v>33692.790000000023</v>
      </c>
    </row>
    <row r="1227" spans="1:3" ht="15" x14ac:dyDescent="0.25">
      <c r="A1227" s="108" t="s">
        <v>2732</v>
      </c>
      <c r="B1227" s="3" t="s">
        <v>2733</v>
      </c>
      <c r="C1227" s="109">
        <v>654128.65000000061</v>
      </c>
    </row>
    <row r="1228" spans="1:3" ht="15" x14ac:dyDescent="0.25">
      <c r="A1228" s="108" t="s">
        <v>2734</v>
      </c>
      <c r="B1228" s="3" t="s">
        <v>2735</v>
      </c>
      <c r="C1228" s="109">
        <v>145360.6</v>
      </c>
    </row>
    <row r="1229" spans="1:3" ht="15" x14ac:dyDescent="0.25">
      <c r="A1229" s="108" t="s">
        <v>2736</v>
      </c>
      <c r="B1229" s="3" t="s">
        <v>2737</v>
      </c>
      <c r="C1229" s="109">
        <v>261827.94000000026</v>
      </c>
    </row>
    <row r="1230" spans="1:3" ht="15" x14ac:dyDescent="0.25">
      <c r="A1230" s="108" t="s">
        <v>2738</v>
      </c>
      <c r="B1230" s="3" t="s">
        <v>2739</v>
      </c>
      <c r="C1230" s="109">
        <v>219433.76999999996</v>
      </c>
    </row>
    <row r="1231" spans="1:3" ht="15" x14ac:dyDescent="0.25">
      <c r="A1231" s="108" t="s">
        <v>2740</v>
      </c>
      <c r="B1231" s="3" t="s">
        <v>2741</v>
      </c>
      <c r="C1231" s="109">
        <v>318440.94000000012</v>
      </c>
    </row>
    <row r="1232" spans="1:3" ht="15" x14ac:dyDescent="0.25">
      <c r="A1232" s="108" t="s">
        <v>2742</v>
      </c>
      <c r="B1232" s="3" t="s">
        <v>2743</v>
      </c>
      <c r="C1232" s="109">
        <v>279608.00000000023</v>
      </c>
    </row>
    <row r="1233" spans="1:3" ht="15" x14ac:dyDescent="0.25">
      <c r="A1233" s="108" t="s">
        <v>2744</v>
      </c>
      <c r="B1233" s="3" t="s">
        <v>2745</v>
      </c>
      <c r="C1233" s="109">
        <v>250670.59000000008</v>
      </c>
    </row>
    <row r="1234" spans="1:3" ht="15" x14ac:dyDescent="0.25">
      <c r="A1234" s="108" t="s">
        <v>2746</v>
      </c>
      <c r="B1234" s="3" t="s">
        <v>2747</v>
      </c>
      <c r="C1234" s="109">
        <v>296080.74000000005</v>
      </c>
    </row>
    <row r="1235" spans="1:3" ht="15" x14ac:dyDescent="0.25">
      <c r="A1235" s="108" t="s">
        <v>2748</v>
      </c>
      <c r="B1235" s="3" t="s">
        <v>2749</v>
      </c>
      <c r="C1235" s="109">
        <v>251325.81999999995</v>
      </c>
    </row>
    <row r="1236" spans="1:3" ht="15" x14ac:dyDescent="0.25">
      <c r="A1236" s="108" t="s">
        <v>2750</v>
      </c>
      <c r="B1236" s="3" t="s">
        <v>2751</v>
      </c>
      <c r="C1236" s="109">
        <v>308071.75</v>
      </c>
    </row>
    <row r="1237" spans="1:3" ht="15" x14ac:dyDescent="0.25">
      <c r="A1237" s="108" t="s">
        <v>2752</v>
      </c>
      <c r="B1237" s="3" t="s">
        <v>2753</v>
      </c>
      <c r="C1237" s="109">
        <v>827532.88999999978</v>
      </c>
    </row>
    <row r="1238" spans="1:3" ht="15" x14ac:dyDescent="0.25">
      <c r="A1238" s="108" t="s">
        <v>2754</v>
      </c>
      <c r="B1238" s="3" t="s">
        <v>2755</v>
      </c>
      <c r="C1238" s="109">
        <v>1688101.52</v>
      </c>
    </row>
    <row r="1239" spans="1:3" ht="15" x14ac:dyDescent="0.25">
      <c r="A1239" s="108" t="s">
        <v>2756</v>
      </c>
      <c r="B1239" s="3" t="s">
        <v>2757</v>
      </c>
      <c r="C1239" s="109">
        <v>555815.51999999979</v>
      </c>
    </row>
    <row r="1240" spans="1:3" ht="15" x14ac:dyDescent="0.25">
      <c r="A1240" s="108" t="s">
        <v>2758</v>
      </c>
      <c r="B1240" s="3" t="s">
        <v>2759</v>
      </c>
      <c r="C1240" s="109">
        <v>202059.39999999985</v>
      </c>
    </row>
    <row r="1241" spans="1:3" ht="15" x14ac:dyDescent="0.25">
      <c r="A1241" s="108" t="s">
        <v>2760</v>
      </c>
      <c r="B1241" s="3" t="s">
        <v>2761</v>
      </c>
      <c r="C1241" s="109">
        <v>352944.11</v>
      </c>
    </row>
    <row r="1242" spans="1:3" ht="15" x14ac:dyDescent="0.25">
      <c r="A1242" s="108" t="s">
        <v>2762</v>
      </c>
      <c r="B1242" s="3" t="s">
        <v>2763</v>
      </c>
      <c r="C1242" s="109">
        <v>40578.640000000072</v>
      </c>
    </row>
    <row r="1243" spans="1:3" ht="15" x14ac:dyDescent="0.25">
      <c r="A1243" s="108" t="s">
        <v>2764</v>
      </c>
      <c r="B1243" s="3" t="s">
        <v>2765</v>
      </c>
      <c r="C1243" s="109">
        <v>360049.99000000011</v>
      </c>
    </row>
    <row r="1244" spans="1:3" ht="15" x14ac:dyDescent="0.25">
      <c r="A1244" s="108" t="s">
        <v>2766</v>
      </c>
      <c r="B1244" s="3" t="s">
        <v>2767</v>
      </c>
      <c r="C1244" s="109">
        <v>137620.41999999995</v>
      </c>
    </row>
    <row r="1245" spans="1:3" ht="15" x14ac:dyDescent="0.25">
      <c r="A1245" s="108" t="s">
        <v>2768</v>
      </c>
      <c r="B1245" s="3" t="s">
        <v>2769</v>
      </c>
      <c r="C1245" s="109">
        <v>433102.04999999964</v>
      </c>
    </row>
    <row r="1246" spans="1:3" ht="15" x14ac:dyDescent="0.25">
      <c r="A1246" s="108" t="s">
        <v>2770</v>
      </c>
      <c r="B1246" s="3" t="s">
        <v>2771</v>
      </c>
      <c r="C1246" s="109">
        <v>66289.230000000069</v>
      </c>
    </row>
    <row r="1247" spans="1:3" ht="15" x14ac:dyDescent="0.25">
      <c r="A1247" s="108" t="s">
        <v>2772</v>
      </c>
      <c r="B1247" s="3" t="s">
        <v>2773</v>
      </c>
      <c r="C1247" s="109">
        <v>402761.48000000004</v>
      </c>
    </row>
    <row r="1248" spans="1:3" ht="15" x14ac:dyDescent="0.25">
      <c r="A1248" s="108" t="s">
        <v>2774</v>
      </c>
      <c r="B1248" s="3" t="s">
        <v>2775</v>
      </c>
      <c r="C1248" s="109">
        <v>361356.8000000001</v>
      </c>
    </row>
    <row r="1249" spans="1:3" ht="15" x14ac:dyDescent="0.25">
      <c r="A1249" s="108" t="s">
        <v>2776</v>
      </c>
      <c r="B1249" s="3" t="s">
        <v>2777</v>
      </c>
      <c r="C1249" s="109">
        <v>294111.84999999992</v>
      </c>
    </row>
    <row r="1250" spans="1:3" ht="15" x14ac:dyDescent="0.25">
      <c r="A1250" s="108" t="s">
        <v>2778</v>
      </c>
      <c r="B1250" s="3" t="s">
        <v>2779</v>
      </c>
      <c r="C1250" s="109">
        <v>392940.18999999989</v>
      </c>
    </row>
    <row r="1251" spans="1:3" ht="15" x14ac:dyDescent="0.25">
      <c r="A1251" s="108" t="s">
        <v>2780</v>
      </c>
      <c r="B1251" s="3" t="s">
        <v>2781</v>
      </c>
      <c r="C1251" s="109">
        <v>230229.19000000006</v>
      </c>
    </row>
    <row r="1252" spans="1:3" ht="15" x14ac:dyDescent="0.25">
      <c r="A1252" s="108" t="s">
        <v>2782</v>
      </c>
      <c r="B1252" s="3" t="s">
        <v>2783</v>
      </c>
      <c r="C1252" s="109">
        <v>384476.7</v>
      </c>
    </row>
    <row r="1253" spans="1:3" ht="15" x14ac:dyDescent="0.25">
      <c r="A1253" s="108" t="s">
        <v>2784</v>
      </c>
      <c r="B1253" s="3" t="s">
        <v>2785</v>
      </c>
      <c r="C1253" s="109">
        <v>524488.69999999984</v>
      </c>
    </row>
    <row r="1254" spans="1:3" ht="15" x14ac:dyDescent="0.25">
      <c r="A1254" s="108" t="s">
        <v>2786</v>
      </c>
      <c r="B1254" s="3" t="s">
        <v>2787</v>
      </c>
      <c r="C1254" s="109">
        <v>431073.8299999999</v>
      </c>
    </row>
    <row r="1255" spans="1:3" ht="15" x14ac:dyDescent="0.25">
      <c r="A1255" s="108" t="s">
        <v>2788</v>
      </c>
      <c r="B1255" s="3" t="s">
        <v>2789</v>
      </c>
      <c r="C1255" s="109">
        <v>83385.02</v>
      </c>
    </row>
    <row r="1256" spans="1:3" ht="15" x14ac:dyDescent="0.25">
      <c r="A1256" s="108" t="s">
        <v>2790</v>
      </c>
      <c r="B1256" s="3" t="s">
        <v>2791</v>
      </c>
      <c r="C1256" s="109">
        <v>294791.2699999999</v>
      </c>
    </row>
    <row r="1257" spans="1:3" ht="15" x14ac:dyDescent="0.25">
      <c r="A1257" s="108" t="s">
        <v>2792</v>
      </c>
      <c r="B1257" s="3" t="s">
        <v>2793</v>
      </c>
      <c r="C1257" s="109">
        <v>865763.56999999983</v>
      </c>
    </row>
    <row r="1258" spans="1:3" ht="15" x14ac:dyDescent="0.25">
      <c r="A1258" s="108" t="s">
        <v>2794</v>
      </c>
      <c r="B1258" s="3" t="s">
        <v>2795</v>
      </c>
      <c r="C1258" s="109">
        <v>1651571.5999999982</v>
      </c>
    </row>
    <row r="1259" spans="1:3" ht="15" x14ac:dyDescent="0.25">
      <c r="A1259" s="108" t="s">
        <v>2796</v>
      </c>
      <c r="B1259" s="3" t="s">
        <v>2797</v>
      </c>
      <c r="C1259" s="109">
        <v>323110.43999999977</v>
      </c>
    </row>
    <row r="1260" spans="1:3" ht="15" x14ac:dyDescent="0.25">
      <c r="A1260" s="108" t="s">
        <v>2798</v>
      </c>
      <c r="B1260" s="3" t="s">
        <v>2799</v>
      </c>
      <c r="C1260" s="109">
        <v>306299.10999999987</v>
      </c>
    </row>
    <row r="1261" spans="1:3" ht="15" x14ac:dyDescent="0.25">
      <c r="A1261" s="108" t="s">
        <v>2800</v>
      </c>
      <c r="B1261" s="3" t="s">
        <v>2801</v>
      </c>
      <c r="C1261" s="109">
        <v>230635.56000000003</v>
      </c>
    </row>
    <row r="1262" spans="1:3" ht="15" x14ac:dyDescent="0.25">
      <c r="A1262" s="108" t="s">
        <v>2802</v>
      </c>
      <c r="B1262" s="3" t="s">
        <v>2803</v>
      </c>
      <c r="C1262" s="109">
        <v>65282.739999999991</v>
      </c>
    </row>
    <row r="1263" spans="1:3" ht="15" x14ac:dyDescent="0.25">
      <c r="A1263" s="108" t="s">
        <v>2804</v>
      </c>
      <c r="B1263" s="3" t="s">
        <v>2805</v>
      </c>
      <c r="C1263" s="109">
        <v>342557.29000000021</v>
      </c>
    </row>
    <row r="1264" spans="1:3" ht="15" x14ac:dyDescent="0.25">
      <c r="A1264" s="108" t="s">
        <v>2806</v>
      </c>
      <c r="B1264" s="3" t="s">
        <v>2807</v>
      </c>
      <c r="C1264" s="109">
        <v>381215.13000000035</v>
      </c>
    </row>
    <row r="1265" spans="1:3" ht="15" x14ac:dyDescent="0.25">
      <c r="A1265" s="108" t="s">
        <v>2808</v>
      </c>
      <c r="B1265" s="3" t="s">
        <v>2809</v>
      </c>
      <c r="C1265" s="109">
        <v>154077.15999999977</v>
      </c>
    </row>
    <row r="1266" spans="1:3" ht="15" x14ac:dyDescent="0.25">
      <c r="A1266" s="108" t="s">
        <v>2810</v>
      </c>
      <c r="B1266" s="3" t="s">
        <v>2811</v>
      </c>
      <c r="C1266" s="109">
        <v>88802.840000000026</v>
      </c>
    </row>
    <row r="1267" spans="1:3" ht="15" x14ac:dyDescent="0.25">
      <c r="A1267" s="108" t="s">
        <v>2812</v>
      </c>
      <c r="B1267" s="3" t="s">
        <v>2813</v>
      </c>
      <c r="C1267" s="109">
        <v>96471.11</v>
      </c>
    </row>
    <row r="1268" spans="1:3" ht="15" x14ac:dyDescent="0.25">
      <c r="A1268" s="108" t="s">
        <v>2814</v>
      </c>
      <c r="B1268" s="3" t="s">
        <v>2815</v>
      </c>
      <c r="C1268" s="109">
        <v>47090.300000000025</v>
      </c>
    </row>
    <row r="1269" spans="1:3" ht="15" x14ac:dyDescent="0.25">
      <c r="A1269" s="108" t="s">
        <v>2816</v>
      </c>
      <c r="B1269" s="3" t="s">
        <v>2817</v>
      </c>
      <c r="C1269" s="109">
        <v>12400.849999999999</v>
      </c>
    </row>
    <row r="1270" spans="1:3" ht="15" x14ac:dyDescent="0.25">
      <c r="A1270" s="108" t="s">
        <v>2818</v>
      </c>
      <c r="B1270" s="3" t="s">
        <v>2819</v>
      </c>
      <c r="C1270" s="109">
        <v>17003.580000000002</v>
      </c>
    </row>
    <row r="1271" spans="1:3" ht="15" x14ac:dyDescent="0.25">
      <c r="A1271" s="108" t="s">
        <v>2820</v>
      </c>
      <c r="B1271" s="3" t="s">
        <v>2821</v>
      </c>
      <c r="C1271" s="109">
        <v>-19844.570000000014</v>
      </c>
    </row>
    <row r="1272" spans="1:3" ht="15" x14ac:dyDescent="0.25">
      <c r="A1272" s="108" t="s">
        <v>2822</v>
      </c>
      <c r="B1272" s="3" t="s">
        <v>2823</v>
      </c>
      <c r="C1272" s="109">
        <v>180841.53999999995</v>
      </c>
    </row>
    <row r="1273" spans="1:3" ht="15" x14ac:dyDescent="0.25">
      <c r="A1273" s="108" t="s">
        <v>2824</v>
      </c>
      <c r="B1273" s="3" t="s">
        <v>2825</v>
      </c>
      <c r="C1273" s="109">
        <v>25072.21</v>
      </c>
    </row>
    <row r="1274" spans="1:3" ht="15" x14ac:dyDescent="0.25">
      <c r="A1274" s="108" t="s">
        <v>2826</v>
      </c>
      <c r="B1274" s="3" t="s">
        <v>2827</v>
      </c>
      <c r="C1274" s="109">
        <v>65969.230000000025</v>
      </c>
    </row>
    <row r="1275" spans="1:3" ht="15" x14ac:dyDescent="0.25">
      <c r="A1275" s="108" t="s">
        <v>2828</v>
      </c>
      <c r="B1275" s="3" t="s">
        <v>2829</v>
      </c>
      <c r="C1275" s="109">
        <v>-8039.38</v>
      </c>
    </row>
    <row r="1276" spans="1:3" ht="15" x14ac:dyDescent="0.25">
      <c r="A1276" s="108" t="s">
        <v>2830</v>
      </c>
      <c r="B1276" s="3" t="s">
        <v>2831</v>
      </c>
      <c r="C1276" s="109">
        <v>43721.030000000006</v>
      </c>
    </row>
    <row r="1277" spans="1:3" ht="15" x14ac:dyDescent="0.25">
      <c r="A1277" s="108" t="s">
        <v>2832</v>
      </c>
      <c r="B1277" s="3" t="s">
        <v>2833</v>
      </c>
      <c r="C1277" s="109">
        <v>24766.42000000002</v>
      </c>
    </row>
    <row r="1278" spans="1:3" ht="15" x14ac:dyDescent="0.25">
      <c r="A1278" s="108" t="s">
        <v>2834</v>
      </c>
      <c r="B1278" s="3" t="s">
        <v>2835</v>
      </c>
      <c r="C1278" s="109">
        <v>2700.8</v>
      </c>
    </row>
    <row r="1279" spans="1:3" ht="15" x14ac:dyDescent="0.25">
      <c r="A1279" s="108" t="s">
        <v>2836</v>
      </c>
      <c r="B1279" s="3" t="s">
        <v>2837</v>
      </c>
      <c r="C1279" s="109">
        <v>924.69999999999982</v>
      </c>
    </row>
    <row r="1280" spans="1:3" ht="15" x14ac:dyDescent="0.25">
      <c r="A1280" s="108" t="s">
        <v>2838</v>
      </c>
      <c r="B1280" s="3" t="s">
        <v>2839</v>
      </c>
      <c r="C1280" s="109">
        <v>1459.35</v>
      </c>
    </row>
    <row r="1281" spans="1:3" ht="15" x14ac:dyDescent="0.25">
      <c r="A1281" s="108" t="s">
        <v>2840</v>
      </c>
      <c r="B1281" s="3" t="s">
        <v>2841</v>
      </c>
      <c r="C1281" s="109">
        <v>-339.55999999999995</v>
      </c>
    </row>
    <row r="1282" spans="1:3" ht="15" x14ac:dyDescent="0.25">
      <c r="A1282" s="108" t="s">
        <v>2842</v>
      </c>
      <c r="B1282" s="3" t="s">
        <v>2843</v>
      </c>
      <c r="C1282" s="109">
        <v>783.87999999999988</v>
      </c>
    </row>
    <row r="1283" spans="1:3" ht="15" x14ac:dyDescent="0.25">
      <c r="A1283" s="108" t="s">
        <v>2844</v>
      </c>
      <c r="B1283" s="3" t="s">
        <v>2845</v>
      </c>
      <c r="C1283" s="109">
        <v>33617.920000000013</v>
      </c>
    </row>
    <row r="1284" spans="1:3" ht="15" x14ac:dyDescent="0.25">
      <c r="A1284" s="108" t="s">
        <v>2846</v>
      </c>
      <c r="B1284" s="3" t="s">
        <v>2847</v>
      </c>
      <c r="C1284" s="109">
        <v>-12716.39000000009</v>
      </c>
    </row>
    <row r="1285" spans="1:3" ht="15" x14ac:dyDescent="0.25">
      <c r="A1285" s="108" t="s">
        <v>2848</v>
      </c>
      <c r="B1285" s="3" t="s">
        <v>2849</v>
      </c>
      <c r="C1285" s="109">
        <v>35964.330000000009</v>
      </c>
    </row>
    <row r="1286" spans="1:3" ht="15" x14ac:dyDescent="0.25">
      <c r="A1286" s="108" t="s">
        <v>2850</v>
      </c>
      <c r="B1286" s="3" t="s">
        <v>2851</v>
      </c>
      <c r="C1286" s="109">
        <v>-21109.61000000011</v>
      </c>
    </row>
    <row r="1287" spans="1:3" ht="15" x14ac:dyDescent="0.25">
      <c r="A1287" s="108" t="s">
        <v>2852</v>
      </c>
      <c r="B1287" s="3" t="s">
        <v>2853</v>
      </c>
      <c r="C1287" s="109">
        <v>78054.199999999924</v>
      </c>
    </row>
    <row r="1288" spans="1:3" ht="15" x14ac:dyDescent="0.25">
      <c r="A1288" s="108" t="s">
        <v>2854</v>
      </c>
      <c r="B1288" s="3" t="s">
        <v>2855</v>
      </c>
      <c r="C1288" s="109">
        <v>704726.9700000002</v>
      </c>
    </row>
    <row r="1289" spans="1:3" ht="15" x14ac:dyDescent="0.25">
      <c r="A1289" s="108" t="s">
        <v>2856</v>
      </c>
      <c r="B1289" s="3" t="s">
        <v>2857</v>
      </c>
      <c r="C1289" s="109">
        <v>46573.130000000048</v>
      </c>
    </row>
    <row r="1290" spans="1:3" ht="15" x14ac:dyDescent="0.25">
      <c r="A1290" s="108" t="s">
        <v>2858</v>
      </c>
      <c r="B1290" s="3" t="s">
        <v>2859</v>
      </c>
      <c r="C1290" s="109">
        <v>102366.59000000003</v>
      </c>
    </row>
    <row r="1291" spans="1:3" ht="15" x14ac:dyDescent="0.25">
      <c r="A1291" s="108" t="s">
        <v>2860</v>
      </c>
      <c r="B1291" s="3" t="s">
        <v>2861</v>
      </c>
      <c r="C1291" s="109">
        <v>181188.18000000011</v>
      </c>
    </row>
    <row r="1292" spans="1:3" ht="15" x14ac:dyDescent="0.25">
      <c r="A1292" s="108" t="s">
        <v>2862</v>
      </c>
      <c r="B1292" s="3" t="s">
        <v>2863</v>
      </c>
      <c r="C1292" s="109">
        <v>68362.830000000045</v>
      </c>
    </row>
    <row r="1293" spans="1:3" ht="15" x14ac:dyDescent="0.25">
      <c r="A1293" s="108" t="s">
        <v>2864</v>
      </c>
      <c r="B1293" s="3" t="s">
        <v>2865</v>
      </c>
      <c r="C1293" s="109">
        <v>1278315.3499999994</v>
      </c>
    </row>
    <row r="1294" spans="1:3" ht="15" x14ac:dyDescent="0.25">
      <c r="A1294" s="108" t="s">
        <v>2866</v>
      </c>
      <c r="B1294" s="3" t="s">
        <v>2867</v>
      </c>
      <c r="C1294" s="109">
        <v>27303.569999999974</v>
      </c>
    </row>
    <row r="1295" spans="1:3" ht="15" x14ac:dyDescent="0.25">
      <c r="A1295" s="108" t="s">
        <v>2868</v>
      </c>
      <c r="B1295" s="3" t="s">
        <v>2869</v>
      </c>
      <c r="C1295" s="109">
        <v>148410.7600000001</v>
      </c>
    </row>
    <row r="1296" spans="1:3" ht="15" x14ac:dyDescent="0.25">
      <c r="A1296" s="108" t="s">
        <v>2870</v>
      </c>
      <c r="B1296" s="3" t="s">
        <v>2871</v>
      </c>
      <c r="C1296" s="109">
        <v>21855.189999999991</v>
      </c>
    </row>
    <row r="1297" spans="1:3" ht="15" x14ac:dyDescent="0.25">
      <c r="A1297" s="108" t="s">
        <v>2872</v>
      </c>
      <c r="B1297" s="3" t="s">
        <v>2873</v>
      </c>
      <c r="C1297" s="109">
        <v>267695.22999999992</v>
      </c>
    </row>
    <row r="1298" spans="1:3" ht="15" x14ac:dyDescent="0.25">
      <c r="A1298" s="108" t="s">
        <v>2874</v>
      </c>
      <c r="B1298" s="3" t="s">
        <v>2875</v>
      </c>
      <c r="C1298" s="109">
        <v>20127.610000000004</v>
      </c>
    </row>
    <row r="1299" spans="1:3" ht="15" x14ac:dyDescent="0.25">
      <c r="A1299" s="108" t="s">
        <v>2876</v>
      </c>
      <c r="B1299" s="3" t="s">
        <v>2877</v>
      </c>
      <c r="C1299" s="109">
        <v>46221.469999999994</v>
      </c>
    </row>
    <row r="1300" spans="1:3" ht="15" x14ac:dyDescent="0.25">
      <c r="A1300" s="108" t="s">
        <v>2878</v>
      </c>
      <c r="B1300" s="3" t="s">
        <v>2879</v>
      </c>
      <c r="C1300" s="109">
        <v>795.01</v>
      </c>
    </row>
    <row r="1301" spans="1:3" ht="15" x14ac:dyDescent="0.25">
      <c r="A1301" s="108" t="s">
        <v>2880</v>
      </c>
      <c r="B1301" s="3" t="s">
        <v>2881</v>
      </c>
      <c r="C1301" s="109">
        <v>138535.78000000003</v>
      </c>
    </row>
    <row r="1302" spans="1:3" ht="15" x14ac:dyDescent="0.25">
      <c r="A1302" s="108" t="s">
        <v>2882</v>
      </c>
      <c r="B1302" s="3" t="s">
        <v>2883</v>
      </c>
      <c r="C1302" s="109">
        <v>17196.09</v>
      </c>
    </row>
    <row r="1303" spans="1:3" ht="15" x14ac:dyDescent="0.25">
      <c r="A1303" s="108" t="s">
        <v>2884</v>
      </c>
      <c r="B1303" s="3" t="s">
        <v>2885</v>
      </c>
      <c r="C1303" s="109">
        <v>842661.58999999973</v>
      </c>
    </row>
    <row r="1304" spans="1:3" ht="15" x14ac:dyDescent="0.25">
      <c r="A1304" s="108" t="s">
        <v>2886</v>
      </c>
      <c r="B1304" s="3" t="s">
        <v>2887</v>
      </c>
      <c r="C1304" s="109">
        <v>677540.17999999935</v>
      </c>
    </row>
    <row r="1305" spans="1:3" ht="15" x14ac:dyDescent="0.25">
      <c r="A1305" s="108" t="s">
        <v>2888</v>
      </c>
      <c r="B1305" s="3" t="s">
        <v>2889</v>
      </c>
      <c r="C1305" s="109">
        <v>270789.78999999992</v>
      </c>
    </row>
    <row r="1306" spans="1:3" ht="15" x14ac:dyDescent="0.25">
      <c r="A1306" s="108" t="s">
        <v>2890</v>
      </c>
      <c r="B1306" s="3" t="s">
        <v>2891</v>
      </c>
      <c r="C1306" s="109">
        <v>27860.509999999995</v>
      </c>
    </row>
    <row r="1307" spans="1:3" ht="15" x14ac:dyDescent="0.25">
      <c r="A1307" s="108" t="s">
        <v>2892</v>
      </c>
      <c r="B1307" s="3" t="s">
        <v>2893</v>
      </c>
      <c r="C1307" s="109">
        <v>54169.419999999962</v>
      </c>
    </row>
    <row r="1308" spans="1:3" ht="15" x14ac:dyDescent="0.25">
      <c r="A1308" s="108" t="s">
        <v>2894</v>
      </c>
      <c r="B1308" s="3" t="s">
        <v>2895</v>
      </c>
      <c r="C1308" s="109">
        <v>4027.1399999999994</v>
      </c>
    </row>
    <row r="1309" spans="1:3" ht="15" x14ac:dyDescent="0.25">
      <c r="A1309" s="108" t="s">
        <v>2896</v>
      </c>
      <c r="B1309" s="3" t="s">
        <v>2897</v>
      </c>
      <c r="C1309" s="109">
        <v>201143.65000000029</v>
      </c>
    </row>
    <row r="1310" spans="1:3" ht="15" x14ac:dyDescent="0.25">
      <c r="A1310" s="108" t="s">
        <v>2898</v>
      </c>
      <c r="B1310" s="3" t="s">
        <v>2899</v>
      </c>
      <c r="C1310" s="109">
        <v>12660.690000000002</v>
      </c>
    </row>
    <row r="1311" spans="1:3" ht="15" x14ac:dyDescent="0.25">
      <c r="A1311" s="108" t="s">
        <v>2900</v>
      </c>
      <c r="B1311" s="3" t="s">
        <v>2901</v>
      </c>
      <c r="C1311" s="109">
        <v>76899.649999999951</v>
      </c>
    </row>
    <row r="1312" spans="1:3" ht="15" x14ac:dyDescent="0.25">
      <c r="A1312" s="108" t="s">
        <v>2902</v>
      </c>
      <c r="B1312" s="3" t="s">
        <v>2903</v>
      </c>
      <c r="C1312" s="109">
        <v>212.42999999999998</v>
      </c>
    </row>
    <row r="1313" spans="1:3" ht="15" x14ac:dyDescent="0.25">
      <c r="A1313" s="108" t="s">
        <v>2904</v>
      </c>
      <c r="B1313" s="3" t="s">
        <v>2905</v>
      </c>
      <c r="C1313" s="109">
        <v>53212.000000000029</v>
      </c>
    </row>
    <row r="1314" spans="1:3" ht="15" x14ac:dyDescent="0.25">
      <c r="A1314" s="108" t="s">
        <v>2906</v>
      </c>
      <c r="B1314" s="3" t="s">
        <v>2907</v>
      </c>
      <c r="C1314" s="109">
        <v>16700.489999999991</v>
      </c>
    </row>
    <row r="1315" spans="1:3" ht="15" x14ac:dyDescent="0.25">
      <c r="A1315" s="108" t="s">
        <v>2908</v>
      </c>
      <c r="B1315" s="3" t="s">
        <v>2909</v>
      </c>
      <c r="C1315" s="109">
        <v>70674.420000000042</v>
      </c>
    </row>
    <row r="1316" spans="1:3" ht="15" x14ac:dyDescent="0.25">
      <c r="A1316" s="108" t="s">
        <v>2910</v>
      </c>
      <c r="B1316" s="3" t="s">
        <v>2911</v>
      </c>
      <c r="C1316" s="109">
        <v>42172.159999999996</v>
      </c>
    </row>
    <row r="1317" spans="1:3" ht="15" x14ac:dyDescent="0.25">
      <c r="A1317" s="108" t="s">
        <v>2912</v>
      </c>
      <c r="B1317" s="3" t="s">
        <v>2913</v>
      </c>
      <c r="C1317" s="109">
        <v>60386.119999999974</v>
      </c>
    </row>
    <row r="1318" spans="1:3" ht="15" x14ac:dyDescent="0.25">
      <c r="A1318" s="108" t="s">
        <v>2914</v>
      </c>
      <c r="B1318" s="3" t="s">
        <v>2915</v>
      </c>
      <c r="C1318" s="109">
        <v>313122.34999999992</v>
      </c>
    </row>
    <row r="1319" spans="1:3" ht="15" x14ac:dyDescent="0.25">
      <c r="A1319" s="108" t="s">
        <v>2916</v>
      </c>
      <c r="B1319" s="3" t="s">
        <v>2917</v>
      </c>
      <c r="C1319" s="109">
        <v>148834.97999999995</v>
      </c>
    </row>
    <row r="1320" spans="1:3" ht="15" x14ac:dyDescent="0.25">
      <c r="A1320" s="108" t="s">
        <v>2918</v>
      </c>
      <c r="B1320" s="3" t="s">
        <v>2919</v>
      </c>
      <c r="C1320" s="109">
        <v>36517.170000000013</v>
      </c>
    </row>
    <row r="1321" spans="1:3" ht="15" x14ac:dyDescent="0.25">
      <c r="A1321" s="108" t="s">
        <v>2920</v>
      </c>
      <c r="B1321" s="3" t="s">
        <v>2921</v>
      </c>
      <c r="C1321" s="109">
        <v>105185.39000000003</v>
      </c>
    </row>
    <row r="1322" spans="1:3" ht="15" x14ac:dyDescent="0.25">
      <c r="A1322" s="108" t="s">
        <v>2922</v>
      </c>
      <c r="B1322" s="3" t="s">
        <v>2923</v>
      </c>
      <c r="C1322" s="109">
        <v>128142.13999999998</v>
      </c>
    </row>
    <row r="1323" spans="1:3" ht="15" x14ac:dyDescent="0.25">
      <c r="A1323" s="108" t="s">
        <v>2924</v>
      </c>
      <c r="B1323" s="3" t="s">
        <v>2925</v>
      </c>
      <c r="C1323" s="109">
        <v>664.6</v>
      </c>
    </row>
    <row r="1324" spans="1:3" ht="15" x14ac:dyDescent="0.25">
      <c r="A1324" s="108" t="s">
        <v>2926</v>
      </c>
      <c r="B1324" s="3" t="s">
        <v>2927</v>
      </c>
      <c r="C1324" s="109">
        <v>7124.9500000000053</v>
      </c>
    </row>
    <row r="1325" spans="1:3" ht="15" x14ac:dyDescent="0.25">
      <c r="A1325" s="108" t="s">
        <v>2928</v>
      </c>
      <c r="B1325" s="3" t="s">
        <v>2929</v>
      </c>
      <c r="C1325" s="109">
        <v>7314.14</v>
      </c>
    </row>
    <row r="1326" spans="1:3" ht="15" x14ac:dyDescent="0.25">
      <c r="A1326" s="108" t="s">
        <v>2930</v>
      </c>
      <c r="B1326" s="3" t="s">
        <v>2931</v>
      </c>
      <c r="C1326" s="109">
        <v>36207.51999999999</v>
      </c>
    </row>
    <row r="1327" spans="1:3" ht="15" x14ac:dyDescent="0.25">
      <c r="A1327" s="108" t="s">
        <v>2932</v>
      </c>
      <c r="B1327" s="3" t="s">
        <v>2933</v>
      </c>
      <c r="C1327" s="109">
        <v>3667.8299999999995</v>
      </c>
    </row>
    <row r="1328" spans="1:3" ht="15" x14ac:dyDescent="0.25">
      <c r="A1328" s="108" t="s">
        <v>2934</v>
      </c>
      <c r="B1328" s="3" t="s">
        <v>2935</v>
      </c>
      <c r="C1328" s="109">
        <v>-34120.999999999985</v>
      </c>
    </row>
    <row r="1329" spans="1:3" ht="15" x14ac:dyDescent="0.25">
      <c r="A1329" s="108" t="s">
        <v>2936</v>
      </c>
      <c r="B1329" s="3" t="s">
        <v>2937</v>
      </c>
      <c r="C1329" s="109">
        <v>6155.35</v>
      </c>
    </row>
    <row r="1330" spans="1:3" ht="15" x14ac:dyDescent="0.25">
      <c r="A1330" s="108" t="s">
        <v>2938</v>
      </c>
      <c r="B1330" s="3" t="s">
        <v>2939</v>
      </c>
      <c r="C1330" s="109">
        <v>-10857.369999999999</v>
      </c>
    </row>
    <row r="1331" spans="1:3" ht="15" x14ac:dyDescent="0.25">
      <c r="A1331" s="108" t="s">
        <v>2940</v>
      </c>
      <c r="B1331" s="3" t="s">
        <v>2941</v>
      </c>
      <c r="C1331" s="109">
        <v>2448.7999999999984</v>
      </c>
    </row>
    <row r="1332" spans="1:3" ht="15" x14ac:dyDescent="0.25">
      <c r="A1332" s="108" t="s">
        <v>2942</v>
      </c>
      <c r="B1332" s="3" t="s">
        <v>2943</v>
      </c>
      <c r="C1332" s="109">
        <v>1204211.7799999993</v>
      </c>
    </row>
    <row r="1333" spans="1:3" ht="15" x14ac:dyDescent="0.25">
      <c r="A1333" s="108" t="s">
        <v>2944</v>
      </c>
      <c r="B1333" s="3" t="s">
        <v>2945</v>
      </c>
      <c r="C1333" s="109">
        <v>254558.45000000004</v>
      </c>
    </row>
    <row r="1334" spans="1:3" ht="15" x14ac:dyDescent="0.25">
      <c r="A1334" s="108" t="s">
        <v>2946</v>
      </c>
      <c r="B1334" s="3" t="s">
        <v>2947</v>
      </c>
      <c r="C1334" s="109">
        <v>516973.95000000024</v>
      </c>
    </row>
    <row r="1335" spans="1:3" ht="15" x14ac:dyDescent="0.25">
      <c r="A1335" s="108" t="s">
        <v>2948</v>
      </c>
      <c r="B1335" s="3" t="s">
        <v>2949</v>
      </c>
      <c r="C1335" s="109">
        <v>475335.24000000017</v>
      </c>
    </row>
    <row r="1336" spans="1:3" ht="15" x14ac:dyDescent="0.25">
      <c r="A1336" s="108" t="s">
        <v>2950</v>
      </c>
      <c r="B1336" s="3" t="s">
        <v>2951</v>
      </c>
      <c r="C1336" s="109">
        <v>422909.19999999972</v>
      </c>
    </row>
    <row r="1337" spans="1:3" ht="15" x14ac:dyDescent="0.25">
      <c r="A1337" s="108" t="s">
        <v>2952</v>
      </c>
      <c r="B1337" s="3" t="s">
        <v>2953</v>
      </c>
      <c r="C1337" s="109">
        <v>1042274.6699999991</v>
      </c>
    </row>
    <row r="1338" spans="1:3" ht="15" x14ac:dyDescent="0.25">
      <c r="A1338" s="108" t="s">
        <v>2954</v>
      </c>
      <c r="B1338" s="3" t="s">
        <v>2955</v>
      </c>
      <c r="C1338" s="109">
        <v>422680.15999999968</v>
      </c>
    </row>
    <row r="1339" spans="1:3" ht="15" x14ac:dyDescent="0.25">
      <c r="A1339" s="108" t="s">
        <v>2956</v>
      </c>
      <c r="B1339" s="3" t="s">
        <v>2957</v>
      </c>
      <c r="C1339" s="109">
        <v>381902.29999999981</v>
      </c>
    </row>
    <row r="1340" spans="1:3" ht="15" x14ac:dyDescent="0.25">
      <c r="A1340" s="108" t="s">
        <v>2958</v>
      </c>
      <c r="B1340" s="3" t="s">
        <v>2959</v>
      </c>
      <c r="C1340" s="109">
        <v>206823.93999999989</v>
      </c>
    </row>
    <row r="1341" spans="1:3" ht="15" x14ac:dyDescent="0.25">
      <c r="A1341" s="108" t="s">
        <v>2960</v>
      </c>
      <c r="B1341" s="3" t="s">
        <v>2961</v>
      </c>
      <c r="C1341" s="109">
        <v>260429.63999999998</v>
      </c>
    </row>
    <row r="1342" spans="1:3" ht="15" x14ac:dyDescent="0.25">
      <c r="A1342" s="108" t="s">
        <v>2962</v>
      </c>
      <c r="B1342" s="3" t="s">
        <v>2963</v>
      </c>
      <c r="C1342" s="109">
        <v>601615.2999999997</v>
      </c>
    </row>
    <row r="1343" spans="1:3" ht="15" x14ac:dyDescent="0.25">
      <c r="A1343" s="108" t="s">
        <v>2964</v>
      </c>
      <c r="B1343" s="3" t="s">
        <v>2965</v>
      </c>
      <c r="C1343" s="109">
        <v>213528.78000000026</v>
      </c>
    </row>
    <row r="1344" spans="1:3" ht="15" x14ac:dyDescent="0.25">
      <c r="A1344" s="108" t="s">
        <v>2966</v>
      </c>
      <c r="B1344" s="3" t="s">
        <v>2967</v>
      </c>
      <c r="C1344" s="109">
        <v>198511.01999999993</v>
      </c>
    </row>
    <row r="1345" spans="1:3" ht="15" x14ac:dyDescent="0.25">
      <c r="A1345" s="108" t="s">
        <v>2968</v>
      </c>
      <c r="B1345" s="3" t="s">
        <v>2969</v>
      </c>
      <c r="C1345" s="109">
        <v>170076.24000000002</v>
      </c>
    </row>
    <row r="1346" spans="1:3" ht="15" x14ac:dyDescent="0.25">
      <c r="A1346" s="108" t="s">
        <v>2970</v>
      </c>
      <c r="B1346" s="3" t="s">
        <v>2971</v>
      </c>
      <c r="C1346" s="109">
        <v>247492.15999999997</v>
      </c>
    </row>
    <row r="1347" spans="1:3" ht="15" x14ac:dyDescent="0.25">
      <c r="A1347" s="108" t="s">
        <v>2972</v>
      </c>
      <c r="B1347" s="3" t="s">
        <v>2973</v>
      </c>
      <c r="C1347" s="109">
        <v>729990.2200000002</v>
      </c>
    </row>
    <row r="1348" spans="1:3" ht="15" x14ac:dyDescent="0.25">
      <c r="A1348" s="108" t="s">
        <v>2974</v>
      </c>
      <c r="B1348" s="3" t="s">
        <v>2975</v>
      </c>
      <c r="C1348" s="109">
        <v>166881.43999999994</v>
      </c>
    </row>
    <row r="1349" spans="1:3" ht="15" x14ac:dyDescent="0.25">
      <c r="A1349" s="108" t="s">
        <v>2976</v>
      </c>
      <c r="B1349" s="3" t="s">
        <v>2977</v>
      </c>
      <c r="C1349" s="109">
        <v>84222.399999999994</v>
      </c>
    </row>
    <row r="1350" spans="1:3" ht="15" x14ac:dyDescent="0.25">
      <c r="A1350" s="108" t="s">
        <v>2978</v>
      </c>
      <c r="B1350" s="3" t="s">
        <v>2979</v>
      </c>
      <c r="C1350" s="109">
        <v>292157.87999999983</v>
      </c>
    </row>
    <row r="1351" spans="1:3" ht="15" x14ac:dyDescent="0.25">
      <c r="A1351" s="108" t="s">
        <v>2980</v>
      </c>
      <c r="B1351" s="3" t="s">
        <v>2981</v>
      </c>
      <c r="C1351" s="109">
        <v>70891.290000000008</v>
      </c>
    </row>
    <row r="1352" spans="1:3" ht="15" x14ac:dyDescent="0.25">
      <c r="A1352" s="108" t="s">
        <v>2982</v>
      </c>
      <c r="B1352" s="3" t="s">
        <v>2983</v>
      </c>
      <c r="C1352" s="109">
        <v>473339.13</v>
      </c>
    </row>
    <row r="1353" spans="1:3" ht="15" x14ac:dyDescent="0.25">
      <c r="A1353" s="108" t="s">
        <v>2984</v>
      </c>
      <c r="B1353" s="3" t="s">
        <v>2985</v>
      </c>
      <c r="C1353" s="109">
        <v>257014.78000000006</v>
      </c>
    </row>
    <row r="1354" spans="1:3" ht="15" x14ac:dyDescent="0.25">
      <c r="A1354" s="108" t="s">
        <v>2986</v>
      </c>
      <c r="B1354" s="3" t="s">
        <v>2987</v>
      </c>
      <c r="C1354" s="109">
        <v>333337.80000000016</v>
      </c>
    </row>
    <row r="1355" spans="1:3" ht="15" x14ac:dyDescent="0.25">
      <c r="A1355" s="108" t="s">
        <v>2988</v>
      </c>
      <c r="B1355" s="3" t="s">
        <v>2989</v>
      </c>
      <c r="C1355" s="109">
        <v>246117.02999999985</v>
      </c>
    </row>
    <row r="1356" spans="1:3" ht="15" x14ac:dyDescent="0.25">
      <c r="A1356" s="108" t="s">
        <v>2990</v>
      </c>
      <c r="B1356" s="3" t="s">
        <v>2991</v>
      </c>
      <c r="C1356" s="109">
        <v>178257.40999999989</v>
      </c>
    </row>
    <row r="1357" spans="1:3" ht="15" x14ac:dyDescent="0.25">
      <c r="A1357" s="108" t="s">
        <v>2992</v>
      </c>
      <c r="B1357" s="3" t="s">
        <v>2993</v>
      </c>
      <c r="C1357" s="109">
        <v>1599769.3599999992</v>
      </c>
    </row>
    <row r="1358" spans="1:3" ht="15" x14ac:dyDescent="0.25">
      <c r="A1358" s="108" t="s">
        <v>2994</v>
      </c>
      <c r="B1358" s="3" t="s">
        <v>2995</v>
      </c>
      <c r="C1358" s="109">
        <v>309024.5500000001</v>
      </c>
    </row>
    <row r="1359" spans="1:3" ht="15" x14ac:dyDescent="0.25">
      <c r="A1359" s="108" t="s">
        <v>2996</v>
      </c>
      <c r="B1359" s="3" t="s">
        <v>2997</v>
      </c>
      <c r="C1359" s="109">
        <v>226690.86</v>
      </c>
    </row>
    <row r="1360" spans="1:3" ht="15" x14ac:dyDescent="0.25">
      <c r="A1360" s="108" t="s">
        <v>2998</v>
      </c>
      <c r="B1360" s="3" t="s">
        <v>2999</v>
      </c>
      <c r="C1360" s="109">
        <v>312724.67999999982</v>
      </c>
    </row>
    <row r="1361" spans="1:3" ht="15" x14ac:dyDescent="0.25">
      <c r="A1361" s="108" t="s">
        <v>3000</v>
      </c>
      <c r="B1361" s="3" t="s">
        <v>3001</v>
      </c>
      <c r="C1361" s="109">
        <v>89430.290000000037</v>
      </c>
    </row>
    <row r="1362" spans="1:3" ht="15" x14ac:dyDescent="0.25">
      <c r="A1362" s="108" t="s">
        <v>3002</v>
      </c>
      <c r="B1362" s="3" t="s">
        <v>3003</v>
      </c>
      <c r="C1362" s="109">
        <v>87440.790000000037</v>
      </c>
    </row>
    <row r="1363" spans="1:3" ht="15" x14ac:dyDescent="0.25">
      <c r="A1363" s="108" t="s">
        <v>3004</v>
      </c>
      <c r="B1363" s="3" t="s">
        <v>3005</v>
      </c>
      <c r="C1363" s="109">
        <v>147353.15</v>
      </c>
    </row>
    <row r="1364" spans="1:3" ht="15" x14ac:dyDescent="0.25">
      <c r="A1364" s="108" t="s">
        <v>3006</v>
      </c>
      <c r="B1364" s="3" t="s">
        <v>3007</v>
      </c>
      <c r="C1364" s="109">
        <v>46468.649999999994</v>
      </c>
    </row>
    <row r="1365" spans="1:3" ht="15" x14ac:dyDescent="0.25">
      <c r="A1365" s="108" t="s">
        <v>3008</v>
      </c>
      <c r="B1365" s="3" t="s">
        <v>3009</v>
      </c>
      <c r="C1365" s="109">
        <v>27510.070000000003</v>
      </c>
    </row>
    <row r="1366" spans="1:3" ht="15" x14ac:dyDescent="0.25">
      <c r="A1366" s="108" t="s">
        <v>3010</v>
      </c>
      <c r="B1366" s="3" t="s">
        <v>3011</v>
      </c>
      <c r="C1366" s="109">
        <v>50158.539999999986</v>
      </c>
    </row>
    <row r="1367" spans="1:3" ht="15" x14ac:dyDescent="0.25">
      <c r="A1367" s="108" t="s">
        <v>3012</v>
      </c>
      <c r="B1367" s="3" t="s">
        <v>3013</v>
      </c>
      <c r="C1367" s="109">
        <v>253839.6399999999</v>
      </c>
    </row>
    <row r="1368" spans="1:3" ht="15" x14ac:dyDescent="0.25">
      <c r="A1368" s="108" t="s">
        <v>3014</v>
      </c>
      <c r="B1368" s="3" t="s">
        <v>3015</v>
      </c>
      <c r="C1368" s="109">
        <v>70770.490000000034</v>
      </c>
    </row>
    <row r="1369" spans="1:3" ht="15" x14ac:dyDescent="0.25">
      <c r="A1369" s="108" t="s">
        <v>3016</v>
      </c>
      <c r="B1369" s="3" t="s">
        <v>3017</v>
      </c>
      <c r="C1369" s="109">
        <v>140532.92000000004</v>
      </c>
    </row>
    <row r="1370" spans="1:3" ht="15" x14ac:dyDescent="0.25">
      <c r="A1370" s="108" t="s">
        <v>3018</v>
      </c>
      <c r="B1370" s="3" t="s">
        <v>3019</v>
      </c>
      <c r="C1370" s="109">
        <v>520746.85999999981</v>
      </c>
    </row>
    <row r="1371" spans="1:3" ht="15" x14ac:dyDescent="0.25">
      <c r="A1371" s="108" t="s">
        <v>3020</v>
      </c>
      <c r="B1371" s="3" t="s">
        <v>3021</v>
      </c>
      <c r="C1371" s="109">
        <v>106599.01999999997</v>
      </c>
    </row>
    <row r="1372" spans="1:3" ht="15" x14ac:dyDescent="0.25">
      <c r="A1372" s="108" t="s">
        <v>3022</v>
      </c>
      <c r="B1372" s="3" t="s">
        <v>3023</v>
      </c>
      <c r="C1372" s="109">
        <v>4680.2800000000007</v>
      </c>
    </row>
    <row r="1373" spans="1:3" ht="15" x14ac:dyDescent="0.25">
      <c r="A1373" s="108" t="s">
        <v>3024</v>
      </c>
      <c r="B1373" s="3" t="s">
        <v>3025</v>
      </c>
      <c r="C1373" s="109">
        <v>9603.1400000000049</v>
      </c>
    </row>
    <row r="1374" spans="1:3" ht="15" x14ac:dyDescent="0.25">
      <c r="A1374" s="108" t="s">
        <v>3026</v>
      </c>
      <c r="B1374" s="3" t="s">
        <v>3027</v>
      </c>
      <c r="C1374" s="109">
        <v>245893.13000000006</v>
      </c>
    </row>
    <row r="1375" spans="1:3" ht="15" x14ac:dyDescent="0.25">
      <c r="A1375" s="108" t="s">
        <v>3028</v>
      </c>
      <c r="B1375" s="3" t="s">
        <v>3029</v>
      </c>
      <c r="C1375" s="109">
        <v>47829.74000000002</v>
      </c>
    </row>
    <row r="1376" spans="1:3" ht="15" x14ac:dyDescent="0.25">
      <c r="A1376" s="108" t="s">
        <v>3030</v>
      </c>
      <c r="B1376" s="3" t="s">
        <v>3031</v>
      </c>
      <c r="C1376" s="109">
        <v>24890.46</v>
      </c>
    </row>
    <row r="1377" spans="1:3" ht="15" x14ac:dyDescent="0.25">
      <c r="A1377" s="108" t="s">
        <v>3032</v>
      </c>
      <c r="B1377" s="3" t="s">
        <v>3033</v>
      </c>
      <c r="C1377" s="109">
        <v>82027.640000000029</v>
      </c>
    </row>
    <row r="1378" spans="1:3" ht="15" x14ac:dyDescent="0.25">
      <c r="A1378" s="108" t="s">
        <v>3034</v>
      </c>
      <c r="B1378" s="3" t="s">
        <v>3035</v>
      </c>
      <c r="C1378" s="109">
        <v>629980.62000000023</v>
      </c>
    </row>
    <row r="1379" spans="1:3" ht="15" x14ac:dyDescent="0.25">
      <c r="A1379" s="108" t="s">
        <v>3036</v>
      </c>
      <c r="B1379" s="3" t="s">
        <v>3037</v>
      </c>
      <c r="C1379" s="109">
        <v>96080.989999999976</v>
      </c>
    </row>
    <row r="1380" spans="1:3" ht="15" x14ac:dyDescent="0.25">
      <c r="A1380" s="108" t="s">
        <v>3038</v>
      </c>
      <c r="B1380" s="3" t="s">
        <v>3039</v>
      </c>
      <c r="C1380" s="109">
        <v>65206.779999999962</v>
      </c>
    </row>
    <row r="1381" spans="1:3" ht="15" x14ac:dyDescent="0.25">
      <c r="A1381" s="108" t="s">
        <v>3040</v>
      </c>
      <c r="B1381" s="3" t="s">
        <v>3041</v>
      </c>
      <c r="C1381" s="109">
        <v>98496.13999999997</v>
      </c>
    </row>
    <row r="1382" spans="1:3" ht="15" x14ac:dyDescent="0.25">
      <c r="A1382" s="108" t="s">
        <v>3042</v>
      </c>
      <c r="B1382" s="3" t="s">
        <v>3043</v>
      </c>
      <c r="C1382" s="109">
        <v>116647.80999999997</v>
      </c>
    </row>
    <row r="1383" spans="1:3" ht="15" x14ac:dyDescent="0.25">
      <c r="A1383" s="108" t="s">
        <v>3044</v>
      </c>
      <c r="B1383" s="3" t="s">
        <v>3045</v>
      </c>
      <c r="C1383" s="109">
        <v>128438.33000000006</v>
      </c>
    </row>
    <row r="1384" spans="1:3" ht="15" x14ac:dyDescent="0.25">
      <c r="A1384" s="108" t="s">
        <v>3046</v>
      </c>
      <c r="B1384" s="3" t="s">
        <v>3047</v>
      </c>
      <c r="C1384" s="109">
        <v>6263.48</v>
      </c>
    </row>
    <row r="1385" spans="1:3" ht="15" x14ac:dyDescent="0.25">
      <c r="A1385" s="108" t="s">
        <v>3048</v>
      </c>
      <c r="B1385" s="3" t="s">
        <v>3049</v>
      </c>
      <c r="C1385" s="109">
        <v>61463.500000000029</v>
      </c>
    </row>
    <row r="1386" spans="1:3" ht="15" x14ac:dyDescent="0.25">
      <c r="A1386" s="108" t="s">
        <v>3050</v>
      </c>
      <c r="B1386" s="3" t="s">
        <v>3051</v>
      </c>
      <c r="C1386" s="109">
        <v>5593.63</v>
      </c>
    </row>
    <row r="1387" spans="1:3" ht="15" x14ac:dyDescent="0.25">
      <c r="A1387" s="108" t="s">
        <v>3052</v>
      </c>
      <c r="B1387" s="3" t="s">
        <v>3053</v>
      </c>
      <c r="C1387" s="109">
        <v>70087.840000000026</v>
      </c>
    </row>
    <row r="1388" spans="1:3" ht="15" x14ac:dyDescent="0.25">
      <c r="A1388" s="108" t="s">
        <v>3054</v>
      </c>
      <c r="B1388" s="3" t="s">
        <v>3055</v>
      </c>
      <c r="C1388" s="109">
        <v>7836.9599999999991</v>
      </c>
    </row>
    <row r="1389" spans="1:3" ht="15" x14ac:dyDescent="0.25">
      <c r="A1389" s="108" t="s">
        <v>3056</v>
      </c>
      <c r="B1389" s="3" t="s">
        <v>3057</v>
      </c>
      <c r="C1389" s="109">
        <v>89914.2</v>
      </c>
    </row>
    <row r="1390" spans="1:3" ht="15" x14ac:dyDescent="0.25">
      <c r="A1390" s="108" t="s">
        <v>3058</v>
      </c>
      <c r="B1390" s="3" t="s">
        <v>3059</v>
      </c>
      <c r="C1390" s="109">
        <v>11652.729999999998</v>
      </c>
    </row>
    <row r="1391" spans="1:3" ht="15" x14ac:dyDescent="0.25">
      <c r="A1391" s="108" t="s">
        <v>3060</v>
      </c>
      <c r="B1391" s="3" t="s">
        <v>3061</v>
      </c>
      <c r="C1391" s="109">
        <v>141536.51999999993</v>
      </c>
    </row>
    <row r="1392" spans="1:3" ht="15" x14ac:dyDescent="0.25">
      <c r="A1392" s="108" t="s">
        <v>3062</v>
      </c>
      <c r="B1392" s="3" t="s">
        <v>3063</v>
      </c>
      <c r="C1392" s="109">
        <v>196954.65000000008</v>
      </c>
    </row>
    <row r="1393" spans="1:3" ht="15" x14ac:dyDescent="0.25">
      <c r="A1393" s="108" t="s">
        <v>3064</v>
      </c>
      <c r="B1393" s="3" t="s">
        <v>3065</v>
      </c>
      <c r="C1393" s="109">
        <v>69815.239999999947</v>
      </c>
    </row>
    <row r="1394" spans="1:3" ht="15" x14ac:dyDescent="0.25">
      <c r="A1394" s="108" t="s">
        <v>3066</v>
      </c>
      <c r="B1394" s="3" t="s">
        <v>3067</v>
      </c>
      <c r="C1394" s="109">
        <v>84717.99000000002</v>
      </c>
    </row>
    <row r="1395" spans="1:3" ht="15" x14ac:dyDescent="0.25">
      <c r="A1395" s="108" t="s">
        <v>3068</v>
      </c>
      <c r="B1395" s="3" t="s">
        <v>3069</v>
      </c>
      <c r="C1395" s="109">
        <v>9014.9600000000009</v>
      </c>
    </row>
    <row r="1396" spans="1:3" ht="15" x14ac:dyDescent="0.25">
      <c r="A1396" s="108" t="s">
        <v>3070</v>
      </c>
      <c r="B1396" s="3" t="s">
        <v>3071</v>
      </c>
      <c r="C1396" s="109">
        <v>135561.87999999995</v>
      </c>
    </row>
    <row r="1397" spans="1:3" ht="15" x14ac:dyDescent="0.25">
      <c r="A1397" s="108" t="s">
        <v>3072</v>
      </c>
      <c r="B1397" s="3" t="s">
        <v>3073</v>
      </c>
      <c r="C1397" s="109">
        <v>4196.62</v>
      </c>
    </row>
    <row r="1398" spans="1:3" ht="15" x14ac:dyDescent="0.25">
      <c r="A1398" s="108" t="s">
        <v>3074</v>
      </c>
      <c r="B1398" s="3" t="s">
        <v>3075</v>
      </c>
      <c r="C1398" s="109">
        <v>243038.06999999983</v>
      </c>
    </row>
    <row r="1399" spans="1:3" ht="15" x14ac:dyDescent="0.25">
      <c r="A1399" s="108" t="s">
        <v>3076</v>
      </c>
      <c r="B1399" s="3" t="s">
        <v>3077</v>
      </c>
      <c r="C1399" s="109">
        <v>26206.980000000003</v>
      </c>
    </row>
    <row r="1400" spans="1:3" ht="15" x14ac:dyDescent="0.25">
      <c r="A1400" s="108" t="s">
        <v>3078</v>
      </c>
      <c r="B1400" s="3" t="s">
        <v>3079</v>
      </c>
      <c r="C1400" s="109">
        <v>107148.47999999998</v>
      </c>
    </row>
    <row r="1401" spans="1:3" ht="15" x14ac:dyDescent="0.25">
      <c r="A1401" s="108" t="s">
        <v>3080</v>
      </c>
      <c r="B1401" s="3" t="s">
        <v>3081</v>
      </c>
      <c r="C1401" s="109">
        <v>4570.8399999999992</v>
      </c>
    </row>
    <row r="1402" spans="1:3" ht="15" x14ac:dyDescent="0.25">
      <c r="A1402" s="108" t="s">
        <v>3082</v>
      </c>
      <c r="B1402" s="3" t="s">
        <v>3083</v>
      </c>
      <c r="C1402" s="109">
        <v>29286.599999999969</v>
      </c>
    </row>
    <row r="1403" spans="1:3" ht="15" x14ac:dyDescent="0.25">
      <c r="A1403" s="108" t="s">
        <v>3084</v>
      </c>
      <c r="B1403" s="3" t="s">
        <v>3085</v>
      </c>
      <c r="C1403" s="109">
        <v>60809.23</v>
      </c>
    </row>
    <row r="1404" spans="1:3" ht="15" x14ac:dyDescent="0.25">
      <c r="A1404" s="108" t="s">
        <v>3086</v>
      </c>
      <c r="B1404" s="3" t="s">
        <v>3087</v>
      </c>
      <c r="C1404" s="109">
        <v>93085.96000000005</v>
      </c>
    </row>
    <row r="1405" spans="1:3" ht="15" x14ac:dyDescent="0.25">
      <c r="A1405" s="108" t="s">
        <v>3088</v>
      </c>
      <c r="B1405" s="3" t="s">
        <v>3089</v>
      </c>
      <c r="C1405" s="109">
        <v>33699.750000000007</v>
      </c>
    </row>
    <row r="1406" spans="1:3" ht="15" x14ac:dyDescent="0.25">
      <c r="A1406" s="108" t="s">
        <v>3090</v>
      </c>
      <c r="B1406" s="3" t="s">
        <v>3091</v>
      </c>
      <c r="C1406" s="109">
        <v>42927.26999999999</v>
      </c>
    </row>
    <row r="1407" spans="1:3" ht="15" x14ac:dyDescent="0.25">
      <c r="A1407" s="108" t="s">
        <v>3092</v>
      </c>
      <c r="B1407" s="3" t="s">
        <v>3093</v>
      </c>
      <c r="C1407" s="109">
        <v>279810.48999999993</v>
      </c>
    </row>
    <row r="1408" spans="1:3" ht="15" x14ac:dyDescent="0.25">
      <c r="A1408" s="108" t="s">
        <v>3094</v>
      </c>
      <c r="B1408" s="3" t="s">
        <v>3095</v>
      </c>
      <c r="C1408" s="109">
        <v>27411.599999999977</v>
      </c>
    </row>
    <row r="1409" spans="1:3" ht="15" x14ac:dyDescent="0.25">
      <c r="A1409" s="108" t="s">
        <v>3096</v>
      </c>
      <c r="B1409" s="3" t="s">
        <v>3097</v>
      </c>
      <c r="C1409" s="109">
        <v>11783.890000000001</v>
      </c>
    </row>
    <row r="1410" spans="1:3" ht="15" x14ac:dyDescent="0.25">
      <c r="A1410" s="108" t="s">
        <v>3098</v>
      </c>
      <c r="B1410" s="3" t="s">
        <v>3099</v>
      </c>
      <c r="C1410" s="109">
        <v>58138.960000000006</v>
      </c>
    </row>
    <row r="1411" spans="1:3" ht="15" x14ac:dyDescent="0.25">
      <c r="A1411" s="108" t="s">
        <v>3100</v>
      </c>
      <c r="B1411" s="3" t="s">
        <v>3101</v>
      </c>
      <c r="C1411" s="109">
        <v>10975.509999999997</v>
      </c>
    </row>
    <row r="1412" spans="1:3" ht="15" x14ac:dyDescent="0.25">
      <c r="A1412" s="108" t="s">
        <v>3102</v>
      </c>
      <c r="B1412" s="3" t="s">
        <v>3103</v>
      </c>
      <c r="C1412" s="109">
        <v>103428.17000000007</v>
      </c>
    </row>
    <row r="1413" spans="1:3" ht="15" x14ac:dyDescent="0.25">
      <c r="A1413" s="108" t="s">
        <v>3104</v>
      </c>
      <c r="B1413" s="3" t="s">
        <v>3105</v>
      </c>
      <c r="C1413" s="109">
        <v>55532.550000000017</v>
      </c>
    </row>
    <row r="1414" spans="1:3" ht="15" x14ac:dyDescent="0.25">
      <c r="A1414" s="108" t="s">
        <v>3106</v>
      </c>
      <c r="B1414" s="3" t="s">
        <v>3107</v>
      </c>
      <c r="C1414" s="109">
        <v>28762.069999999992</v>
      </c>
    </row>
    <row r="1415" spans="1:3" ht="15" x14ac:dyDescent="0.25">
      <c r="A1415" s="108" t="s">
        <v>3108</v>
      </c>
      <c r="B1415" s="3" t="s">
        <v>3109</v>
      </c>
      <c r="C1415" s="109">
        <v>44863.980000000018</v>
      </c>
    </row>
    <row r="1416" spans="1:3" ht="15" x14ac:dyDescent="0.25">
      <c r="A1416" s="108" t="s">
        <v>3110</v>
      </c>
      <c r="B1416" s="3" t="s">
        <v>3111</v>
      </c>
      <c r="C1416" s="109">
        <v>89833.450000000055</v>
      </c>
    </row>
    <row r="1417" spans="1:3" ht="15" x14ac:dyDescent="0.25">
      <c r="A1417" s="108" t="s">
        <v>3112</v>
      </c>
      <c r="B1417" s="3" t="s">
        <v>3113</v>
      </c>
      <c r="C1417" s="109">
        <v>7500520.1999999955</v>
      </c>
    </row>
    <row r="1418" spans="1:3" ht="15" x14ac:dyDescent="0.25">
      <c r="A1418" s="108" t="s">
        <v>3114</v>
      </c>
      <c r="B1418" s="3" t="s">
        <v>3115</v>
      </c>
      <c r="C1418" s="109">
        <v>275376.99000000011</v>
      </c>
    </row>
    <row r="1419" spans="1:3" ht="15" x14ac:dyDescent="0.25">
      <c r="A1419" s="108" t="s">
        <v>3116</v>
      </c>
      <c r="B1419" s="3" t="s">
        <v>3117</v>
      </c>
      <c r="C1419" s="109">
        <v>34041.919999999976</v>
      </c>
    </row>
    <row r="1420" spans="1:3" ht="15" x14ac:dyDescent="0.25">
      <c r="A1420" s="108" t="s">
        <v>3118</v>
      </c>
      <c r="B1420" s="3" t="s">
        <v>3119</v>
      </c>
      <c r="C1420" s="109">
        <v>19960.329999999991</v>
      </c>
    </row>
    <row r="1421" spans="1:3" ht="15" x14ac:dyDescent="0.25">
      <c r="A1421" s="108" t="s">
        <v>3120</v>
      </c>
      <c r="B1421" s="3" t="s">
        <v>3121</v>
      </c>
      <c r="C1421" s="109">
        <v>6368.7299999999968</v>
      </c>
    </row>
    <row r="1422" spans="1:3" ht="15" x14ac:dyDescent="0.25">
      <c r="A1422" s="108" t="s">
        <v>3122</v>
      </c>
      <c r="B1422" s="3" t="s">
        <v>3123</v>
      </c>
      <c r="C1422" s="109">
        <v>15579.630000000001</v>
      </c>
    </row>
    <row r="1423" spans="1:3" ht="15" x14ac:dyDescent="0.25">
      <c r="A1423" s="108" t="s">
        <v>3124</v>
      </c>
      <c r="B1423" s="3" t="s">
        <v>3125</v>
      </c>
      <c r="C1423" s="109">
        <v>184663.17</v>
      </c>
    </row>
    <row r="1424" spans="1:3" ht="15" x14ac:dyDescent="0.25">
      <c r="A1424" s="108" t="s">
        <v>3126</v>
      </c>
      <c r="B1424" s="3" t="s">
        <v>3127</v>
      </c>
      <c r="C1424" s="109">
        <v>145290.91999999998</v>
      </c>
    </row>
    <row r="1425" spans="1:3" ht="15" x14ac:dyDescent="0.25">
      <c r="A1425" s="108" t="s">
        <v>3128</v>
      </c>
      <c r="B1425" s="3" t="s">
        <v>3129</v>
      </c>
      <c r="C1425" s="109">
        <v>23852.76</v>
      </c>
    </row>
    <row r="1426" spans="1:3" ht="15" x14ac:dyDescent="0.25">
      <c r="A1426" s="108" t="s">
        <v>3130</v>
      </c>
      <c r="B1426" s="3" t="s">
        <v>3131</v>
      </c>
      <c r="C1426" s="109">
        <v>117575.05</v>
      </c>
    </row>
    <row r="1427" spans="1:3" ht="15" x14ac:dyDescent="0.25">
      <c r="A1427" s="108" t="s">
        <v>3132</v>
      </c>
      <c r="B1427" s="3" t="s">
        <v>3133</v>
      </c>
      <c r="C1427" s="109">
        <v>192992.11</v>
      </c>
    </row>
    <row r="1428" spans="1:3" ht="15" x14ac:dyDescent="0.25">
      <c r="A1428" s="108" t="s">
        <v>3134</v>
      </c>
      <c r="B1428" s="3" t="s">
        <v>3135</v>
      </c>
      <c r="C1428" s="109">
        <v>16306.09</v>
      </c>
    </row>
    <row r="1429" spans="1:3" ht="15" x14ac:dyDescent="0.25">
      <c r="A1429" s="108" t="s">
        <v>3136</v>
      </c>
      <c r="B1429" s="3" t="s">
        <v>3137</v>
      </c>
      <c r="C1429" s="109">
        <v>1747.2</v>
      </c>
    </row>
    <row r="1430" spans="1:3" ht="15" x14ac:dyDescent="0.25">
      <c r="A1430" s="108" t="s">
        <v>3138</v>
      </c>
      <c r="B1430" s="3" t="s">
        <v>3139</v>
      </c>
      <c r="C1430" s="109">
        <v>86643.890000000014</v>
      </c>
    </row>
    <row r="1431" spans="1:3" ht="15" x14ac:dyDescent="0.25">
      <c r="A1431" s="108" t="s">
        <v>3140</v>
      </c>
      <c r="B1431" s="3" t="s">
        <v>3141</v>
      </c>
      <c r="C1431" s="109">
        <v>111.03000000000688</v>
      </c>
    </row>
    <row r="1432" spans="1:3" ht="15" x14ac:dyDescent="0.25">
      <c r="A1432" s="108" t="s">
        <v>3142</v>
      </c>
      <c r="B1432" s="3" t="s">
        <v>3143</v>
      </c>
      <c r="C1432" s="109">
        <v>-2797.8</v>
      </c>
    </row>
    <row r="1433" spans="1:3" ht="15" x14ac:dyDescent="0.25">
      <c r="A1433" s="108" t="s">
        <v>3144</v>
      </c>
      <c r="B1433" s="3" t="s">
        <v>3145</v>
      </c>
      <c r="C1433" s="109">
        <v>-31508.400000000001</v>
      </c>
    </row>
    <row r="1434" spans="1:3" ht="15" x14ac:dyDescent="0.25">
      <c r="A1434" s="108" t="s">
        <v>3146</v>
      </c>
      <c r="B1434" s="3" t="s">
        <v>3147</v>
      </c>
      <c r="C1434" s="109">
        <v>782200.67999999912</v>
      </c>
    </row>
    <row r="1435" spans="1:3" ht="15" x14ac:dyDescent="0.25">
      <c r="A1435" s="108" t="s">
        <v>3148</v>
      </c>
      <c r="B1435" s="3" t="s">
        <v>3149</v>
      </c>
      <c r="C1435" s="109">
        <v>-278136.02999999997</v>
      </c>
    </row>
    <row r="1436" spans="1:3" ht="15" x14ac:dyDescent="0.25">
      <c r="A1436" s="108" t="s">
        <v>3150</v>
      </c>
      <c r="B1436" s="3" t="s">
        <v>3151</v>
      </c>
      <c r="C1436" s="109">
        <v>81462.880000000005</v>
      </c>
    </row>
    <row r="1437" spans="1:3" ht="15" x14ac:dyDescent="0.25">
      <c r="A1437" s="108" t="s">
        <v>3152</v>
      </c>
      <c r="B1437" s="3" t="s">
        <v>3153</v>
      </c>
      <c r="C1437" s="109">
        <v>1039928.8800000005</v>
      </c>
    </row>
    <row r="1438" spans="1:3" ht="15" x14ac:dyDescent="0.25">
      <c r="A1438" s="108" t="s">
        <v>3154</v>
      </c>
      <c r="B1438" s="3" t="s">
        <v>3155</v>
      </c>
      <c r="C1438" s="109">
        <v>7553797.3499999968</v>
      </c>
    </row>
    <row r="1439" spans="1:3" ht="15" x14ac:dyDescent="0.25">
      <c r="A1439" s="108" t="s">
        <v>3156</v>
      </c>
      <c r="B1439" s="3" t="s">
        <v>3157</v>
      </c>
      <c r="C1439" s="109">
        <v>220022.28999999995</v>
      </c>
    </row>
    <row r="1440" spans="1:3" ht="15" x14ac:dyDescent="0.25">
      <c r="A1440" s="108" t="s">
        <v>3158</v>
      </c>
      <c r="B1440" s="3" t="s">
        <v>3159</v>
      </c>
      <c r="C1440" s="109">
        <v>2003126.0499999986</v>
      </c>
    </row>
    <row r="1441" spans="1:3" ht="15" x14ac:dyDescent="0.25">
      <c r="A1441" s="108" t="s">
        <v>3160</v>
      </c>
      <c r="B1441" s="3" t="s">
        <v>3161</v>
      </c>
      <c r="C1441" s="109">
        <v>-43080</v>
      </c>
    </row>
    <row r="1442" spans="1:3" ht="15" x14ac:dyDescent="0.25">
      <c r="A1442" s="108" t="s">
        <v>3162</v>
      </c>
      <c r="B1442" s="3" t="s">
        <v>3163</v>
      </c>
      <c r="C1442" s="109">
        <v>139484.69000000003</v>
      </c>
    </row>
    <row r="1443" spans="1:3" ht="15" x14ac:dyDescent="0.25">
      <c r="A1443" s="108" t="s">
        <v>3164</v>
      </c>
      <c r="B1443" s="3" t="s">
        <v>3165</v>
      </c>
      <c r="C1443" s="109">
        <v>252266.39000000013</v>
      </c>
    </row>
    <row r="1444" spans="1:3" ht="15" x14ac:dyDescent="0.25">
      <c r="A1444" s="108" t="s">
        <v>3166</v>
      </c>
      <c r="B1444" s="3" t="s">
        <v>3167</v>
      </c>
      <c r="C1444" s="109">
        <v>3784.7599999999948</v>
      </c>
    </row>
    <row r="1445" spans="1:3" ht="15" x14ac:dyDescent="0.25">
      <c r="A1445" s="108" t="s">
        <v>3168</v>
      </c>
      <c r="B1445" s="3" t="s">
        <v>3169</v>
      </c>
      <c r="C1445" s="109">
        <v>46394.719999999987</v>
      </c>
    </row>
    <row r="1446" spans="1:3" ht="15" x14ac:dyDescent="0.25">
      <c r="A1446" s="108" t="s">
        <v>3170</v>
      </c>
      <c r="B1446" s="3" t="s">
        <v>3171</v>
      </c>
      <c r="C1446" s="109">
        <v>-3557.1800000000003</v>
      </c>
    </row>
    <row r="1447" spans="1:3" ht="15" x14ac:dyDescent="0.25">
      <c r="A1447" s="108" t="s">
        <v>3172</v>
      </c>
      <c r="B1447" s="3" t="s">
        <v>3173</v>
      </c>
      <c r="C1447" s="109">
        <v>55696.250000000007</v>
      </c>
    </row>
    <row r="1448" spans="1:3" ht="15" x14ac:dyDescent="0.25">
      <c r="A1448" s="108" t="s">
        <v>3174</v>
      </c>
      <c r="B1448" s="3" t="s">
        <v>3175</v>
      </c>
      <c r="C1448" s="109">
        <v>143563.47000000006</v>
      </c>
    </row>
    <row r="1449" spans="1:3" ht="15" x14ac:dyDescent="0.25">
      <c r="A1449" s="108" t="s">
        <v>3176</v>
      </c>
      <c r="B1449" s="3" t="s">
        <v>3177</v>
      </c>
      <c r="C1449" s="109">
        <v>1890811.3399999989</v>
      </c>
    </row>
    <row r="1450" spans="1:3" ht="15" x14ac:dyDescent="0.25">
      <c r="A1450" s="108" t="s">
        <v>3178</v>
      </c>
      <c r="B1450" s="3" t="s">
        <v>3179</v>
      </c>
      <c r="C1450" s="109">
        <v>-8205.0500000000029</v>
      </c>
    </row>
    <row r="1451" spans="1:3" ht="15" x14ac:dyDescent="0.25">
      <c r="A1451" s="108" t="s">
        <v>3180</v>
      </c>
      <c r="B1451" s="3" t="s">
        <v>3181</v>
      </c>
      <c r="C1451" s="109">
        <v>215187.59999999992</v>
      </c>
    </row>
    <row r="1452" spans="1:3" ht="15" x14ac:dyDescent="0.25">
      <c r="A1452" s="108" t="s">
        <v>3182</v>
      </c>
      <c r="B1452" s="3" t="s">
        <v>3183</v>
      </c>
      <c r="C1452" s="109">
        <v>-23249.720000000005</v>
      </c>
    </row>
    <row r="1453" spans="1:3" ht="15" x14ac:dyDescent="0.25">
      <c r="A1453" s="108" t="s">
        <v>3184</v>
      </c>
      <c r="B1453" s="3" t="s">
        <v>3185</v>
      </c>
      <c r="C1453" s="109">
        <v>102561.78999999998</v>
      </c>
    </row>
    <row r="1454" spans="1:3" ht="15" x14ac:dyDescent="0.25">
      <c r="A1454" s="108" t="s">
        <v>3186</v>
      </c>
      <c r="B1454" s="3" t="s">
        <v>3187</v>
      </c>
      <c r="C1454" s="109">
        <v>395064.19000000006</v>
      </c>
    </row>
    <row r="1455" spans="1:3" ht="15" x14ac:dyDescent="0.25">
      <c r="A1455" s="108" t="s">
        <v>3188</v>
      </c>
      <c r="B1455" s="3" t="s">
        <v>3189</v>
      </c>
      <c r="C1455" s="109">
        <v>9791.9699999999975</v>
      </c>
    </row>
    <row r="1456" spans="1:3" ht="15" x14ac:dyDescent="0.25">
      <c r="A1456" s="108" t="s">
        <v>3190</v>
      </c>
      <c r="B1456" s="3" t="s">
        <v>3191</v>
      </c>
      <c r="C1456" s="109">
        <v>-59746.220000000008</v>
      </c>
    </row>
    <row r="1457" spans="1:3" ht="15" x14ac:dyDescent="0.25">
      <c r="A1457" s="108" t="s">
        <v>3192</v>
      </c>
      <c r="B1457" s="3" t="s">
        <v>3193</v>
      </c>
      <c r="C1457" s="109">
        <v>84923.95</v>
      </c>
    </row>
    <row r="1458" spans="1:3" ht="15" x14ac:dyDescent="0.25">
      <c r="A1458" s="108" t="s">
        <v>3194</v>
      </c>
      <c r="B1458" s="3" t="s">
        <v>3195</v>
      </c>
      <c r="C1458" s="109">
        <v>1485.0100000000002</v>
      </c>
    </row>
    <row r="1459" spans="1:3" ht="15" x14ac:dyDescent="0.25">
      <c r="A1459" s="108" t="s">
        <v>3196</v>
      </c>
      <c r="B1459" s="3" t="s">
        <v>3197</v>
      </c>
      <c r="C1459" s="109">
        <v>-50572.79</v>
      </c>
    </row>
    <row r="1460" spans="1:3" ht="15" x14ac:dyDescent="0.25">
      <c r="A1460" s="108" t="s">
        <v>3198</v>
      </c>
      <c r="B1460" s="3" t="s">
        <v>3199</v>
      </c>
      <c r="C1460" s="109">
        <v>1756.7000000000005</v>
      </c>
    </row>
    <row r="1461" spans="1:3" ht="15" x14ac:dyDescent="0.25">
      <c r="A1461" s="108" t="s">
        <v>3200</v>
      </c>
      <c r="B1461" s="3" t="s">
        <v>3201</v>
      </c>
      <c r="C1461" s="109">
        <v>472477.39999999985</v>
      </c>
    </row>
    <row r="1462" spans="1:3" ht="15" x14ac:dyDescent="0.25">
      <c r="A1462" s="108" t="s">
        <v>3202</v>
      </c>
      <c r="B1462" s="3" t="s">
        <v>3203</v>
      </c>
      <c r="C1462" s="109">
        <v>1389004.0100000019</v>
      </c>
    </row>
    <row r="1463" spans="1:3" ht="15" x14ac:dyDescent="0.25">
      <c r="A1463" s="108" t="s">
        <v>3204</v>
      </c>
      <c r="B1463" s="3" t="s">
        <v>3205</v>
      </c>
      <c r="C1463" s="109">
        <v>6703.3399999999983</v>
      </c>
    </row>
    <row r="1464" spans="1:3" ht="15" x14ac:dyDescent="0.25">
      <c r="A1464" s="108" t="s">
        <v>3206</v>
      </c>
      <c r="B1464" s="3" t="s">
        <v>3207</v>
      </c>
      <c r="C1464" s="109">
        <v>56308.680000000008</v>
      </c>
    </row>
    <row r="1465" spans="1:3" ht="15" x14ac:dyDescent="0.25">
      <c r="A1465" s="110" t="s">
        <v>285</v>
      </c>
      <c r="B1465" s="111"/>
      <c r="C1465" s="112">
        <f>SUM(C6:C1464)</f>
        <v>324036246.25000018</v>
      </c>
    </row>
  </sheetData>
  <mergeCells count="3">
    <mergeCell ref="A1:C1"/>
    <mergeCell ref="A2:C2"/>
    <mergeCell ref="A3:C3"/>
  </mergeCells>
  <printOptions horizontalCentered="1"/>
  <pageMargins left="0.75" right="0.75" top="1" bottom="1" header="0.5" footer="0.5"/>
  <pageSetup scale="67" fitToHeight="0" orientation="landscape" r:id="rId1"/>
  <headerFooter alignWithMargins="0">
    <oddFooter>&amp;R&amp;"Times New Roman,Bold"&amp;12Case No. 2018-00295
Attachment 6 to Response to US DOD-2 Question No. 7   
Page &amp;P of &amp;N
Garrett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0103853DF7894DB347713A7250CD66" ma:contentTypeVersion="34" ma:contentTypeDescription="Create a new document." ma:contentTypeScope="" ma:versionID="564212c8433631898006002af8bdbbd4">
  <xsd:schema xmlns:xsd="http://www.w3.org/2001/XMLSchema" xmlns:xs="http://www.w3.org/2001/XMLSchema" xmlns:p="http://schemas.microsoft.com/office/2006/metadata/properties" xmlns:ns2="54fcda00-7b58-44a7-b108-8bd10a8a08ba" targetNamespace="http://schemas.microsoft.com/office/2006/metadata/properties" ma:root="true" ma:fieldsID="82c124d73ee730d260d5c3ee21523c0c" ns2:_="">
    <xsd:import namespace="54fcda00-7b58-44a7-b108-8bd10a8a08ba"/>
    <xsd:element name="properties">
      <xsd:complexType>
        <xsd:sequence>
          <xsd:element name="documentManagement">
            <xsd:complexType>
              <xsd:all>
                <xsd:element ref="ns2:Company" minOccurs="0"/>
                <xsd:element ref="ns2:Year"/>
                <xsd:element ref="ns2:Document_x0020_Type"/>
                <xsd:element ref="ns2:Filing_x0020_Requirement" minOccurs="0"/>
                <xsd:element ref="ns2:Witness_x0020_Testimony" minOccurs="0"/>
                <xsd:element ref="ns2:Intervemprs" minOccurs="0"/>
                <xsd:element ref="ns2:Round" minOccurs="0"/>
                <xsd:element ref="ns2:Data_x0020_Request_x0020_Question_x0020_No_x002e_" minOccurs="0"/>
                <xsd:element ref="ns2:Tariff_x0020_Dev_x0020_Doc_x0020_Type" minOccurs="0"/>
                <xsd:element ref="ns2:Filed_x0020_Docu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fcda00-7b58-44a7-b108-8bd10a8a08ba" elementFormDefault="qualified">
    <xsd:import namespace="http://schemas.microsoft.com/office/2006/documentManagement/types"/>
    <xsd:import namespace="http://schemas.microsoft.com/office/infopath/2007/PartnerControls"/>
    <xsd:element name="Company" ma:index="2" nillable="true" ma:displayName="Company" ma:internalName="Company" ma:readOnly="fals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U"/>
                    <xsd:enumeration value="LGE"/>
                    <xsd:enumeration value="ODP"/>
                  </xsd:restriction>
                </xsd:simpleType>
              </xsd:element>
            </xsd:sequence>
          </xsd:extension>
        </xsd:complexContent>
      </xsd:complexType>
    </xsd:element>
    <xsd:element name="Year" ma:index="3" ma:displayName="Year" ma:format="Dropdown" ma:indexed="true" ma:internalName="Year" ma:readOnly="false">
      <xsd:simpleType>
        <xsd:restriction base="dms:Choice">
          <xsd:enumeration value="2019"/>
          <xsd:enumeration value="2018"/>
          <xsd:enumeration value="2017"/>
          <xsd:enumeration value="2016"/>
          <xsd:enumeration value="2015"/>
          <xsd:enumeration value="2014"/>
        </xsd:restriction>
      </xsd:simpleType>
    </xsd:element>
    <xsd:element name="Document_x0020_Type" ma:index="4" ma:displayName="Document Type" ma:format="Dropdown" ma:indexed="true" ma:internalName="Document_x0020_Type" ma:readOnly="false">
      <xsd:simpleType>
        <xsd:restriction base="dms:Choice">
          <xsd:enumeration value="General Information"/>
          <xsd:enumeration value="Application"/>
          <xsd:enumeration value="Orders"/>
          <xsd:enumeration value="Direct Testimony"/>
          <xsd:enumeration value="Rebuttal Testimony"/>
          <xsd:enumeration value="Stipulation Testimony"/>
          <xsd:enumeration value="Supplemental Rebuttal Testimony"/>
          <xsd:enumeration value="Intervenor Direct Testimony"/>
          <xsd:enumeration value="Intervenor Supplemental Testimony"/>
          <xsd:enumeration value="Intervenor Data Requests Issued"/>
          <xsd:enumeration value="Intervenor Data Requests Responses"/>
          <xsd:enumeration value="Data Requests"/>
          <xsd:enumeration value="Notices"/>
          <xsd:enumeration value="eFile/Filed Docs"/>
          <xsd:enumeration value="Filing Requirements"/>
          <xsd:enumeration value="Tariff Development"/>
          <xsd:enumeration value="Witness Prep"/>
          <xsd:enumeration value="Superseded"/>
        </xsd:restriction>
      </xsd:simpleType>
    </xsd:element>
    <xsd:element name="Filing_x0020_Requirement" ma:index="5" nillable="true" ma:displayName="Filing Requirement" ma:format="Dropdown" ma:internalName="Filing_x0020_Requirement" ma:readOnly="false">
      <xsd:simpleType>
        <xsd:restriction base="dms:Choice">
          <xsd:enumeration value="Filing Requirements - Draft Responses"/>
          <xsd:enumeration value="Tab 01-Sec 14(2) Attachment Only"/>
          <xsd:enumeration value="Tab 03-Sec 16(1)(b)(2) Attachment Only"/>
          <xsd:enumeration value="Tab 04-Sec 16(1)(b)(3) Attachment Only"/>
          <xsd:enumeration value="Tab 05-Sec 16(1)(b)(4) Attachment Only"/>
          <xsd:enumeration value="Tab 06-Sec 16(1)(b)(5) Attachment Only"/>
          <xsd:enumeration value="Tab 07-Sec 16(2) Attachment Only"/>
          <xsd:enumeration value="Tab 13-Sec 16(6)(f) Attachment Only"/>
          <xsd:enumeration value="Tab 15-Sec 16(7)(b) Attachment Only"/>
          <xsd:enumeration value="Tab 16-Sec 16(7)(c) Attachment Only"/>
          <xsd:enumeration value="Tab 17-Sec 16(7)(d) Attachment Only"/>
          <xsd:enumeration value="Tab 18-Sec 16(7)(e) Attachment Only"/>
          <xsd:enumeration value="Tab 19-Sec 16(7)(f) Attachment Only"/>
          <xsd:enumeration value="Tab 20-Sec 16(7)(g) Attachment Only"/>
          <xsd:enumeration value="Tab 22-Sec 16(7)(h)(1) Attachment Only"/>
          <xsd:enumeration value="Tab 23-Sec 16(7)(h)(2) Attachment Only"/>
          <xsd:enumeration value="Tab 24-Sec 16(7)(h)(3) Attachment Only"/>
          <xsd:enumeration value="Tab 25-Sec 16(7)(h)(4) Attachment Only"/>
          <xsd:enumeration value="Tab 28-Sec 16(7)(h)(7) Attachment Only"/>
          <xsd:enumeration value="Tab 29-Sec 16(7)(h)(8) Attachment Only"/>
          <xsd:enumeration value="Tab 30-Sec 16(7)(h)(9) Attachment Only"/>
          <xsd:enumeration value="Tab 31-Sec 16(7)(h)(10) Attachment Only"/>
          <xsd:enumeration value="Tab 32-Sec 16(7)(h)(11) Attachment Only"/>
          <xsd:enumeration value="Tab 33-Sec 16(7)(h)(12) Attachment Only"/>
          <xsd:enumeration value="Tab 39-Sec 16(7)(i) Attachment Only"/>
          <xsd:enumeration value="Tab 40-Sec 16(7)(j) Attachment Only"/>
          <xsd:enumeration value="Tab 41-Sec 16(7)(k) Attachment Only"/>
          <xsd:enumeration value="Tab 43-Sec 16(7)(m) Attachment Only"/>
          <xsd:enumeration value="Tab 44-Sec 16(7)(n) Attachment Only"/>
          <xsd:enumeration value="Tab 45-Sec 16(7)(o) Attachment Only"/>
          <xsd:enumeration value="Tab 46-Sec 16(7)(p) Attachment Only"/>
          <xsd:enumeration value="Tab 50-Sec 16(7)(t) Attachment Only"/>
          <xsd:enumeration value="Tab 51-Sec 16(7)(u) Attachment Only"/>
          <xsd:enumeration value="Tab 54-Sec 16(8)(a) Attachment Only"/>
          <xsd:enumeration value="Tab 55-Sec 16(8)(b Attachment Only"/>
          <xsd:enumeration value="Tab 56-Sec 16(8)(c) Attachment Only"/>
          <xsd:enumeration value="Tab 57-Sec 16(8)(d) Attachment Only"/>
          <xsd:enumeration value="Tab 58-Sec 16(8)(e) Attachment Only"/>
          <xsd:enumeration value="Tab 59-Sec 16(8)(f) Attachment Only"/>
          <xsd:enumeration value="Tab 60-Sec 16(8)(g) Attachment Only"/>
          <xsd:enumeration value="Tab 61-Sec 16(8)(h) Attachment Only"/>
          <xsd:enumeration value="Tab 62-Sec 16(8)(i) Attachment Only"/>
          <xsd:enumeration value="Tab 63-Sec 16(8)(j) Attachment Only"/>
          <xsd:enumeration value="Tab 64-Sec 16(8)(k) Attachment Only"/>
          <xsd:enumeration value="Tab 66-Sec 16(8)(m) Attachment Only"/>
          <xsd:enumeration value="Tab 67-Sec 16(8)(n) Attachment Only"/>
          <xsd:enumeration value="Filing Requirements - Guidance Sheets"/>
          <xsd:enumeration value="Filing Requirements - Witness/Preparer Assignments"/>
          <xsd:enumeration value="Filing Requirements - eFiled"/>
          <xsd:enumeration value="Exempt Schedules 10_13_20_23_33_40_44-49"/>
          <xsd:enumeration value="Schedule 01-5_8-29_40-Revenue Requirements"/>
          <xsd:enumeration value="Schedule 01-5-Financial Data"/>
          <xsd:enumeration value="Schedule 06-Annual Reports"/>
          <xsd:enumeration value="Schedule 07-Comparative Financial Statements"/>
          <xsd:enumeration value="Schedule 17-Lead/Lag Cash Working Capital Calc - ET"/>
          <xsd:enumeration value="Schedule 27-Lead/Lag Cash Working Capital Calc - Adj."/>
          <xsd:enumeration value="Schedule 29-Workpapers for Adjustments"/>
          <xsd:enumeration value="Schedule 30-Revenue and Expense Analysis"/>
          <xsd:enumeration value="Schedule 31-Advertising"/>
          <xsd:enumeration value="Schedule 32-Storm Damage"/>
          <xsd:enumeration value="Schedule 34-Misc Expenses"/>
          <xsd:enumeration value="Schedule 35-Affiliate Services"/>
          <xsd:enumeration value="Schedule 36-Income Taxes"/>
          <xsd:enumeration value="Schedule 37-Organization"/>
          <xsd:enumeration value="Schedule 38-Changes in Acctg Procedures"/>
          <xsd:enumeration value="Schedule 39-Out of Period"/>
          <xsd:enumeration value="Schedule 40-Cost of Service"/>
          <xsd:enumeration value="Schedule 41-Present and Proposed Tariffs"/>
          <xsd:enumeration value="Schedule 42-Present and Proposed Revenues"/>
          <xsd:enumeration value="Schedule 43-Sample Bills"/>
          <xsd:enumeration value="Schedule 50-Other"/>
        </xsd:restriction>
      </xsd:simpleType>
    </xsd:element>
    <xsd:element name="Witness_x0020_Testimony" ma:index="6" nillable="true" ma:displayName="Witness" ma:format="Dropdown" ma:internalName="Witness_x0020_Testimony" ma:readOnly="false">
      <xsd:simpleType>
        <xsd:restriction base="dms:Choice">
          <xsd:enumeration value="Arbough, Daniel K."/>
          <xsd:enumeration value="Bellar, Lonnie E."/>
          <xsd:enumeration value="Blake, Kent W."/>
          <xsd:enumeration value="Conroy, Robert M."/>
          <xsd:enumeration value="Garrett, Christopher M."/>
          <xsd:enumeration value="Leichty, Douglas A."/>
          <xsd:enumeration value="Lovekamp, Rick E."/>
          <xsd:enumeration value="Malloy, John P."/>
          <xsd:enumeration value="McFarland, Elizabeth J."/>
          <xsd:enumeration value="McKenzie, Adrien M. (FINCAP, Inc.)"/>
          <xsd:enumeration value="Meiman, Greg J."/>
          <xsd:enumeration value="Metts, Heather D."/>
          <xsd:enumeration value="Murphy, J. Clay"/>
          <xsd:enumeration value="Rahn, Derek"/>
          <xsd:enumeration value="Seelye, Steve (The Prime Group)"/>
          <xsd:enumeration value="Sinclair, David S."/>
          <xsd:enumeration value="Spanos, John J. (Gannett Fleming)"/>
          <xsd:enumeration value="Straight, Scott"/>
          <xsd:enumeration value="Thompson, Paul W."/>
          <xsd:enumeration value="Wolfe, John K."/>
          <xsd:enumeration value="z - eFiled/Filed"/>
        </xsd:restriction>
      </xsd:simpleType>
    </xsd:element>
    <xsd:element name="Intervemprs" ma:index="7" nillable="true" ma:displayName="Data Request Party" ma:format="Dropdown" ma:internalName="Intervemprs" ma:readOnly="false">
      <xsd:simpleType>
        <xsd:restriction base="dms:Choice">
          <xsd:enumeration value="0-Data Response Tracking Sheet"/>
          <xsd:enumeration value="KY Public Service Commission - PSC"/>
          <xsd:enumeration value="VA State Corporation Commission - VASCC"/>
          <xsd:enumeration value="Association of Community Ministries - ACM"/>
          <xsd:enumeration value="Attorney General - AG"/>
          <xsd:enumeration value="AT&amp;T"/>
          <xsd:enumeration value="Charter Communications - Charter"/>
          <xsd:enumeration value="Community Action Council - CAC"/>
          <xsd:enumeration value="East Kentucky Power Cooperative - EKPC"/>
          <xsd:enumeration value="JBS Swift &amp; Co - JBS"/>
          <xsd:enumeration value="KY Cable Telecomm. Assn - KCTA"/>
          <xsd:enumeration value="KY Industrial Utility Customers - KIUC"/>
          <xsd:enumeration value="Kentucky League of Cities - KLC"/>
          <xsd:enumeration value="Kroger"/>
          <xsd:enumeration value="Kroger/Wal-Mart"/>
          <xsd:enumeration value="KY School Boards Assn - KSBA"/>
          <xsd:enumeration value="Lexington-Fayette Urban County Govt - LFUCG"/>
          <xsd:enumeration value="Louisville Metro Government - METRO"/>
          <xsd:enumeration value="Metro. Housing Coalition - MHC"/>
          <xsd:enumeration value="Sierra Club - SC"/>
          <xsd:enumeration value="U.S. Dept. of Defense -  US DOD"/>
          <xsd:enumeration value="Wal-Mart"/>
        </xsd:restriction>
      </xsd:simpleType>
    </xsd:element>
    <xsd:element name="Round" ma:index="8" nillable="true" ma:displayName="Data Request Round" ma:format="Dropdown" ma:internalName="Round" ma:readOnly="false">
      <xsd:simpleType>
        <xsd:restriction base="dms:Choice">
          <xsd:enumeration value="On-Site Requests"/>
          <xsd:enumeration value="DR01"/>
          <xsd:enumeration value="DR01 Attachments"/>
          <xsd:enumeration value="DR01 eFiled/Filed"/>
          <xsd:enumeration value="DR02"/>
          <xsd:enumeration value="DR02 Attachments"/>
          <xsd:enumeration value="DR02 eFiled/Filed"/>
          <xsd:enumeration value="DR03"/>
          <xsd:enumeration value="DR03 Attachments"/>
          <xsd:enumeration value="DR03 eFiled/Filed"/>
          <xsd:enumeration value="DR04"/>
          <xsd:enumeration value="DR04 Attachments"/>
          <xsd:enumeration value="DR04 eFiled/Filed"/>
          <xsd:enumeration value="DR05"/>
          <xsd:enumeration value="DR05 Attachments"/>
          <xsd:enumeration value="DR05 eFiled/Filed"/>
          <xsd:enumeration value="DR06"/>
          <xsd:enumeration value="DR06 Attachments"/>
          <xsd:enumeration value="DR06 eFiled/Filed"/>
          <xsd:enumeration value="DR07"/>
          <xsd:enumeration value="DR07 Attachments"/>
          <xsd:enumeration value="DR07 eFiled/Filed"/>
          <xsd:enumeration value="DR08"/>
          <xsd:enumeration value="DR08 Attachments"/>
          <xsd:enumeration value="DR08 eFiled/Filed"/>
          <xsd:enumeration value="DR09"/>
          <xsd:enumeration value="DR09 Attachments"/>
          <xsd:enumeration value="DR09 eFiled/Filed"/>
          <xsd:enumeration value="DR10"/>
          <xsd:enumeration value="DR10 Attachments"/>
          <xsd:enumeration value="DR10 eFiled/Filed"/>
          <xsd:enumeration value="DR11"/>
          <xsd:enumeration value="DR11 Attachments"/>
          <xsd:enumeration value="DR11 eFiled/Filed"/>
          <xsd:enumeration value="DR12"/>
          <xsd:enumeration value="DR12 Attachments"/>
          <xsd:enumeration value="DR12 eFiled/Filed"/>
          <xsd:enumeration value="DR13"/>
          <xsd:enumeration value="DR13 Attachments"/>
          <xsd:enumeration value="DR13 eFiled/Filed"/>
          <xsd:enumeration value="Post Hearing DR01"/>
          <xsd:enumeration value="Post Hearing DR01 Attachments"/>
          <xsd:enumeration value="Post Hearing DR01 eFiled/Filed"/>
          <xsd:enumeration value="Post Hearing DR02"/>
          <xsd:enumeration value="Post Hearing DR02 Attachments"/>
          <xsd:enumeration value="Post Hearing DR02 eFiled/Filed"/>
          <xsd:enumeration value="PSC DR02/Intervenors DR01"/>
          <xsd:enumeration value="PSC DR03/Intervenors DR02"/>
          <xsd:enumeration value="PSC DR04"/>
          <xsd:enumeration value="PSC DR05/Intervenors DR03"/>
          <xsd:enumeration value="PSC DR06"/>
        </xsd:restriction>
      </xsd:simpleType>
    </xsd:element>
    <xsd:element name="Data_x0020_Request_x0020_Question_x0020_No_x002e_" ma:index="9" nillable="true" ma:displayName="Data Request Question No." ma:format="Dropdown" ma:internalName="Data_x0020_Request_x0020_Question_x0020_No_x002e_" ma:readOnly="false">
      <xsd:simpleType>
        <xsd:restriction base="dms:Choice">
          <xsd:enumeration value="001"/>
          <xsd:enumeration value="002"/>
          <xsd:enumeration value="003"/>
          <xsd:enumeration value="004"/>
          <xsd:enumeration value="005"/>
          <xsd:enumeration value="006"/>
          <xsd:enumeration value="007"/>
          <xsd:enumeration value="008"/>
          <xsd:enumeration value="009"/>
          <xsd:enumeration value="010"/>
          <xsd:enumeration value="011"/>
          <xsd:enumeration value="012"/>
          <xsd:enumeration value="013"/>
          <xsd:enumeration value="014"/>
          <xsd:enumeration value="015"/>
          <xsd:enumeration value="016"/>
          <xsd:enumeration value="017"/>
          <xsd:enumeration value="018"/>
          <xsd:enumeration value="019"/>
          <xsd:enumeration value="020"/>
          <xsd:enumeration value="021"/>
          <xsd:enumeration value="022"/>
          <xsd:enumeration value="023"/>
          <xsd:enumeration value="024"/>
          <xsd:enumeration value="025"/>
          <xsd:enumeration value="026"/>
          <xsd:enumeration value="027"/>
          <xsd:enumeration value="028"/>
          <xsd:enumeration value="029"/>
          <xsd:enumeration value="030"/>
          <xsd:enumeration value="031"/>
          <xsd:enumeration value="032"/>
          <xsd:enumeration value="033"/>
          <xsd:enumeration value="034"/>
          <xsd:enumeration value="035"/>
          <xsd:enumeration value="036"/>
          <xsd:enumeration value="037"/>
          <xsd:enumeration value="038"/>
          <xsd:enumeration value="039"/>
          <xsd:enumeration value="040"/>
          <xsd:enumeration value="041"/>
          <xsd:enumeration value="042"/>
          <xsd:enumeration value="043"/>
          <xsd:enumeration value="044"/>
          <xsd:enumeration value="045"/>
          <xsd:enumeration value="046"/>
          <xsd:enumeration value="047"/>
          <xsd:enumeration value="048"/>
          <xsd:enumeration value="049"/>
          <xsd:enumeration value="050"/>
          <xsd:enumeration value="051"/>
          <xsd:enumeration value="052"/>
          <xsd:enumeration value="053"/>
          <xsd:enumeration value="054"/>
          <xsd:enumeration value="055"/>
          <xsd:enumeration value="056"/>
          <xsd:enumeration value="057"/>
          <xsd:enumeration value="058"/>
          <xsd:enumeration value="059"/>
          <xsd:enumeration value="060"/>
          <xsd:enumeration value="061"/>
          <xsd:enumeration value="062"/>
          <xsd:enumeration value="063"/>
          <xsd:enumeration value="064"/>
          <xsd:enumeration value="065"/>
          <xsd:enumeration value="066"/>
          <xsd:enumeration value="067"/>
          <xsd:enumeration value="068"/>
          <xsd:enumeration value="069"/>
          <xsd:enumeration value="070"/>
          <xsd:enumeration value="071"/>
          <xsd:enumeration value="072"/>
          <xsd:enumeration value="073"/>
          <xsd:enumeration value="074"/>
          <xsd:enumeration value="075"/>
          <xsd:enumeration value="076"/>
          <xsd:enumeration value="077"/>
          <xsd:enumeration value="078"/>
          <xsd:enumeration value="079"/>
          <xsd:enumeration value="080"/>
          <xsd:enumeration value="081"/>
          <xsd:enumeration value="082"/>
          <xsd:enumeration value="083"/>
          <xsd:enumeration value="084"/>
          <xsd:enumeration value="085"/>
          <xsd:enumeration value="086"/>
          <xsd:enumeration value="087"/>
          <xsd:enumeration value="088"/>
          <xsd:enumeration value="089"/>
          <xsd:enumeration value="090"/>
          <xsd:enumeration value="091"/>
          <xsd:enumeration value="092"/>
          <xsd:enumeration value="093"/>
          <xsd:enumeration value="094"/>
          <xsd:enumeration value="095"/>
          <xsd:enumeration value="096"/>
          <xsd:enumeration value="097"/>
          <xsd:enumeration value="098"/>
          <xsd:enumeration value="099"/>
          <xsd:enumeration value="100"/>
          <xsd:enumeration value="101"/>
          <xsd:enumeration value="102"/>
          <xsd:enumeration value="103"/>
          <xsd:enumeration value="104"/>
          <xsd:enumeration value="105"/>
          <xsd:enumeration value="106"/>
          <xsd:enumeration value="107"/>
          <xsd:enumeration value="108"/>
          <xsd:enumeration value="109"/>
          <xsd:enumeration value="110"/>
          <xsd:enumeration value="111"/>
          <xsd:enumeration value="112"/>
          <xsd:enumeration value="113"/>
          <xsd:enumeration value="114"/>
          <xsd:enumeration value="115"/>
          <xsd:enumeration value="116"/>
          <xsd:enumeration value="117"/>
          <xsd:enumeration value="118"/>
          <xsd:enumeration value="119"/>
          <xsd:enumeration value="120"/>
          <xsd:enumeration value="121"/>
          <xsd:enumeration value="122"/>
          <xsd:enumeration value="123"/>
          <xsd:enumeration value="124"/>
          <xsd:enumeration value="125"/>
          <xsd:enumeration value="126"/>
          <xsd:enumeration value="127"/>
          <xsd:enumeration value="128"/>
          <xsd:enumeration value="129"/>
          <xsd:enumeration value="130"/>
          <xsd:enumeration value="131"/>
          <xsd:enumeration value="132"/>
          <xsd:enumeration value="133"/>
          <xsd:enumeration value="134"/>
          <xsd:enumeration value="135"/>
          <xsd:enumeration value="136"/>
          <xsd:enumeration value="137"/>
          <xsd:enumeration value="138"/>
          <xsd:enumeration value="139"/>
          <xsd:enumeration value="140"/>
          <xsd:enumeration value="141"/>
          <xsd:enumeration value="142"/>
          <xsd:enumeration value="143"/>
          <xsd:enumeration value="144"/>
          <xsd:enumeration value="145"/>
          <xsd:enumeration value="146"/>
          <xsd:enumeration value="147"/>
          <xsd:enumeration value="148"/>
          <xsd:enumeration value="149"/>
          <xsd:enumeration value="150"/>
          <xsd:enumeration value="151"/>
          <xsd:enumeration value="152"/>
          <xsd:enumeration value="153"/>
          <xsd:enumeration value="154"/>
          <xsd:enumeration value="155"/>
          <xsd:enumeration value="156"/>
          <xsd:enumeration value="157"/>
          <xsd:enumeration value="158"/>
          <xsd:enumeration value="159"/>
          <xsd:enumeration value="160"/>
          <xsd:enumeration value="161"/>
          <xsd:enumeration value="162"/>
          <xsd:enumeration value="163"/>
          <xsd:enumeration value="164"/>
          <xsd:enumeration value="165"/>
          <xsd:enumeration value="166"/>
          <xsd:enumeration value="167"/>
          <xsd:enumeration value="168"/>
          <xsd:enumeration value="169"/>
          <xsd:enumeration value="170"/>
          <xsd:enumeration value="171"/>
          <xsd:enumeration value="172"/>
          <xsd:enumeration value="173"/>
          <xsd:enumeration value="174"/>
          <xsd:enumeration value="175"/>
          <xsd:enumeration value="176"/>
          <xsd:enumeration value="177"/>
          <xsd:enumeration value="178"/>
          <xsd:enumeration value="179"/>
          <xsd:enumeration value="180"/>
          <xsd:enumeration value="181"/>
          <xsd:enumeration value="182"/>
          <xsd:enumeration value="183"/>
          <xsd:enumeration value="184"/>
          <xsd:enumeration value="185"/>
          <xsd:enumeration value="186"/>
          <xsd:enumeration value="187"/>
          <xsd:enumeration value="188"/>
          <xsd:enumeration value="189"/>
          <xsd:enumeration value="190"/>
          <xsd:enumeration value="191"/>
          <xsd:enumeration value="192"/>
          <xsd:enumeration value="193"/>
          <xsd:enumeration value="194"/>
          <xsd:enumeration value="195"/>
          <xsd:enumeration value="196"/>
          <xsd:enumeration value="197"/>
          <xsd:enumeration value="198"/>
          <xsd:enumeration value="199"/>
          <xsd:enumeration value="200"/>
          <xsd:enumeration value="201"/>
          <xsd:enumeration value="202"/>
          <xsd:enumeration value="203"/>
          <xsd:enumeration value="204"/>
          <xsd:enumeration value="205"/>
          <xsd:enumeration value="206"/>
          <xsd:enumeration value="207"/>
          <xsd:enumeration value="208"/>
          <xsd:enumeration value="209"/>
          <xsd:enumeration value="210"/>
          <xsd:enumeration value="211"/>
          <xsd:enumeration value="212"/>
          <xsd:enumeration value="213"/>
          <xsd:enumeration value="214"/>
          <xsd:enumeration value="215"/>
          <xsd:enumeration value="216"/>
          <xsd:enumeration value="217"/>
          <xsd:enumeration value="218"/>
          <xsd:enumeration value="219"/>
          <xsd:enumeration value="220"/>
          <xsd:enumeration value="221"/>
          <xsd:enumeration value="222"/>
          <xsd:enumeration value="223"/>
          <xsd:enumeration value="224"/>
          <xsd:enumeration value="225"/>
          <xsd:enumeration value="226"/>
          <xsd:enumeration value="227"/>
          <xsd:enumeration value="228"/>
          <xsd:enumeration value="229"/>
          <xsd:enumeration value="230"/>
          <xsd:enumeration value="231"/>
          <xsd:enumeration value="232"/>
          <xsd:enumeration value="233"/>
          <xsd:enumeration value="234"/>
          <xsd:enumeration value="235"/>
          <xsd:enumeration value="236"/>
          <xsd:enumeration value="237"/>
          <xsd:enumeration value="238"/>
          <xsd:enumeration value="239"/>
          <xsd:enumeration value="240"/>
          <xsd:enumeration value="241"/>
          <xsd:enumeration value="242"/>
          <xsd:enumeration value="243"/>
          <xsd:enumeration value="244"/>
          <xsd:enumeration value="245"/>
          <xsd:enumeration value="246"/>
          <xsd:enumeration value="247"/>
          <xsd:enumeration value="248"/>
          <xsd:enumeration value="249"/>
          <xsd:enumeration value="250"/>
          <xsd:enumeration value="251"/>
          <xsd:enumeration value="252"/>
          <xsd:enumeration value="253"/>
          <xsd:enumeration value="254"/>
          <xsd:enumeration value="255"/>
          <xsd:enumeration value="256"/>
          <xsd:enumeration value="257"/>
          <xsd:enumeration value="258"/>
          <xsd:enumeration value="259"/>
          <xsd:enumeration value="260"/>
          <xsd:enumeration value="261"/>
          <xsd:enumeration value="262"/>
          <xsd:enumeration value="263"/>
          <xsd:enumeration value="264"/>
          <xsd:enumeration value="265"/>
          <xsd:enumeration value="266"/>
          <xsd:enumeration value="267"/>
          <xsd:enumeration value="268"/>
          <xsd:enumeration value="269"/>
          <xsd:enumeration value="270"/>
          <xsd:enumeration value="271"/>
          <xsd:enumeration value="272"/>
          <xsd:enumeration value="273"/>
          <xsd:enumeration value="274"/>
          <xsd:enumeration value="275"/>
          <xsd:enumeration value="276"/>
          <xsd:enumeration value="277"/>
          <xsd:enumeration value="278"/>
          <xsd:enumeration value="279"/>
          <xsd:enumeration value="280"/>
          <xsd:enumeration value="281"/>
          <xsd:enumeration value="282"/>
          <xsd:enumeration value="283"/>
          <xsd:enumeration value="284"/>
          <xsd:enumeration value="285"/>
          <xsd:enumeration value="286"/>
          <xsd:enumeration value="287"/>
          <xsd:enumeration value="288"/>
          <xsd:enumeration value="289"/>
          <xsd:enumeration value="290"/>
          <xsd:enumeration value="291"/>
          <xsd:enumeration value="292"/>
          <xsd:enumeration value="293"/>
          <xsd:enumeration value="294"/>
          <xsd:enumeration value="295"/>
          <xsd:enumeration value="296"/>
          <xsd:enumeration value="297"/>
          <xsd:enumeration value="298"/>
          <xsd:enumeration value="299"/>
          <xsd:enumeration value="300"/>
          <xsd:enumeration value="301"/>
          <xsd:enumeration value="302"/>
          <xsd:enumeration value="303"/>
          <xsd:enumeration value="304"/>
          <xsd:enumeration value="305"/>
          <xsd:enumeration value="306"/>
          <xsd:enumeration value="307"/>
          <xsd:enumeration value="308"/>
          <xsd:enumeration value="309"/>
          <xsd:enumeration value="310"/>
          <xsd:enumeration value="311"/>
          <xsd:enumeration value="312"/>
          <xsd:enumeration value="313"/>
          <xsd:enumeration value="314"/>
          <xsd:enumeration value="315"/>
          <xsd:enumeration value="316"/>
          <xsd:enumeration value="317"/>
          <xsd:enumeration value="318"/>
          <xsd:enumeration value="319"/>
          <xsd:enumeration value="320"/>
          <xsd:enumeration value="321"/>
          <xsd:enumeration value="322"/>
          <xsd:enumeration value="323"/>
          <xsd:enumeration value="324"/>
          <xsd:enumeration value="325"/>
          <xsd:enumeration value="326"/>
          <xsd:enumeration value="327"/>
          <xsd:enumeration value="328"/>
          <xsd:enumeration value="329"/>
          <xsd:enumeration value="330"/>
          <xsd:enumeration value="331"/>
          <xsd:enumeration value="332"/>
          <xsd:enumeration value="333"/>
          <xsd:enumeration value="334"/>
          <xsd:enumeration value="335"/>
          <xsd:enumeration value="336"/>
          <xsd:enumeration value="337"/>
          <xsd:enumeration value="338"/>
          <xsd:enumeration value="339"/>
          <xsd:enumeration value="340"/>
          <xsd:enumeration value="341"/>
          <xsd:enumeration value="342"/>
          <xsd:enumeration value="343"/>
          <xsd:enumeration value="344"/>
          <xsd:enumeration value="345"/>
          <xsd:enumeration value="346"/>
          <xsd:enumeration value="347"/>
          <xsd:enumeration value="348"/>
          <xsd:enumeration value="349"/>
          <xsd:enumeration value="350"/>
          <xsd:enumeration value="351"/>
          <xsd:enumeration value="352"/>
          <xsd:enumeration value="353"/>
          <xsd:enumeration value="354"/>
          <xsd:enumeration value="355"/>
          <xsd:enumeration value="356"/>
          <xsd:enumeration value="357"/>
          <xsd:enumeration value="358"/>
          <xsd:enumeration value="359"/>
          <xsd:enumeration value="360"/>
          <xsd:enumeration value="361"/>
          <xsd:enumeration value="362"/>
          <xsd:enumeration value="363"/>
          <xsd:enumeration value="364"/>
          <xsd:enumeration value="365"/>
          <xsd:enumeration value="366"/>
          <xsd:enumeration value="367"/>
          <xsd:enumeration value="368"/>
          <xsd:enumeration value="369"/>
          <xsd:enumeration value="370"/>
          <xsd:enumeration value="371"/>
          <xsd:enumeration value="372"/>
          <xsd:enumeration value="373"/>
          <xsd:enumeration value="374"/>
          <xsd:enumeration value="375"/>
          <xsd:enumeration value="376"/>
          <xsd:enumeration value="377"/>
          <xsd:enumeration value="378"/>
          <xsd:enumeration value="379"/>
          <xsd:enumeration value="380"/>
          <xsd:enumeration value="381"/>
          <xsd:enumeration value="382"/>
          <xsd:enumeration value="383"/>
          <xsd:enumeration value="384"/>
          <xsd:enumeration value="385"/>
          <xsd:enumeration value="386"/>
          <xsd:enumeration value="387"/>
          <xsd:enumeration value="388"/>
          <xsd:enumeration value="389"/>
          <xsd:enumeration value="390"/>
          <xsd:enumeration value="391"/>
          <xsd:enumeration value="392"/>
          <xsd:enumeration value="393"/>
          <xsd:enumeration value="394"/>
          <xsd:enumeration value="395"/>
          <xsd:enumeration value="396"/>
          <xsd:enumeration value="397"/>
          <xsd:enumeration value="398"/>
          <xsd:enumeration value="399"/>
          <xsd:enumeration value="400"/>
          <xsd:enumeration value="401"/>
          <xsd:enumeration value="402"/>
          <xsd:enumeration value="403"/>
          <xsd:enumeration value="404"/>
          <xsd:enumeration value="405"/>
          <xsd:enumeration value="406"/>
          <xsd:enumeration value="407"/>
          <xsd:enumeration value="408"/>
          <xsd:enumeration value="409"/>
          <xsd:enumeration value="410"/>
          <xsd:enumeration value="411"/>
          <xsd:enumeration value="412"/>
          <xsd:enumeration value="413"/>
          <xsd:enumeration value="414"/>
          <xsd:enumeration value="415"/>
          <xsd:enumeration value="416"/>
          <xsd:enumeration value="417"/>
          <xsd:enumeration value="418"/>
          <xsd:enumeration value="419"/>
          <xsd:enumeration value="420"/>
          <xsd:enumeration value="421"/>
          <xsd:enumeration value="422"/>
          <xsd:enumeration value="423"/>
          <xsd:enumeration value="424"/>
          <xsd:enumeration value="425"/>
          <xsd:enumeration value="426"/>
          <xsd:enumeration value="427"/>
          <xsd:enumeration value="428"/>
          <xsd:enumeration value="429"/>
          <xsd:enumeration value="430"/>
          <xsd:enumeration value="431"/>
          <xsd:enumeration value="432"/>
          <xsd:enumeration value="433"/>
          <xsd:enumeration value="434"/>
          <xsd:enumeration value="435"/>
          <xsd:enumeration value="436"/>
          <xsd:enumeration value="437"/>
          <xsd:enumeration value="438"/>
          <xsd:enumeration value="439"/>
          <xsd:enumeration value="440"/>
          <xsd:enumeration value="441"/>
        </xsd:restriction>
      </xsd:simpleType>
    </xsd:element>
    <xsd:element name="Tariff_x0020_Dev_x0020_Doc_x0020_Type" ma:index="10" nillable="true" ma:displayName="Tariff Dev Doc Type" ma:format="Dropdown" ma:internalName="Tariff_x0020_Dev_x0020_Doc_x0020_Type">
      <xsd:simpleType>
        <xsd:restriction base="dms:Choice">
          <xsd:enumeration value="Support"/>
          <xsd:enumeration value="Customer Communications"/>
        </xsd:restriction>
      </xsd:simpleType>
    </xsd:element>
    <xsd:element name="Filed_x0020_Documents" ma:index="11" nillable="true" ma:displayName="Filed Documents (Internal Use Only)" ma:format="Dropdown" ma:internalName="Filed_x0020_Documents" ma:readOnly="false">
      <xsd:simpleType>
        <xsd:restriction base="dms:Choice">
          <xsd:enumeration value="Application/Filing Requirements/Testimony"/>
          <xsd:enumeration value="PSC DR 01"/>
          <xsd:enumeration value="PSC DR 02/Intervenor DR 01"/>
          <xsd:enumeration value="PSC DR 03/Intervenor DR 02"/>
          <xsd:enumeration value="PSC DR 04"/>
          <xsd:enumeration value="PSC DR 05"/>
          <xsd:enumeration value="PSC DR 06"/>
          <xsd:enumeration value="PSC Post Hearing DR01"/>
          <xsd:enumeration value="PSC Post Hearing DR02"/>
          <xsd:enumeration value="VSCC DR01"/>
          <xsd:enumeration value="VSCC DR02"/>
          <xsd:enumeration value="VSCC DR03"/>
          <xsd:enumeration value="VSCC DR04"/>
          <xsd:enumeration value="VSCC DR05"/>
          <xsd:enumeration value="VSCC DR06"/>
          <xsd:enumeration value="VSCC DR07"/>
          <xsd:enumeration value="VSCC DR08"/>
          <xsd:enumeration value="VSCC DR09"/>
          <xsd:enumeration value="VSCC DR10"/>
          <xsd:enumeration value="VSCC DR11"/>
          <xsd:enumeration value="VSCC DR12"/>
          <xsd:enumeration value="VSCC DR13"/>
          <xsd:enumeration value="Rebuttal Testimony"/>
          <xsd:enumeration value="Settlement Agreement"/>
          <xsd:enumeration value="Stipulation Testimony"/>
          <xsd:enumeration value="Post Hearing Brief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pany xmlns="54fcda00-7b58-44a7-b108-8bd10a8a08ba">
      <Value>LGE</Value>
    </Company>
    <Tariff_x0020_Dev_x0020_Doc_x0020_Type xmlns="54fcda00-7b58-44a7-b108-8bd10a8a08ba" xsi:nil="true"/>
    <Filing_x0020_Requirement xmlns="54fcda00-7b58-44a7-b108-8bd10a8a08ba" xsi:nil="true"/>
    <Round xmlns="54fcda00-7b58-44a7-b108-8bd10a8a08ba">DR02 Attachments</Round>
    <Data_x0020_Request_x0020_Question_x0020_No_x002e_ xmlns="54fcda00-7b58-44a7-b108-8bd10a8a08ba">007</Data_x0020_Request_x0020_Question_x0020_No_x002e_>
    <Year xmlns="54fcda00-7b58-44a7-b108-8bd10a8a08ba">2018</Year>
    <Document_x0020_Type xmlns="54fcda00-7b58-44a7-b108-8bd10a8a08ba">Data Requests</Document_x0020_Type>
    <Witness_x0020_Testimony xmlns="54fcda00-7b58-44a7-b108-8bd10a8a08ba" xsi:nil="true"/>
    <Intervemprs xmlns="54fcda00-7b58-44a7-b108-8bd10a8a08ba">U.S. Dept. of Defense -  US DOD</Intervemprs>
    <Filed_x0020_Documents xmlns="54fcda00-7b58-44a7-b108-8bd10a8a08ba" xsi:nil="true"/>
  </documentManagement>
</p:properties>
</file>

<file path=customXml/itemProps1.xml><?xml version="1.0" encoding="utf-8"?>
<ds:datastoreItem xmlns:ds="http://schemas.openxmlformats.org/officeDocument/2006/customXml" ds:itemID="{D15131F7-5E93-4989-8FF4-F4F5513C102F}"/>
</file>

<file path=customXml/itemProps2.xml><?xml version="1.0" encoding="utf-8"?>
<ds:datastoreItem xmlns:ds="http://schemas.openxmlformats.org/officeDocument/2006/customXml" ds:itemID="{0DE9FEF9-7C70-447F-9DBC-B074D4BA5EF9}"/>
</file>

<file path=customXml/itemProps3.xml><?xml version="1.0" encoding="utf-8"?>
<ds:datastoreItem xmlns:ds="http://schemas.openxmlformats.org/officeDocument/2006/customXml" ds:itemID="{5079A09B-816D-4AFD-A7A6-34D800E3A3C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26</vt:i4>
      </vt:variant>
    </vt:vector>
  </HeadingPairs>
  <TitlesOfParts>
    <vt:vector size="26" baseType="lpstr">
      <vt:lpstr>KU_Summary - Cost - P1 (REG)</vt:lpstr>
      <vt:lpstr>KU_Summary - Reserve - P2 (REG)</vt:lpstr>
      <vt:lpstr>RWIP BY ACCOUNT - P2A (REG)</vt:lpstr>
      <vt:lpstr>Cash Flow Summary - PG 2B REG</vt:lpstr>
      <vt:lpstr>Transfers Detail P3 (REG)</vt:lpstr>
      <vt:lpstr>Transfers Detail-VA-P3.1 (REG)</vt:lpstr>
      <vt:lpstr>Transfers Detail-TN-P3.2 (REG)</vt:lpstr>
      <vt:lpstr>Land_Vehicle Retire P3A (REG)</vt:lpstr>
      <vt:lpstr>CWIP Spend by Project P3B (REG)</vt:lpstr>
      <vt:lpstr>Recon Depr Exp to IS P4 (REG)</vt:lpstr>
      <vt:lpstr>TOTAL_PIS NVB P5 (REG)</vt:lpstr>
      <vt:lpstr>TOTAL_PIS COST SPLITS-P6 (REG)</vt:lpstr>
      <vt:lpstr>KY_PIS NVB P7 (REG)</vt:lpstr>
      <vt:lpstr>KY_Cost by Plant Acct P8 (REG)</vt:lpstr>
      <vt:lpstr>VA_PIS NBV P9 (REG)</vt:lpstr>
      <vt:lpstr>VA_Cost by Plant Acct P10 (REG)</vt:lpstr>
      <vt:lpstr>TN_PIS NBV P11 (REG)</vt:lpstr>
      <vt:lpstr>TN_Cost by Plant Acct P12 (REG)</vt:lpstr>
      <vt:lpstr>Plant Held for Future-P13 (REG)</vt:lpstr>
      <vt:lpstr>Non Utility Prop - KY P14 (REG)</vt:lpstr>
      <vt:lpstr>Elec Plant Purch-Sold P15 (REG)</vt:lpstr>
      <vt:lpstr>KY_Res by Plant Acct P16(REG)</vt:lpstr>
      <vt:lpstr>VA_Res by Plant Acct P17(REG)</vt:lpstr>
      <vt:lpstr>TN_Res by Plant Acct P18(REG)</vt:lpstr>
      <vt:lpstr>Depr Study Summary Pg2</vt:lpstr>
      <vt:lpstr>Depr Study Detail by Acct Depr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2018-12-14T16:13:08Z</dcterms:created>
  <dcterms:modified xsi:type="dcterms:W3CDTF">2018-12-14T18:58:19Z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0x0101002D0103853DF7894DB347713A7250CD66</vt:lpwstr>
  </property>
</Properties>
</file>