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tracymullinax/ownCloud/Projects/KYOAG /To OAG 190115/Workpapers/"/>
    </mc:Choice>
  </mc:AlternateContent>
  <xr:revisionPtr revIDLastSave="0" documentId="13_ncr:1_{7491F9AC-4183-594B-9E22-12D2A96F9BDB}" xr6:coauthVersionLast="36" xr6:coauthVersionMax="40" xr10:uidLastSave="{00000000-0000-0000-0000-000000000000}"/>
  <bookViews>
    <workbookView xWindow="0" yWindow="460" windowWidth="33600" windowHeight="20540" tabRatio="800" activeTab="14" xr2:uid="{00000000-000D-0000-FFFF-FFFF00000000}"/>
  </bookViews>
  <sheets>
    <sheet name="Tables" sheetId="215" r:id="rId1"/>
    <sheet name="Index" sheetId="121" r:id="rId2"/>
    <sheet name="Sch 1" sheetId="181" r:id="rId3"/>
    <sheet name="Sch 1.1" sheetId="8" r:id="rId4"/>
    <sheet name="Sch 1.2" sheetId="182" r:id="rId5"/>
    <sheet name="Sch 2" sheetId="76" r:id="rId6"/>
    <sheet name="Sch 2.1" sheetId="146" r:id="rId7"/>
    <sheet name="Sch 3" sheetId="187" r:id="rId8"/>
    <sheet name="3.1 Slippage" sheetId="277" r:id="rId9"/>
    <sheet name="3.2" sheetId="303" r:id="rId10"/>
    <sheet name="3.3" sheetId="302" r:id="rId11"/>
    <sheet name="3.4 PHFU" sheetId="283" r:id="rId12"/>
    <sheet name="3.5 CWC" sheetId="198" r:id="rId13"/>
    <sheet name="3.5.1 CWC WP" sheetId="288" r:id="rId14"/>
    <sheet name="3.5.1 WP Other O&amp;M Lead " sheetId="304" r:id="rId15"/>
    <sheet name="3.6 Late Pymt" sheetId="278" r:id="rId16"/>
    <sheet name="3.7 401k" sheetId="279" r:id="rId17"/>
    <sheet name="3.8 D&amp;O" sheetId="280" r:id="rId18"/>
    <sheet name="3.9 Dues" sheetId="286" r:id="rId19"/>
    <sheet name="3.10 Legal" sheetId="285" r:id="rId20"/>
    <sheet name="3.11 Rebate" sheetId="276" r:id="rId21"/>
    <sheet name="3.12 Econ Dev" sheetId="287" r:id="rId22"/>
    <sheet name="3.13 Ed" sheetId="284" r:id="rId23"/>
    <sheet name="3.14 ECR Credit" sheetId="282" r:id="rId24"/>
    <sheet name="3.15 MMD" sheetId="281" r:id="rId25"/>
    <sheet name="3.16 Storm" sheetId="299" r:id="rId26"/>
    <sheet name="3.17  EDIT" sheetId="301" r:id="rId27"/>
    <sheet name="3.18-Int Sychn" sheetId="25" r:id="rId28"/>
    <sheet name="Template Exp" sheetId="161" state="hidden" r:id="rId29"/>
    <sheet name="Template RB-Exp" sheetId="243" state="hidden" r:id="rId30"/>
  </sheets>
  <externalReferences>
    <externalReference r:id="rId31"/>
  </externalReferences>
  <definedNames>
    <definedName name="A_Other_Benefits">#REF!</definedName>
    <definedName name="A_Payroll">#REF!</definedName>
    <definedName name="A_Public_Liability">#REF!</definedName>
    <definedName name="ColOff1">[1]Global!$B$24</definedName>
    <definedName name="DebtCost">[1]Global!$B$27</definedName>
    <definedName name="Debtpct">[1]Global!$B$28</definedName>
    <definedName name="EN">[1]Global!$B$6</definedName>
    <definedName name="_xlnm.Print_Area" localSheetId="8">'3.1 Slippage'!$A$1:$K$37</definedName>
    <definedName name="_xlnm.Print_Area" localSheetId="27">'3.18-Int Sychn'!$A$1:$K$36</definedName>
    <definedName name="_xlnm.Print_Area" localSheetId="12">'3.5 CWC'!$A$1:$P$42</definedName>
    <definedName name="_xlnm.Print_Area" localSheetId="2">'Sch 1'!$A$1:$K$26</definedName>
    <definedName name="_xlnm.Print_Area" localSheetId="3">'Sch 1.1'!$A$1:$K$64</definedName>
    <definedName name="_xlnm.Print_Area" localSheetId="0">Tables!$B$8:$J$47</definedName>
    <definedName name="_xlnm.Print_Titles" localSheetId="1">Index!$8:$8</definedName>
    <definedName name="TargetROE">[1]Global!$B$32</definedName>
    <definedName name="TaxRate">[1]Global!$B$31</definedName>
    <definedName name="tblIndex">'[1]RR-Index'!$B$5:$H$61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87" l="1"/>
  <c r="N33" i="198" l="1"/>
  <c r="P33" i="198" s="1"/>
  <c r="H15" i="286" l="1"/>
  <c r="H16" i="286"/>
  <c r="H17" i="286"/>
  <c r="H18" i="286"/>
  <c r="H19" i="286"/>
  <c r="H14" i="286"/>
  <c r="F20" i="286"/>
  <c r="L27" i="198"/>
  <c r="L26" i="198"/>
  <c r="L24" i="198"/>
  <c r="L22" i="198"/>
  <c r="L19" i="198"/>
  <c r="L18" i="198"/>
  <c r="L17" i="198"/>
  <c r="F31" i="198"/>
  <c r="F35" i="198" s="1"/>
  <c r="J27" i="198"/>
  <c r="H24" i="198"/>
  <c r="J24" i="198" s="1"/>
  <c r="H22" i="198"/>
  <c r="J22" i="198" s="1"/>
  <c r="H19" i="198"/>
  <c r="J19" i="198" s="1"/>
  <c r="P62" i="187"/>
  <c r="H18" i="198"/>
  <c r="J18" i="198" s="1"/>
  <c r="H17" i="198"/>
  <c r="J17" i="198" s="1"/>
  <c r="F31" i="215"/>
  <c r="AS47" i="187"/>
  <c r="AS44" i="187"/>
  <c r="J28" i="301"/>
  <c r="J37" i="301"/>
  <c r="H37" i="301" s="1"/>
  <c r="F37" i="301"/>
  <c r="F29" i="301"/>
  <c r="F30" i="301" s="1"/>
  <c r="N22" i="198" l="1"/>
  <c r="P22" i="198" s="1"/>
  <c r="N27" i="198"/>
  <c r="P27" i="198" s="1"/>
  <c r="N24" i="198"/>
  <c r="P24" i="198" s="1"/>
  <c r="N19" i="198"/>
  <c r="P19" i="198" s="1"/>
  <c r="N18" i="198"/>
  <c r="P18" i="198" s="1"/>
  <c r="N17" i="198"/>
  <c r="P17" i="198" s="1"/>
  <c r="J29" i="301"/>
  <c r="J30" i="301"/>
  <c r="J33" i="301" s="1"/>
  <c r="H30" i="301"/>
  <c r="F33" i="301"/>
  <c r="F39" i="301" s="1"/>
  <c r="H33" i="301" l="1"/>
  <c r="J39" i="301"/>
  <c r="H39" i="301" l="1"/>
  <c r="J25" i="277" l="1"/>
  <c r="J24" i="277"/>
  <c r="J23" i="277"/>
  <c r="J22" i="277"/>
  <c r="J19" i="277"/>
  <c r="J18" i="277"/>
  <c r="J13" i="277"/>
  <c r="F30" i="215"/>
  <c r="F29" i="215"/>
  <c r="F28" i="215"/>
  <c r="F27" i="215"/>
  <c r="F26" i="215"/>
  <c r="F25" i="215"/>
  <c r="F24" i="215"/>
  <c r="F22" i="215"/>
  <c r="F21" i="215"/>
  <c r="F20" i="215"/>
  <c r="D18" i="215"/>
  <c r="C32" i="215"/>
  <c r="C31" i="215"/>
  <c r="C30" i="215"/>
  <c r="C29" i="215"/>
  <c r="C28" i="215"/>
  <c r="C27" i="215"/>
  <c r="C26" i="215"/>
  <c r="C25" i="215"/>
  <c r="C24" i="215"/>
  <c r="C23" i="215"/>
  <c r="C22" i="215"/>
  <c r="C21" i="215"/>
  <c r="C20" i="215"/>
  <c r="C19" i="215"/>
  <c r="C18" i="215"/>
  <c r="C15" i="215"/>
  <c r="H14" i="215"/>
  <c r="H43" i="8" l="1"/>
  <c r="H46" i="8"/>
  <c r="H22" i="8"/>
  <c r="H23" i="8"/>
  <c r="H24" i="8"/>
  <c r="H25" i="8"/>
  <c r="H18" i="8"/>
  <c r="H16" i="8"/>
  <c r="AU13" i="187"/>
  <c r="AS13" i="187"/>
  <c r="AQ47" i="187"/>
  <c r="AQ43" i="187"/>
  <c r="AO47" i="187"/>
  <c r="AO43" i="187"/>
  <c r="AO13" i="187"/>
  <c r="AQ13" i="187"/>
  <c r="AM47" i="187"/>
  <c r="AM43" i="187"/>
  <c r="AM13" i="187"/>
  <c r="AK47" i="187"/>
  <c r="AK43" i="187"/>
  <c r="AK13" i="187"/>
  <c r="AI47" i="187"/>
  <c r="AI43" i="187"/>
  <c r="F51" i="198" l="1"/>
  <c r="B5" i="304"/>
  <c r="Q3" i="304"/>
  <c r="B3" i="304"/>
  <c r="B1" i="304"/>
  <c r="AH72" i="288"/>
  <c r="AJ72" i="288" s="1"/>
  <c r="AH70" i="288"/>
  <c r="AJ70" i="288" s="1"/>
  <c r="AH68" i="288"/>
  <c r="AJ68" i="288" s="1"/>
  <c r="AH64" i="288"/>
  <c r="AJ64" i="288" s="1"/>
  <c r="AH62" i="288"/>
  <c r="AJ62" i="288" s="1"/>
  <c r="AH60" i="288"/>
  <c r="AJ60" i="288" s="1"/>
  <c r="AH58" i="288"/>
  <c r="AJ58" i="288" s="1"/>
  <c r="AH56" i="288"/>
  <c r="AJ56" i="288" s="1"/>
  <c r="AH54" i="288"/>
  <c r="AJ54" i="288" s="1"/>
  <c r="AH52" i="288"/>
  <c r="AJ52" i="288" s="1"/>
  <c r="AH50" i="288"/>
  <c r="AJ50" i="288" s="1"/>
  <c r="AH48" i="288"/>
  <c r="AJ48" i="288" s="1"/>
  <c r="AH45" i="288"/>
  <c r="AJ45" i="288" s="1"/>
  <c r="AH44" i="288"/>
  <c r="AJ44" i="288" s="1"/>
  <c r="AH43" i="288"/>
  <c r="AJ43" i="288" s="1"/>
  <c r="AH39" i="288"/>
  <c r="AJ39" i="288" s="1"/>
  <c r="AH38" i="288"/>
  <c r="AJ38" i="288" s="1"/>
  <c r="AH37" i="288"/>
  <c r="AJ37" i="288" s="1"/>
  <c r="AJ40" i="288" s="1"/>
  <c r="AH33" i="288"/>
  <c r="AJ33" i="288" s="1"/>
  <c r="AH32" i="288"/>
  <c r="AJ32" i="288" s="1"/>
  <c r="AH31" i="288"/>
  <c r="AJ31" i="288" s="1"/>
  <c r="AH30" i="288"/>
  <c r="AJ30" i="288" s="1"/>
  <c r="V27" i="288"/>
  <c r="Z26" i="288"/>
  <c r="AH25" i="288"/>
  <c r="AJ25" i="288" s="1"/>
  <c r="Z25" i="288"/>
  <c r="AH24" i="288"/>
  <c r="AJ24" i="288" s="1"/>
  <c r="Z24" i="288"/>
  <c r="AH23" i="288"/>
  <c r="AJ23" i="288" s="1"/>
  <c r="Z23" i="288"/>
  <c r="AH22" i="288"/>
  <c r="AJ22" i="288" s="1"/>
  <c r="Z22" i="288"/>
  <c r="AH21" i="288"/>
  <c r="AJ21" i="288" s="1"/>
  <c r="Z21" i="288"/>
  <c r="AH20" i="288"/>
  <c r="AJ20" i="288" s="1"/>
  <c r="Z20" i="288"/>
  <c r="AH19" i="288"/>
  <c r="AJ19" i="288" s="1"/>
  <c r="Z19" i="288"/>
  <c r="AH18" i="288"/>
  <c r="AJ18" i="288" s="1"/>
  <c r="Z18" i="288"/>
  <c r="AH17" i="288"/>
  <c r="AJ17" i="288" s="1"/>
  <c r="Z17" i="288"/>
  <c r="AH16" i="288"/>
  <c r="AJ16" i="288" s="1"/>
  <c r="Z16" i="288"/>
  <c r="AJ15" i="288"/>
  <c r="AH15" i="288"/>
  <c r="Z15" i="288"/>
  <c r="AH14" i="288"/>
  <c r="AJ14" i="288" s="1"/>
  <c r="Z14" i="288"/>
  <c r="AH13" i="288"/>
  <c r="AJ13" i="288" s="1"/>
  <c r="Z13" i="288"/>
  <c r="AH12" i="288"/>
  <c r="AJ12" i="288" s="1"/>
  <c r="Z12" i="288"/>
  <c r="J17" i="25"/>
  <c r="N42" i="146"/>
  <c r="P39" i="146" s="1"/>
  <c r="N18" i="146"/>
  <c r="P17" i="146" s="1"/>
  <c r="T17" i="146" s="1"/>
  <c r="N30" i="146"/>
  <c r="P27" i="146" s="1"/>
  <c r="E395" i="304"/>
  <c r="J393" i="304"/>
  <c r="O393" i="304" s="1"/>
  <c r="H393" i="304"/>
  <c r="J392" i="304"/>
  <c r="O392" i="304" s="1"/>
  <c r="H392" i="304"/>
  <c r="N392" i="304" s="1"/>
  <c r="J391" i="304"/>
  <c r="O391" i="304" s="1"/>
  <c r="H391" i="304"/>
  <c r="N391" i="304" s="1"/>
  <c r="P391" i="304" s="1"/>
  <c r="Q391" i="304" s="1"/>
  <c r="J390" i="304"/>
  <c r="O390" i="304" s="1"/>
  <c r="H390" i="304"/>
  <c r="N390" i="304" s="1"/>
  <c r="N389" i="304"/>
  <c r="J389" i="304"/>
  <c r="O389" i="304" s="1"/>
  <c r="H389" i="304"/>
  <c r="K389" i="304" s="1"/>
  <c r="L389" i="304" s="1"/>
  <c r="N388" i="304"/>
  <c r="J388" i="304"/>
  <c r="O388" i="304" s="1"/>
  <c r="H388" i="304"/>
  <c r="J387" i="304"/>
  <c r="O387" i="304" s="1"/>
  <c r="H387" i="304"/>
  <c r="O386" i="304"/>
  <c r="J386" i="304"/>
  <c r="H386" i="304"/>
  <c r="J385" i="304"/>
  <c r="O385" i="304" s="1"/>
  <c r="H385" i="304"/>
  <c r="J384" i="304"/>
  <c r="O384" i="304" s="1"/>
  <c r="H384" i="304"/>
  <c r="N384" i="304" s="1"/>
  <c r="J383" i="304"/>
  <c r="O383" i="304" s="1"/>
  <c r="H383" i="304"/>
  <c r="N383" i="304" s="1"/>
  <c r="J382" i="304"/>
  <c r="O382" i="304" s="1"/>
  <c r="H382" i="304"/>
  <c r="J381" i="304"/>
  <c r="O381" i="304" s="1"/>
  <c r="H381" i="304"/>
  <c r="N381" i="304" s="1"/>
  <c r="O380" i="304"/>
  <c r="N380" i="304"/>
  <c r="J380" i="304"/>
  <c r="H380" i="304"/>
  <c r="N379" i="304"/>
  <c r="J379" i="304"/>
  <c r="H379" i="304"/>
  <c r="N378" i="304"/>
  <c r="J378" i="304"/>
  <c r="O378" i="304" s="1"/>
  <c r="P378" i="304" s="1"/>
  <c r="Q378" i="304" s="1"/>
  <c r="H378" i="304"/>
  <c r="N377" i="304"/>
  <c r="J377" i="304"/>
  <c r="O377" i="304" s="1"/>
  <c r="H377" i="304"/>
  <c r="K377" i="304" s="1"/>
  <c r="L377" i="304" s="1"/>
  <c r="N376" i="304"/>
  <c r="J376" i="304"/>
  <c r="O376" i="304" s="1"/>
  <c r="H376" i="304"/>
  <c r="N375" i="304"/>
  <c r="J375" i="304"/>
  <c r="O375" i="304" s="1"/>
  <c r="H375" i="304"/>
  <c r="N374" i="304"/>
  <c r="J374" i="304"/>
  <c r="O374" i="304" s="1"/>
  <c r="H374" i="304"/>
  <c r="N373" i="304"/>
  <c r="J373" i="304"/>
  <c r="O373" i="304" s="1"/>
  <c r="H373" i="304"/>
  <c r="K373" i="304" s="1"/>
  <c r="L373" i="304" s="1"/>
  <c r="N372" i="304"/>
  <c r="J372" i="304"/>
  <c r="O372" i="304" s="1"/>
  <c r="H372" i="304"/>
  <c r="N371" i="304"/>
  <c r="J371" i="304"/>
  <c r="O371" i="304" s="1"/>
  <c r="H371" i="304"/>
  <c r="K371" i="304" s="1"/>
  <c r="L371" i="304" s="1"/>
  <c r="N370" i="304"/>
  <c r="J370" i="304"/>
  <c r="O370" i="304" s="1"/>
  <c r="H370" i="304"/>
  <c r="J369" i="304"/>
  <c r="O369" i="304" s="1"/>
  <c r="H369" i="304"/>
  <c r="N368" i="304"/>
  <c r="J368" i="304"/>
  <c r="O368" i="304" s="1"/>
  <c r="H368" i="304"/>
  <c r="N367" i="304"/>
  <c r="J367" i="304"/>
  <c r="O367" i="304" s="1"/>
  <c r="H367" i="304"/>
  <c r="N366" i="304"/>
  <c r="J366" i="304"/>
  <c r="O366" i="304" s="1"/>
  <c r="H366" i="304"/>
  <c r="K366" i="304" s="1"/>
  <c r="L366" i="304" s="1"/>
  <c r="J365" i="304"/>
  <c r="O365" i="304" s="1"/>
  <c r="H365" i="304"/>
  <c r="N365" i="304" s="1"/>
  <c r="J364" i="304"/>
  <c r="O364" i="304" s="1"/>
  <c r="H364" i="304"/>
  <c r="N363" i="304"/>
  <c r="J363" i="304"/>
  <c r="K363" i="304" s="1"/>
  <c r="L363" i="304" s="1"/>
  <c r="H363" i="304"/>
  <c r="N362" i="304"/>
  <c r="J362" i="304"/>
  <c r="O362" i="304" s="1"/>
  <c r="H362" i="304"/>
  <c r="K362" i="304" s="1"/>
  <c r="L362" i="304" s="1"/>
  <c r="N361" i="304"/>
  <c r="J361" i="304"/>
  <c r="O361" i="304" s="1"/>
  <c r="H361" i="304"/>
  <c r="J360" i="304"/>
  <c r="O360" i="304" s="1"/>
  <c r="H360" i="304"/>
  <c r="N360" i="304" s="1"/>
  <c r="N359" i="304"/>
  <c r="J359" i="304"/>
  <c r="O359" i="304" s="1"/>
  <c r="H359" i="304"/>
  <c r="N358" i="304"/>
  <c r="J358" i="304"/>
  <c r="O358" i="304" s="1"/>
  <c r="H358" i="304"/>
  <c r="J357" i="304"/>
  <c r="O357" i="304" s="1"/>
  <c r="H357" i="304"/>
  <c r="N357" i="304" s="1"/>
  <c r="J356" i="304"/>
  <c r="O356" i="304" s="1"/>
  <c r="H356" i="304"/>
  <c r="J355" i="304"/>
  <c r="H355" i="304"/>
  <c r="N355" i="304" s="1"/>
  <c r="J354" i="304"/>
  <c r="O354" i="304" s="1"/>
  <c r="H354" i="304"/>
  <c r="J353" i="304"/>
  <c r="O353" i="304" s="1"/>
  <c r="H353" i="304"/>
  <c r="J352" i="304"/>
  <c r="O352" i="304" s="1"/>
  <c r="H352" i="304"/>
  <c r="N352" i="304" s="1"/>
  <c r="J351" i="304"/>
  <c r="O351" i="304" s="1"/>
  <c r="H351" i="304"/>
  <c r="N351" i="304" s="1"/>
  <c r="N350" i="304"/>
  <c r="J350" i="304"/>
  <c r="O350" i="304" s="1"/>
  <c r="H350" i="304"/>
  <c r="K350" i="304" s="1"/>
  <c r="L350" i="304" s="1"/>
  <c r="N349" i="304"/>
  <c r="J349" i="304"/>
  <c r="O349" i="304" s="1"/>
  <c r="H349" i="304"/>
  <c r="N348" i="304"/>
  <c r="J348" i="304"/>
  <c r="O348" i="304" s="1"/>
  <c r="H348" i="304"/>
  <c r="N347" i="304"/>
  <c r="J347" i="304"/>
  <c r="O347" i="304" s="1"/>
  <c r="H347" i="304"/>
  <c r="K347" i="304" s="1"/>
  <c r="L347" i="304" s="1"/>
  <c r="N346" i="304"/>
  <c r="J346" i="304"/>
  <c r="O346" i="304" s="1"/>
  <c r="H346" i="304"/>
  <c r="N345" i="304"/>
  <c r="J345" i="304"/>
  <c r="O345" i="304" s="1"/>
  <c r="P345" i="304" s="1"/>
  <c r="Q345" i="304" s="1"/>
  <c r="H345" i="304"/>
  <c r="N344" i="304"/>
  <c r="J344" i="304"/>
  <c r="O344" i="304" s="1"/>
  <c r="H344" i="304"/>
  <c r="N343" i="304"/>
  <c r="J343" i="304"/>
  <c r="O343" i="304" s="1"/>
  <c r="H343" i="304"/>
  <c r="K343" i="304" s="1"/>
  <c r="L343" i="304" s="1"/>
  <c r="N342" i="304"/>
  <c r="J342" i="304"/>
  <c r="O342" i="304" s="1"/>
  <c r="H342" i="304"/>
  <c r="K342" i="304" s="1"/>
  <c r="L342" i="304" s="1"/>
  <c r="N341" i="304"/>
  <c r="J341" i="304"/>
  <c r="O341" i="304" s="1"/>
  <c r="H341" i="304"/>
  <c r="J340" i="304"/>
  <c r="O340" i="304" s="1"/>
  <c r="H340" i="304"/>
  <c r="K340" i="304" s="1"/>
  <c r="L340" i="304" s="1"/>
  <c r="N339" i="304"/>
  <c r="J339" i="304"/>
  <c r="H339" i="304"/>
  <c r="N338" i="304"/>
  <c r="J338" i="304"/>
  <c r="O338" i="304" s="1"/>
  <c r="H338" i="304"/>
  <c r="N337" i="304"/>
  <c r="J337" i="304"/>
  <c r="O337" i="304" s="1"/>
  <c r="H337" i="304"/>
  <c r="N336" i="304"/>
  <c r="J336" i="304"/>
  <c r="O336" i="304" s="1"/>
  <c r="H336" i="304"/>
  <c r="N335" i="304"/>
  <c r="J335" i="304"/>
  <c r="H335" i="304"/>
  <c r="J334" i="304"/>
  <c r="O334" i="304" s="1"/>
  <c r="H334" i="304"/>
  <c r="N334" i="304" s="1"/>
  <c r="J333" i="304"/>
  <c r="O333" i="304" s="1"/>
  <c r="H333" i="304"/>
  <c r="K333" i="304" s="1"/>
  <c r="L333" i="304" s="1"/>
  <c r="J332" i="304"/>
  <c r="O332" i="304" s="1"/>
  <c r="H332" i="304"/>
  <c r="J331" i="304"/>
  <c r="H331" i="304"/>
  <c r="N331" i="304" s="1"/>
  <c r="J330" i="304"/>
  <c r="O330" i="304" s="1"/>
  <c r="H330" i="304"/>
  <c r="J329" i="304"/>
  <c r="O329" i="304" s="1"/>
  <c r="H329" i="304"/>
  <c r="J328" i="304"/>
  <c r="O328" i="304" s="1"/>
  <c r="H328" i="304"/>
  <c r="N328" i="304" s="1"/>
  <c r="J327" i="304"/>
  <c r="H327" i="304"/>
  <c r="N327" i="304" s="1"/>
  <c r="J326" i="304"/>
  <c r="O326" i="304" s="1"/>
  <c r="H326" i="304"/>
  <c r="N325" i="304"/>
  <c r="J325" i="304"/>
  <c r="H325" i="304"/>
  <c r="J324" i="304"/>
  <c r="O324" i="304" s="1"/>
  <c r="H324" i="304"/>
  <c r="N323" i="304"/>
  <c r="J323" i="304"/>
  <c r="H323" i="304"/>
  <c r="O322" i="304"/>
  <c r="N322" i="304"/>
  <c r="J322" i="304"/>
  <c r="H322" i="304"/>
  <c r="J321" i="304"/>
  <c r="O321" i="304" s="1"/>
  <c r="H321" i="304"/>
  <c r="N320" i="304"/>
  <c r="J320" i="304"/>
  <c r="O320" i="304" s="1"/>
  <c r="H320" i="304"/>
  <c r="K320" i="304" s="1"/>
  <c r="L320" i="304" s="1"/>
  <c r="J319" i="304"/>
  <c r="O319" i="304" s="1"/>
  <c r="H319" i="304"/>
  <c r="N319" i="304" s="1"/>
  <c r="J318" i="304"/>
  <c r="O318" i="304" s="1"/>
  <c r="H318" i="304"/>
  <c r="N318" i="304" s="1"/>
  <c r="J317" i="304"/>
  <c r="H317" i="304"/>
  <c r="N317" i="304" s="1"/>
  <c r="J316" i="304"/>
  <c r="O316" i="304" s="1"/>
  <c r="H316" i="304"/>
  <c r="J315" i="304"/>
  <c r="O315" i="304" s="1"/>
  <c r="H315" i="304"/>
  <c r="J314" i="304"/>
  <c r="O314" i="304" s="1"/>
  <c r="H314" i="304"/>
  <c r="J313" i="304"/>
  <c r="O313" i="304" s="1"/>
  <c r="H313" i="304"/>
  <c r="J312" i="304"/>
  <c r="O312" i="304" s="1"/>
  <c r="H312" i="304"/>
  <c r="N312" i="304" s="1"/>
  <c r="P312" i="304" s="1"/>
  <c r="Q312" i="304" s="1"/>
  <c r="J311" i="304"/>
  <c r="H311" i="304"/>
  <c r="N311" i="304" s="1"/>
  <c r="J310" i="304"/>
  <c r="O310" i="304" s="1"/>
  <c r="H310" i="304"/>
  <c r="N310" i="304" s="1"/>
  <c r="P310" i="304" s="1"/>
  <c r="Q310" i="304" s="1"/>
  <c r="J309" i="304"/>
  <c r="O309" i="304" s="1"/>
  <c r="H309" i="304"/>
  <c r="N308" i="304"/>
  <c r="K308" i="304"/>
  <c r="L308" i="304" s="1"/>
  <c r="J308" i="304"/>
  <c r="O308" i="304" s="1"/>
  <c r="H308" i="304"/>
  <c r="N307" i="304"/>
  <c r="J307" i="304"/>
  <c r="H307" i="304"/>
  <c r="J306" i="304"/>
  <c r="O306" i="304" s="1"/>
  <c r="H306" i="304"/>
  <c r="N305" i="304"/>
  <c r="J305" i="304"/>
  <c r="O305" i="304" s="1"/>
  <c r="H305" i="304"/>
  <c r="N304" i="304"/>
  <c r="J304" i="304"/>
  <c r="O304" i="304" s="1"/>
  <c r="P304" i="304" s="1"/>
  <c r="Q304" i="304" s="1"/>
  <c r="H304" i="304"/>
  <c r="J303" i="304"/>
  <c r="O303" i="304" s="1"/>
  <c r="H303" i="304"/>
  <c r="J302" i="304"/>
  <c r="O302" i="304" s="1"/>
  <c r="H302" i="304"/>
  <c r="N302" i="304" s="1"/>
  <c r="J301" i="304"/>
  <c r="O301" i="304" s="1"/>
  <c r="H301" i="304"/>
  <c r="K301" i="304" s="1"/>
  <c r="L301" i="304" s="1"/>
  <c r="J300" i="304"/>
  <c r="O300" i="304" s="1"/>
  <c r="H300" i="304"/>
  <c r="N300" i="304" s="1"/>
  <c r="J299" i="304"/>
  <c r="O299" i="304" s="1"/>
  <c r="H299" i="304"/>
  <c r="N299" i="304" s="1"/>
  <c r="J298" i="304"/>
  <c r="O298" i="304" s="1"/>
  <c r="H298" i="304"/>
  <c r="J297" i="304"/>
  <c r="O297" i="304" s="1"/>
  <c r="H297" i="304"/>
  <c r="N296" i="304"/>
  <c r="J296" i="304"/>
  <c r="O296" i="304" s="1"/>
  <c r="H296" i="304"/>
  <c r="J295" i="304"/>
  <c r="O295" i="304" s="1"/>
  <c r="H295" i="304"/>
  <c r="N295" i="304" s="1"/>
  <c r="P295" i="304" s="1"/>
  <c r="Q295" i="304" s="1"/>
  <c r="J294" i="304"/>
  <c r="O294" i="304" s="1"/>
  <c r="H294" i="304"/>
  <c r="N294" i="304" s="1"/>
  <c r="J293" i="304"/>
  <c r="O293" i="304" s="1"/>
  <c r="H293" i="304"/>
  <c r="K293" i="304" s="1"/>
  <c r="L293" i="304" s="1"/>
  <c r="J292" i="304"/>
  <c r="O292" i="304" s="1"/>
  <c r="H292" i="304"/>
  <c r="J291" i="304"/>
  <c r="O291" i="304" s="1"/>
  <c r="H291" i="304"/>
  <c r="N291" i="304" s="1"/>
  <c r="J290" i="304"/>
  <c r="O290" i="304" s="1"/>
  <c r="H290" i="304"/>
  <c r="N290" i="304" s="1"/>
  <c r="J289" i="304"/>
  <c r="O289" i="304" s="1"/>
  <c r="H289" i="304"/>
  <c r="J288" i="304"/>
  <c r="O288" i="304" s="1"/>
  <c r="H288" i="304"/>
  <c r="N288" i="304" s="1"/>
  <c r="J287" i="304"/>
  <c r="O287" i="304" s="1"/>
  <c r="H287" i="304"/>
  <c r="N287" i="304" s="1"/>
  <c r="J286" i="304"/>
  <c r="O286" i="304" s="1"/>
  <c r="H286" i="304"/>
  <c r="J285" i="304"/>
  <c r="O285" i="304" s="1"/>
  <c r="H285" i="304"/>
  <c r="J284" i="304"/>
  <c r="O284" i="304" s="1"/>
  <c r="H284" i="304"/>
  <c r="N284" i="304" s="1"/>
  <c r="J283" i="304"/>
  <c r="O283" i="304" s="1"/>
  <c r="H283" i="304"/>
  <c r="N283" i="304" s="1"/>
  <c r="J282" i="304"/>
  <c r="O282" i="304" s="1"/>
  <c r="H282" i="304"/>
  <c r="N282" i="304" s="1"/>
  <c r="J281" i="304"/>
  <c r="O281" i="304" s="1"/>
  <c r="H281" i="304"/>
  <c r="N281" i="304" s="1"/>
  <c r="N280" i="304"/>
  <c r="K280" i="304"/>
  <c r="L280" i="304" s="1"/>
  <c r="J280" i="304"/>
  <c r="O280" i="304" s="1"/>
  <c r="H280" i="304"/>
  <c r="J279" i="304"/>
  <c r="O279" i="304" s="1"/>
  <c r="H279" i="304"/>
  <c r="J278" i="304"/>
  <c r="O278" i="304" s="1"/>
  <c r="H278" i="304"/>
  <c r="J277" i="304"/>
  <c r="O277" i="304" s="1"/>
  <c r="H277" i="304"/>
  <c r="J276" i="304"/>
  <c r="O276" i="304" s="1"/>
  <c r="H276" i="304"/>
  <c r="N276" i="304" s="1"/>
  <c r="J275" i="304"/>
  <c r="O275" i="304" s="1"/>
  <c r="H275" i="304"/>
  <c r="J274" i="304"/>
  <c r="O274" i="304" s="1"/>
  <c r="H274" i="304"/>
  <c r="N274" i="304" s="1"/>
  <c r="P274" i="304" s="1"/>
  <c r="Q274" i="304" s="1"/>
  <c r="J273" i="304"/>
  <c r="O273" i="304" s="1"/>
  <c r="H273" i="304"/>
  <c r="N273" i="304" s="1"/>
  <c r="J272" i="304"/>
  <c r="O272" i="304" s="1"/>
  <c r="H272" i="304"/>
  <c r="N272" i="304" s="1"/>
  <c r="J271" i="304"/>
  <c r="O271" i="304" s="1"/>
  <c r="H271" i="304"/>
  <c r="N270" i="304"/>
  <c r="J270" i="304"/>
  <c r="O270" i="304" s="1"/>
  <c r="H270" i="304"/>
  <c r="N269" i="304"/>
  <c r="J269" i="304"/>
  <c r="O269" i="304" s="1"/>
  <c r="H269" i="304"/>
  <c r="N268" i="304"/>
  <c r="J268" i="304"/>
  <c r="O268" i="304" s="1"/>
  <c r="H268" i="304"/>
  <c r="N267" i="304"/>
  <c r="J267" i="304"/>
  <c r="O267" i="304" s="1"/>
  <c r="H267" i="304"/>
  <c r="J266" i="304"/>
  <c r="O266" i="304" s="1"/>
  <c r="H266" i="304"/>
  <c r="N266" i="304" s="1"/>
  <c r="N265" i="304"/>
  <c r="J265" i="304"/>
  <c r="O265" i="304" s="1"/>
  <c r="H265" i="304"/>
  <c r="J264" i="304"/>
  <c r="O264" i="304" s="1"/>
  <c r="H264" i="304"/>
  <c r="N264" i="304" s="1"/>
  <c r="J263" i="304"/>
  <c r="O263" i="304" s="1"/>
  <c r="H263" i="304"/>
  <c r="J262" i="304"/>
  <c r="O262" i="304" s="1"/>
  <c r="H262" i="304"/>
  <c r="N262" i="304" s="1"/>
  <c r="J261" i="304"/>
  <c r="O261" i="304" s="1"/>
  <c r="H261" i="304"/>
  <c r="N261" i="304" s="1"/>
  <c r="K260" i="304"/>
  <c r="L260" i="304" s="1"/>
  <c r="J260" i="304"/>
  <c r="O260" i="304" s="1"/>
  <c r="P260" i="304" s="1"/>
  <c r="Q260" i="304" s="1"/>
  <c r="H260" i="304"/>
  <c r="N260" i="304" s="1"/>
  <c r="J259" i="304"/>
  <c r="O259" i="304" s="1"/>
  <c r="H259" i="304"/>
  <c r="N259" i="304" s="1"/>
  <c r="J258" i="304"/>
  <c r="O258" i="304" s="1"/>
  <c r="H258" i="304"/>
  <c r="J257" i="304"/>
  <c r="O257" i="304" s="1"/>
  <c r="H257" i="304"/>
  <c r="N257" i="304" s="1"/>
  <c r="J256" i="304"/>
  <c r="O256" i="304" s="1"/>
  <c r="H256" i="304"/>
  <c r="N256" i="304" s="1"/>
  <c r="J255" i="304"/>
  <c r="O255" i="304" s="1"/>
  <c r="H255" i="304"/>
  <c r="J254" i="304"/>
  <c r="O254" i="304" s="1"/>
  <c r="H254" i="304"/>
  <c r="O253" i="304"/>
  <c r="J253" i="304"/>
  <c r="H253" i="304"/>
  <c r="N253" i="304" s="1"/>
  <c r="J252" i="304"/>
  <c r="O252" i="304" s="1"/>
  <c r="H252" i="304"/>
  <c r="N252" i="304" s="1"/>
  <c r="J251" i="304"/>
  <c r="O251" i="304" s="1"/>
  <c r="H251" i="304"/>
  <c r="N251" i="304" s="1"/>
  <c r="P251" i="304" s="1"/>
  <c r="Q251" i="304" s="1"/>
  <c r="J250" i="304"/>
  <c r="O250" i="304" s="1"/>
  <c r="H250" i="304"/>
  <c r="J249" i="304"/>
  <c r="O249" i="304" s="1"/>
  <c r="H249" i="304"/>
  <c r="N249" i="304" s="1"/>
  <c r="J248" i="304"/>
  <c r="O248" i="304" s="1"/>
  <c r="H248" i="304"/>
  <c r="J247" i="304"/>
  <c r="O247" i="304" s="1"/>
  <c r="H247" i="304"/>
  <c r="J246" i="304"/>
  <c r="O246" i="304" s="1"/>
  <c r="H246" i="304"/>
  <c r="J245" i="304"/>
  <c r="O245" i="304" s="1"/>
  <c r="H245" i="304"/>
  <c r="J244" i="304"/>
  <c r="O244" i="304" s="1"/>
  <c r="H244" i="304"/>
  <c r="J243" i="304"/>
  <c r="O243" i="304" s="1"/>
  <c r="H243" i="304"/>
  <c r="N243" i="304" s="1"/>
  <c r="J242" i="304"/>
  <c r="H242" i="304"/>
  <c r="N242" i="304" s="1"/>
  <c r="J241" i="304"/>
  <c r="H241" i="304"/>
  <c r="N241" i="304" s="1"/>
  <c r="O240" i="304"/>
  <c r="J240" i="304"/>
  <c r="H240" i="304"/>
  <c r="N240" i="304" s="1"/>
  <c r="J239" i="304"/>
  <c r="O239" i="304" s="1"/>
  <c r="H239" i="304"/>
  <c r="J238" i="304"/>
  <c r="O238" i="304" s="1"/>
  <c r="H238" i="304"/>
  <c r="J237" i="304"/>
  <c r="O237" i="304" s="1"/>
  <c r="H237" i="304"/>
  <c r="J236" i="304"/>
  <c r="O236" i="304" s="1"/>
  <c r="H236" i="304"/>
  <c r="N236" i="304" s="1"/>
  <c r="J235" i="304"/>
  <c r="O235" i="304" s="1"/>
  <c r="H235" i="304"/>
  <c r="J234" i="304"/>
  <c r="O234" i="304" s="1"/>
  <c r="H234" i="304"/>
  <c r="J233" i="304"/>
  <c r="O233" i="304" s="1"/>
  <c r="H233" i="304"/>
  <c r="N233" i="304" s="1"/>
  <c r="J232" i="304"/>
  <c r="O232" i="304" s="1"/>
  <c r="H232" i="304"/>
  <c r="J231" i="304"/>
  <c r="O231" i="304" s="1"/>
  <c r="H231" i="304"/>
  <c r="J230" i="304"/>
  <c r="O230" i="304" s="1"/>
  <c r="H230" i="304"/>
  <c r="N230" i="304" s="1"/>
  <c r="J229" i="304"/>
  <c r="O229" i="304" s="1"/>
  <c r="H229" i="304"/>
  <c r="N229" i="304" s="1"/>
  <c r="J228" i="304"/>
  <c r="O228" i="304" s="1"/>
  <c r="P228" i="304" s="1"/>
  <c r="Q228" i="304" s="1"/>
  <c r="H228" i="304"/>
  <c r="N228" i="304" s="1"/>
  <c r="J227" i="304"/>
  <c r="O227" i="304" s="1"/>
  <c r="H227" i="304"/>
  <c r="J226" i="304"/>
  <c r="O226" i="304" s="1"/>
  <c r="H226" i="304"/>
  <c r="N226" i="304" s="1"/>
  <c r="J225" i="304"/>
  <c r="H225" i="304"/>
  <c r="N225" i="304" s="1"/>
  <c r="N224" i="304"/>
  <c r="J224" i="304"/>
  <c r="O224" i="304" s="1"/>
  <c r="H224" i="304"/>
  <c r="J223" i="304"/>
  <c r="O223" i="304" s="1"/>
  <c r="H223" i="304"/>
  <c r="J222" i="304"/>
  <c r="O222" i="304" s="1"/>
  <c r="H222" i="304"/>
  <c r="J221" i="304"/>
  <c r="O221" i="304" s="1"/>
  <c r="H221" i="304"/>
  <c r="J220" i="304"/>
  <c r="O220" i="304" s="1"/>
  <c r="H220" i="304"/>
  <c r="J219" i="304"/>
  <c r="O219" i="304" s="1"/>
  <c r="H219" i="304"/>
  <c r="N219" i="304" s="1"/>
  <c r="J218" i="304"/>
  <c r="O218" i="304" s="1"/>
  <c r="H218" i="304"/>
  <c r="N218" i="304" s="1"/>
  <c r="P218" i="304" s="1"/>
  <c r="Q218" i="304" s="1"/>
  <c r="J217" i="304"/>
  <c r="O217" i="304" s="1"/>
  <c r="H217" i="304"/>
  <c r="N217" i="304" s="1"/>
  <c r="P217" i="304" s="1"/>
  <c r="Q217" i="304" s="1"/>
  <c r="O216" i="304"/>
  <c r="J216" i="304"/>
  <c r="H216" i="304"/>
  <c r="N216" i="304" s="1"/>
  <c r="J215" i="304"/>
  <c r="H215" i="304"/>
  <c r="N215" i="304" s="1"/>
  <c r="J214" i="304"/>
  <c r="O214" i="304" s="1"/>
  <c r="H214" i="304"/>
  <c r="N214" i="304" s="1"/>
  <c r="J213" i="304"/>
  <c r="O213" i="304" s="1"/>
  <c r="H213" i="304"/>
  <c r="J212" i="304"/>
  <c r="O212" i="304" s="1"/>
  <c r="H212" i="304"/>
  <c r="J211" i="304"/>
  <c r="O211" i="304" s="1"/>
  <c r="H211" i="304"/>
  <c r="N211" i="304" s="1"/>
  <c r="P211" i="304" s="1"/>
  <c r="Q211" i="304" s="1"/>
  <c r="J210" i="304"/>
  <c r="O210" i="304" s="1"/>
  <c r="H210" i="304"/>
  <c r="N210" i="304" s="1"/>
  <c r="J209" i="304"/>
  <c r="O209" i="304" s="1"/>
  <c r="H209" i="304"/>
  <c r="N209" i="304" s="1"/>
  <c r="J208" i="304"/>
  <c r="O208" i="304" s="1"/>
  <c r="H208" i="304"/>
  <c r="J207" i="304"/>
  <c r="K207" i="304" s="1"/>
  <c r="L207" i="304" s="1"/>
  <c r="H207" i="304"/>
  <c r="N207" i="304" s="1"/>
  <c r="J206" i="304"/>
  <c r="O206" i="304" s="1"/>
  <c r="H206" i="304"/>
  <c r="N206" i="304" s="1"/>
  <c r="J205" i="304"/>
  <c r="O205" i="304" s="1"/>
  <c r="H205" i="304"/>
  <c r="J204" i="304"/>
  <c r="O204" i="304" s="1"/>
  <c r="H204" i="304"/>
  <c r="K203" i="304"/>
  <c r="L203" i="304" s="1"/>
  <c r="J203" i="304"/>
  <c r="O203" i="304" s="1"/>
  <c r="H203" i="304"/>
  <c r="N203" i="304" s="1"/>
  <c r="J202" i="304"/>
  <c r="O202" i="304" s="1"/>
  <c r="H202" i="304"/>
  <c r="N202" i="304" s="1"/>
  <c r="J201" i="304"/>
  <c r="K201" i="304" s="1"/>
  <c r="L201" i="304" s="1"/>
  <c r="H201" i="304"/>
  <c r="N201" i="304" s="1"/>
  <c r="J200" i="304"/>
  <c r="O200" i="304" s="1"/>
  <c r="H200" i="304"/>
  <c r="J199" i="304"/>
  <c r="O199" i="304" s="1"/>
  <c r="H199" i="304"/>
  <c r="N199" i="304" s="1"/>
  <c r="J198" i="304"/>
  <c r="O198" i="304" s="1"/>
  <c r="H198" i="304"/>
  <c r="N198" i="304" s="1"/>
  <c r="P198" i="304" s="1"/>
  <c r="Q198" i="304" s="1"/>
  <c r="J197" i="304"/>
  <c r="O197" i="304" s="1"/>
  <c r="H197" i="304"/>
  <c r="N196" i="304"/>
  <c r="J196" i="304"/>
  <c r="O196" i="304" s="1"/>
  <c r="H196" i="304"/>
  <c r="N195" i="304"/>
  <c r="J195" i="304"/>
  <c r="O195" i="304" s="1"/>
  <c r="H195" i="304"/>
  <c r="K195" i="304" s="1"/>
  <c r="L195" i="304" s="1"/>
  <c r="N194" i="304"/>
  <c r="J194" i="304"/>
  <c r="O194" i="304" s="1"/>
  <c r="H194" i="304"/>
  <c r="N193" i="304"/>
  <c r="J193" i="304"/>
  <c r="O193" i="304" s="1"/>
  <c r="H193" i="304"/>
  <c r="N192" i="304"/>
  <c r="J192" i="304"/>
  <c r="O192" i="304" s="1"/>
  <c r="H192" i="304"/>
  <c r="N191" i="304"/>
  <c r="J191" i="304"/>
  <c r="K191" i="304" s="1"/>
  <c r="L191" i="304" s="1"/>
  <c r="H191" i="304"/>
  <c r="J190" i="304"/>
  <c r="O190" i="304" s="1"/>
  <c r="H190" i="304"/>
  <c r="N190" i="304" s="1"/>
  <c r="N189" i="304"/>
  <c r="J189" i="304"/>
  <c r="O189" i="304" s="1"/>
  <c r="H189" i="304"/>
  <c r="N188" i="304"/>
  <c r="J188" i="304"/>
  <c r="O188" i="304" s="1"/>
  <c r="H188" i="304"/>
  <c r="J187" i="304"/>
  <c r="O187" i="304" s="1"/>
  <c r="H187" i="304"/>
  <c r="N186" i="304"/>
  <c r="J186" i="304"/>
  <c r="O186" i="304" s="1"/>
  <c r="H186" i="304"/>
  <c r="N185" i="304"/>
  <c r="J185" i="304"/>
  <c r="O185" i="304" s="1"/>
  <c r="H185" i="304"/>
  <c r="N184" i="304"/>
  <c r="J184" i="304"/>
  <c r="O184" i="304" s="1"/>
  <c r="H184" i="304"/>
  <c r="N183" i="304"/>
  <c r="J183" i="304"/>
  <c r="H183" i="304"/>
  <c r="N182" i="304"/>
  <c r="J182" i="304"/>
  <c r="O182" i="304" s="1"/>
  <c r="H182" i="304"/>
  <c r="N181" i="304"/>
  <c r="P181" i="304" s="1"/>
  <c r="Q181" i="304" s="1"/>
  <c r="J181" i="304"/>
  <c r="O181" i="304" s="1"/>
  <c r="H181" i="304"/>
  <c r="J180" i="304"/>
  <c r="O180" i="304" s="1"/>
  <c r="H180" i="304"/>
  <c r="N180" i="304" s="1"/>
  <c r="P180" i="304" s="1"/>
  <c r="Q180" i="304" s="1"/>
  <c r="J179" i="304"/>
  <c r="O179" i="304" s="1"/>
  <c r="H179" i="304"/>
  <c r="N179" i="304" s="1"/>
  <c r="N178" i="304"/>
  <c r="J178" i="304"/>
  <c r="O178" i="304" s="1"/>
  <c r="H178" i="304"/>
  <c r="N177" i="304"/>
  <c r="J177" i="304"/>
  <c r="O177" i="304" s="1"/>
  <c r="H177" i="304"/>
  <c r="O176" i="304"/>
  <c r="P176" i="304" s="1"/>
  <c r="Q176" i="304" s="1"/>
  <c r="N176" i="304"/>
  <c r="J176" i="304"/>
  <c r="H176" i="304"/>
  <c r="N175" i="304"/>
  <c r="J175" i="304"/>
  <c r="O175" i="304" s="1"/>
  <c r="H175" i="304"/>
  <c r="N174" i="304"/>
  <c r="J174" i="304"/>
  <c r="O174" i="304" s="1"/>
  <c r="H174" i="304"/>
  <c r="N173" i="304"/>
  <c r="J173" i="304"/>
  <c r="O173" i="304" s="1"/>
  <c r="H173" i="304"/>
  <c r="N172" i="304"/>
  <c r="J172" i="304"/>
  <c r="O172" i="304" s="1"/>
  <c r="H172" i="304"/>
  <c r="N171" i="304"/>
  <c r="J171" i="304"/>
  <c r="O171" i="304" s="1"/>
  <c r="H171" i="304"/>
  <c r="J170" i="304"/>
  <c r="O170" i="304" s="1"/>
  <c r="H170" i="304"/>
  <c r="N169" i="304"/>
  <c r="J169" i="304"/>
  <c r="O169" i="304" s="1"/>
  <c r="H169" i="304"/>
  <c r="N168" i="304"/>
  <c r="J168" i="304"/>
  <c r="O168" i="304" s="1"/>
  <c r="H168" i="304"/>
  <c r="K168" i="304" s="1"/>
  <c r="L168" i="304" s="1"/>
  <c r="N167" i="304"/>
  <c r="J167" i="304"/>
  <c r="O167" i="304" s="1"/>
  <c r="H167" i="304"/>
  <c r="K167" i="304" s="1"/>
  <c r="L167" i="304" s="1"/>
  <c r="N166" i="304"/>
  <c r="J166" i="304"/>
  <c r="O166" i="304" s="1"/>
  <c r="H166" i="304"/>
  <c r="N165" i="304"/>
  <c r="J165" i="304"/>
  <c r="O165" i="304" s="1"/>
  <c r="H165" i="304"/>
  <c r="N164" i="304"/>
  <c r="J164" i="304"/>
  <c r="O164" i="304" s="1"/>
  <c r="H164" i="304"/>
  <c r="N163" i="304"/>
  <c r="P163" i="304" s="1"/>
  <c r="Q163" i="304" s="1"/>
  <c r="J163" i="304"/>
  <c r="O163" i="304" s="1"/>
  <c r="H163" i="304"/>
  <c r="K163" i="304" s="1"/>
  <c r="L163" i="304" s="1"/>
  <c r="N162" i="304"/>
  <c r="J162" i="304"/>
  <c r="O162" i="304" s="1"/>
  <c r="H162" i="304"/>
  <c r="K162" i="304" s="1"/>
  <c r="L162" i="304" s="1"/>
  <c r="N161" i="304"/>
  <c r="J161" i="304"/>
  <c r="O161" i="304" s="1"/>
  <c r="H161" i="304"/>
  <c r="N160" i="304"/>
  <c r="J160" i="304"/>
  <c r="H160" i="304"/>
  <c r="J159" i="304"/>
  <c r="O159" i="304" s="1"/>
  <c r="H159" i="304"/>
  <c r="N159" i="304" s="1"/>
  <c r="O158" i="304"/>
  <c r="N158" i="304"/>
  <c r="J158" i="304"/>
  <c r="H158" i="304"/>
  <c r="K158" i="304" s="1"/>
  <c r="L158" i="304" s="1"/>
  <c r="N157" i="304"/>
  <c r="J157" i="304"/>
  <c r="O157" i="304" s="1"/>
  <c r="H157" i="304"/>
  <c r="K157" i="304" s="1"/>
  <c r="L157" i="304" s="1"/>
  <c r="N156" i="304"/>
  <c r="J156" i="304"/>
  <c r="O156" i="304" s="1"/>
  <c r="H156" i="304"/>
  <c r="N155" i="304"/>
  <c r="J155" i="304"/>
  <c r="O155" i="304" s="1"/>
  <c r="H155" i="304"/>
  <c r="J154" i="304"/>
  <c r="O154" i="304" s="1"/>
  <c r="H154" i="304"/>
  <c r="N153" i="304"/>
  <c r="J153" i="304"/>
  <c r="O153" i="304" s="1"/>
  <c r="H153" i="304"/>
  <c r="N152" i="304"/>
  <c r="J152" i="304"/>
  <c r="O152" i="304" s="1"/>
  <c r="H152" i="304"/>
  <c r="N151" i="304"/>
  <c r="J151" i="304"/>
  <c r="O151" i="304" s="1"/>
  <c r="H151" i="304"/>
  <c r="K151" i="304" s="1"/>
  <c r="L151" i="304" s="1"/>
  <c r="N150" i="304"/>
  <c r="J150" i="304"/>
  <c r="O150" i="304" s="1"/>
  <c r="H150" i="304"/>
  <c r="N149" i="304"/>
  <c r="J149" i="304"/>
  <c r="O149" i="304" s="1"/>
  <c r="H149" i="304"/>
  <c r="N148" i="304"/>
  <c r="J148" i="304"/>
  <c r="O148" i="304" s="1"/>
  <c r="P148" i="304" s="1"/>
  <c r="Q148" i="304" s="1"/>
  <c r="H148" i="304"/>
  <c r="N147" i="304"/>
  <c r="J147" i="304"/>
  <c r="O147" i="304" s="1"/>
  <c r="H147" i="304"/>
  <c r="N146" i="304"/>
  <c r="J146" i="304"/>
  <c r="O146" i="304" s="1"/>
  <c r="P146" i="304" s="1"/>
  <c r="Q146" i="304" s="1"/>
  <c r="H146" i="304"/>
  <c r="K146" i="304" s="1"/>
  <c r="L146" i="304" s="1"/>
  <c r="J145" i="304"/>
  <c r="O145" i="304" s="1"/>
  <c r="H145" i="304"/>
  <c r="N144" i="304"/>
  <c r="J144" i="304"/>
  <c r="O144" i="304" s="1"/>
  <c r="H144" i="304"/>
  <c r="N143" i="304"/>
  <c r="J143" i="304"/>
  <c r="O143" i="304" s="1"/>
  <c r="H143" i="304"/>
  <c r="K143" i="304" s="1"/>
  <c r="L143" i="304" s="1"/>
  <c r="O142" i="304"/>
  <c r="J142" i="304"/>
  <c r="H142" i="304"/>
  <c r="N142" i="304" s="1"/>
  <c r="O141" i="304"/>
  <c r="N141" i="304"/>
  <c r="J141" i="304"/>
  <c r="H141" i="304"/>
  <c r="N140" i="304"/>
  <c r="J140" i="304"/>
  <c r="O140" i="304" s="1"/>
  <c r="H140" i="304"/>
  <c r="J139" i="304"/>
  <c r="O139" i="304" s="1"/>
  <c r="H139" i="304"/>
  <c r="N138" i="304"/>
  <c r="J138" i="304"/>
  <c r="O138" i="304" s="1"/>
  <c r="H138" i="304"/>
  <c r="K138" i="304" s="1"/>
  <c r="L138" i="304" s="1"/>
  <c r="N137" i="304"/>
  <c r="J137" i="304"/>
  <c r="O137" i="304" s="1"/>
  <c r="H137" i="304"/>
  <c r="N136" i="304"/>
  <c r="J136" i="304"/>
  <c r="O136" i="304" s="1"/>
  <c r="H136" i="304"/>
  <c r="J135" i="304"/>
  <c r="O135" i="304" s="1"/>
  <c r="H135" i="304"/>
  <c r="N135" i="304" s="1"/>
  <c r="P135" i="304" s="1"/>
  <c r="Q135" i="304" s="1"/>
  <c r="J134" i="304"/>
  <c r="O134" i="304" s="1"/>
  <c r="H134" i="304"/>
  <c r="J133" i="304"/>
  <c r="O133" i="304" s="1"/>
  <c r="H133" i="304"/>
  <c r="J132" i="304"/>
  <c r="O132" i="304" s="1"/>
  <c r="H132" i="304"/>
  <c r="N132" i="304" s="1"/>
  <c r="J131" i="304"/>
  <c r="O131" i="304" s="1"/>
  <c r="H131" i="304"/>
  <c r="N130" i="304"/>
  <c r="J130" i="304"/>
  <c r="O130" i="304" s="1"/>
  <c r="H130" i="304"/>
  <c r="N129" i="304"/>
  <c r="J129" i="304"/>
  <c r="O129" i="304" s="1"/>
  <c r="H129" i="304"/>
  <c r="K129" i="304" s="1"/>
  <c r="L129" i="304" s="1"/>
  <c r="N128" i="304"/>
  <c r="P128" i="304" s="1"/>
  <c r="Q128" i="304" s="1"/>
  <c r="K128" i="304"/>
  <c r="L128" i="304" s="1"/>
  <c r="J128" i="304"/>
  <c r="O128" i="304" s="1"/>
  <c r="H128" i="304"/>
  <c r="N127" i="304"/>
  <c r="J127" i="304"/>
  <c r="O127" i="304" s="1"/>
  <c r="H127" i="304"/>
  <c r="K127" i="304" s="1"/>
  <c r="L127" i="304" s="1"/>
  <c r="N126" i="304"/>
  <c r="J126" i="304"/>
  <c r="O126" i="304" s="1"/>
  <c r="H126" i="304"/>
  <c r="N125" i="304"/>
  <c r="J125" i="304"/>
  <c r="O125" i="304" s="1"/>
  <c r="H125" i="304"/>
  <c r="N124" i="304"/>
  <c r="J124" i="304"/>
  <c r="O124" i="304" s="1"/>
  <c r="H124" i="304"/>
  <c r="K124" i="304" s="1"/>
  <c r="L124" i="304" s="1"/>
  <c r="N123" i="304"/>
  <c r="J123" i="304"/>
  <c r="O123" i="304" s="1"/>
  <c r="H123" i="304"/>
  <c r="N122" i="304"/>
  <c r="J122" i="304"/>
  <c r="O122" i="304" s="1"/>
  <c r="H122" i="304"/>
  <c r="N121" i="304"/>
  <c r="J121" i="304"/>
  <c r="O121" i="304" s="1"/>
  <c r="H121" i="304"/>
  <c r="N120" i="304"/>
  <c r="J120" i="304"/>
  <c r="O120" i="304" s="1"/>
  <c r="H120" i="304"/>
  <c r="K120" i="304" s="1"/>
  <c r="L120" i="304" s="1"/>
  <c r="N119" i="304"/>
  <c r="J119" i="304"/>
  <c r="O119" i="304" s="1"/>
  <c r="H119" i="304"/>
  <c r="K119" i="304" s="1"/>
  <c r="L119" i="304" s="1"/>
  <c r="O118" i="304"/>
  <c r="N118" i="304"/>
  <c r="J118" i="304"/>
  <c r="H118" i="304"/>
  <c r="K118" i="304" s="1"/>
  <c r="L118" i="304" s="1"/>
  <c r="N117" i="304"/>
  <c r="J117" i="304"/>
  <c r="O117" i="304" s="1"/>
  <c r="H117" i="304"/>
  <c r="K117" i="304" s="1"/>
  <c r="L117" i="304" s="1"/>
  <c r="N116" i="304"/>
  <c r="J116" i="304"/>
  <c r="O116" i="304" s="1"/>
  <c r="H116" i="304"/>
  <c r="N115" i="304"/>
  <c r="J115" i="304"/>
  <c r="O115" i="304" s="1"/>
  <c r="H115" i="304"/>
  <c r="J114" i="304"/>
  <c r="O114" i="304" s="1"/>
  <c r="H114" i="304"/>
  <c r="N113" i="304"/>
  <c r="J113" i="304"/>
  <c r="H113" i="304"/>
  <c r="N112" i="304"/>
  <c r="J112" i="304"/>
  <c r="O112" i="304" s="1"/>
  <c r="H112" i="304"/>
  <c r="N111" i="304"/>
  <c r="J111" i="304"/>
  <c r="O111" i="304" s="1"/>
  <c r="P111" i="304" s="1"/>
  <c r="Q111" i="304" s="1"/>
  <c r="H111" i="304"/>
  <c r="K111" i="304" s="1"/>
  <c r="L111" i="304" s="1"/>
  <c r="O110" i="304"/>
  <c r="J110" i="304"/>
  <c r="H110" i="304"/>
  <c r="N110" i="304" s="1"/>
  <c r="J109" i="304"/>
  <c r="O109" i="304" s="1"/>
  <c r="H109" i="304"/>
  <c r="J108" i="304"/>
  <c r="O108" i="304" s="1"/>
  <c r="H108" i="304"/>
  <c r="N108" i="304" s="1"/>
  <c r="J107" i="304"/>
  <c r="O107" i="304" s="1"/>
  <c r="H107" i="304"/>
  <c r="N107" i="304" s="1"/>
  <c r="J106" i="304"/>
  <c r="O106" i="304" s="1"/>
  <c r="H106" i="304"/>
  <c r="J105" i="304"/>
  <c r="O105" i="304" s="1"/>
  <c r="H105" i="304"/>
  <c r="J104" i="304"/>
  <c r="O104" i="304" s="1"/>
  <c r="H104" i="304"/>
  <c r="N104" i="304" s="1"/>
  <c r="J103" i="304"/>
  <c r="O103" i="304" s="1"/>
  <c r="H103" i="304"/>
  <c r="N103" i="304" s="1"/>
  <c r="J102" i="304"/>
  <c r="O102" i="304" s="1"/>
  <c r="H102" i="304"/>
  <c r="N102" i="304" s="1"/>
  <c r="P102" i="304" s="1"/>
  <c r="Q102" i="304" s="1"/>
  <c r="J101" i="304"/>
  <c r="O101" i="304" s="1"/>
  <c r="H101" i="304"/>
  <c r="J100" i="304"/>
  <c r="O100" i="304" s="1"/>
  <c r="H100" i="304"/>
  <c r="P99" i="304"/>
  <c r="Q99" i="304" s="1"/>
  <c r="N99" i="304"/>
  <c r="J99" i="304"/>
  <c r="O99" i="304" s="1"/>
  <c r="H99" i="304"/>
  <c r="K99" i="304" s="1"/>
  <c r="L99" i="304" s="1"/>
  <c r="N98" i="304"/>
  <c r="J98" i="304"/>
  <c r="O98" i="304" s="1"/>
  <c r="H98" i="304"/>
  <c r="N97" i="304"/>
  <c r="J97" i="304"/>
  <c r="O97" i="304" s="1"/>
  <c r="H97" i="304"/>
  <c r="J96" i="304"/>
  <c r="O96" i="304" s="1"/>
  <c r="H96" i="304"/>
  <c r="N95" i="304"/>
  <c r="J95" i="304"/>
  <c r="O95" i="304" s="1"/>
  <c r="H95" i="304"/>
  <c r="J94" i="304"/>
  <c r="O94" i="304" s="1"/>
  <c r="H94" i="304"/>
  <c r="N94" i="304" s="1"/>
  <c r="J93" i="304"/>
  <c r="O93" i="304" s="1"/>
  <c r="H93" i="304"/>
  <c r="N92" i="304"/>
  <c r="J92" i="304"/>
  <c r="O92" i="304" s="1"/>
  <c r="H92" i="304"/>
  <c r="N91" i="304"/>
  <c r="J91" i="304"/>
  <c r="O91" i="304" s="1"/>
  <c r="P91" i="304" s="1"/>
  <c r="Q91" i="304" s="1"/>
  <c r="H91" i="304"/>
  <c r="J90" i="304"/>
  <c r="O90" i="304" s="1"/>
  <c r="H90" i="304"/>
  <c r="N90" i="304" s="1"/>
  <c r="P90" i="304" s="1"/>
  <c r="Q90" i="304" s="1"/>
  <c r="N89" i="304"/>
  <c r="J89" i="304"/>
  <c r="O89" i="304" s="1"/>
  <c r="H89" i="304"/>
  <c r="N88" i="304"/>
  <c r="J88" i="304"/>
  <c r="H88" i="304"/>
  <c r="J87" i="304"/>
  <c r="O87" i="304" s="1"/>
  <c r="H87" i="304"/>
  <c r="N87" i="304" s="1"/>
  <c r="N86" i="304"/>
  <c r="J86" i="304"/>
  <c r="O86" i="304" s="1"/>
  <c r="H86" i="304"/>
  <c r="K86" i="304" s="1"/>
  <c r="L86" i="304" s="1"/>
  <c r="J85" i="304"/>
  <c r="O85" i="304" s="1"/>
  <c r="H85" i="304"/>
  <c r="N84" i="304"/>
  <c r="J84" i="304"/>
  <c r="O84" i="304" s="1"/>
  <c r="H84" i="304"/>
  <c r="J83" i="304"/>
  <c r="O83" i="304" s="1"/>
  <c r="H83" i="304"/>
  <c r="N83" i="304" s="1"/>
  <c r="J82" i="304"/>
  <c r="O82" i="304" s="1"/>
  <c r="H82" i="304"/>
  <c r="N81" i="304"/>
  <c r="P81" i="304" s="1"/>
  <c r="Q81" i="304" s="1"/>
  <c r="J81" i="304"/>
  <c r="O81" i="304" s="1"/>
  <c r="H81" i="304"/>
  <c r="N80" i="304"/>
  <c r="J80" i="304"/>
  <c r="O80" i="304" s="1"/>
  <c r="H80" i="304"/>
  <c r="N79" i="304"/>
  <c r="J79" i="304"/>
  <c r="O79" i="304" s="1"/>
  <c r="H79" i="304"/>
  <c r="N78" i="304"/>
  <c r="J78" i="304"/>
  <c r="O78" i="304" s="1"/>
  <c r="H78" i="304"/>
  <c r="N77" i="304"/>
  <c r="J77" i="304"/>
  <c r="O77" i="304" s="1"/>
  <c r="H77" i="304"/>
  <c r="K77" i="304" s="1"/>
  <c r="L77" i="304" s="1"/>
  <c r="N76" i="304"/>
  <c r="J76" i="304"/>
  <c r="O76" i="304" s="1"/>
  <c r="H76" i="304"/>
  <c r="N75" i="304"/>
  <c r="J75" i="304"/>
  <c r="H75" i="304"/>
  <c r="N74" i="304"/>
  <c r="J74" i="304"/>
  <c r="H74" i="304"/>
  <c r="N73" i="304"/>
  <c r="J73" i="304"/>
  <c r="O73" i="304" s="1"/>
  <c r="H73" i="304"/>
  <c r="N72" i="304"/>
  <c r="J72" i="304"/>
  <c r="O72" i="304" s="1"/>
  <c r="H72" i="304"/>
  <c r="N71" i="304"/>
  <c r="J71" i="304"/>
  <c r="O71" i="304" s="1"/>
  <c r="H71" i="304"/>
  <c r="N70" i="304"/>
  <c r="J70" i="304"/>
  <c r="H70" i="304"/>
  <c r="N69" i="304"/>
  <c r="J69" i="304"/>
  <c r="O69" i="304" s="1"/>
  <c r="H69" i="304"/>
  <c r="J68" i="304"/>
  <c r="O68" i="304" s="1"/>
  <c r="H68" i="304"/>
  <c r="N68" i="304" s="1"/>
  <c r="J67" i="304"/>
  <c r="O67" i="304" s="1"/>
  <c r="H67" i="304"/>
  <c r="J66" i="304"/>
  <c r="O66" i="304" s="1"/>
  <c r="H66" i="304"/>
  <c r="N66" i="304" s="1"/>
  <c r="J65" i="304"/>
  <c r="O65" i="304" s="1"/>
  <c r="H65" i="304"/>
  <c r="N65" i="304" s="1"/>
  <c r="J64" i="304"/>
  <c r="O64" i="304" s="1"/>
  <c r="H64" i="304"/>
  <c r="N64" i="304" s="1"/>
  <c r="N63" i="304"/>
  <c r="J63" i="304"/>
  <c r="H63" i="304"/>
  <c r="N62" i="304"/>
  <c r="J62" i="304"/>
  <c r="O62" i="304" s="1"/>
  <c r="H62" i="304"/>
  <c r="K62" i="304" s="1"/>
  <c r="L62" i="304" s="1"/>
  <c r="N61" i="304"/>
  <c r="J61" i="304"/>
  <c r="O61" i="304" s="1"/>
  <c r="H61" i="304"/>
  <c r="K61" i="304" s="1"/>
  <c r="L61" i="304" s="1"/>
  <c r="J60" i="304"/>
  <c r="O60" i="304" s="1"/>
  <c r="H60" i="304"/>
  <c r="J59" i="304"/>
  <c r="O59" i="304" s="1"/>
  <c r="H59" i="304"/>
  <c r="N59" i="304" s="1"/>
  <c r="P59" i="304" s="1"/>
  <c r="Q59" i="304" s="1"/>
  <c r="J58" i="304"/>
  <c r="O58" i="304" s="1"/>
  <c r="H58" i="304"/>
  <c r="N58" i="304" s="1"/>
  <c r="N57" i="304"/>
  <c r="J57" i="304"/>
  <c r="O57" i="304" s="1"/>
  <c r="H57" i="304"/>
  <c r="J56" i="304"/>
  <c r="O56" i="304" s="1"/>
  <c r="H56" i="304"/>
  <c r="J55" i="304"/>
  <c r="O55" i="304" s="1"/>
  <c r="H55" i="304"/>
  <c r="N55" i="304" s="1"/>
  <c r="J54" i="304"/>
  <c r="O54" i="304" s="1"/>
  <c r="H54" i="304"/>
  <c r="J53" i="304"/>
  <c r="O53" i="304" s="1"/>
  <c r="H53" i="304"/>
  <c r="J52" i="304"/>
  <c r="O52" i="304" s="1"/>
  <c r="H52" i="304"/>
  <c r="N52" i="304" s="1"/>
  <c r="J51" i="304"/>
  <c r="O51" i="304" s="1"/>
  <c r="H51" i="304"/>
  <c r="K51" i="304" s="1"/>
  <c r="L51" i="304" s="1"/>
  <c r="J50" i="304"/>
  <c r="O50" i="304" s="1"/>
  <c r="H50" i="304"/>
  <c r="J49" i="304"/>
  <c r="O49" i="304" s="1"/>
  <c r="H49" i="304"/>
  <c r="N49" i="304" s="1"/>
  <c r="N48" i="304"/>
  <c r="J48" i="304"/>
  <c r="O48" i="304" s="1"/>
  <c r="P48" i="304" s="1"/>
  <c r="Q48" i="304" s="1"/>
  <c r="H48" i="304"/>
  <c r="O47" i="304"/>
  <c r="J47" i="304"/>
  <c r="H47" i="304"/>
  <c r="N47" i="304" s="1"/>
  <c r="N46" i="304"/>
  <c r="J46" i="304"/>
  <c r="O46" i="304" s="1"/>
  <c r="H46" i="304"/>
  <c r="N45" i="304"/>
  <c r="J45" i="304"/>
  <c r="O45" i="304" s="1"/>
  <c r="P45" i="304" s="1"/>
  <c r="Q45" i="304" s="1"/>
  <c r="H45" i="304"/>
  <c r="J44" i="304"/>
  <c r="O44" i="304" s="1"/>
  <c r="H44" i="304"/>
  <c r="N44" i="304" s="1"/>
  <c r="N43" i="304"/>
  <c r="J43" i="304"/>
  <c r="O43" i="304" s="1"/>
  <c r="H43" i="304"/>
  <c r="N42" i="304"/>
  <c r="J42" i="304"/>
  <c r="O42" i="304" s="1"/>
  <c r="H42" i="304"/>
  <c r="N41" i="304"/>
  <c r="J41" i="304"/>
  <c r="O41" i="304" s="1"/>
  <c r="H41" i="304"/>
  <c r="K41" i="304" s="1"/>
  <c r="L41" i="304" s="1"/>
  <c r="N40" i="304"/>
  <c r="J40" i="304"/>
  <c r="O40" i="304" s="1"/>
  <c r="H40" i="304"/>
  <c r="O39" i="304"/>
  <c r="N39" i="304"/>
  <c r="P39" i="304" s="1"/>
  <c r="Q39" i="304" s="1"/>
  <c r="J39" i="304"/>
  <c r="H39" i="304"/>
  <c r="K39" i="304" s="1"/>
  <c r="L39" i="304" s="1"/>
  <c r="J38" i="304"/>
  <c r="O38" i="304" s="1"/>
  <c r="H38" i="304"/>
  <c r="N37" i="304"/>
  <c r="J37" i="304"/>
  <c r="O37" i="304" s="1"/>
  <c r="H37" i="304"/>
  <c r="N36" i="304"/>
  <c r="J36" i="304"/>
  <c r="O36" i="304" s="1"/>
  <c r="H36" i="304"/>
  <c r="J35" i="304"/>
  <c r="O35" i="304" s="1"/>
  <c r="H35" i="304"/>
  <c r="N35" i="304" s="1"/>
  <c r="P35" i="304" s="1"/>
  <c r="Q35" i="304" s="1"/>
  <c r="N34" i="304"/>
  <c r="J34" i="304"/>
  <c r="O34" i="304" s="1"/>
  <c r="H34" i="304"/>
  <c r="N33" i="304"/>
  <c r="J33" i="304"/>
  <c r="O33" i="304" s="1"/>
  <c r="H33" i="304"/>
  <c r="K33" i="304" s="1"/>
  <c r="L33" i="304" s="1"/>
  <c r="N32" i="304"/>
  <c r="J32" i="304"/>
  <c r="O32" i="304" s="1"/>
  <c r="H32" i="304"/>
  <c r="J31" i="304"/>
  <c r="O31" i="304" s="1"/>
  <c r="H31" i="304"/>
  <c r="N31" i="304" s="1"/>
  <c r="N30" i="304"/>
  <c r="J30" i="304"/>
  <c r="O30" i="304" s="1"/>
  <c r="H30" i="304"/>
  <c r="J29" i="304"/>
  <c r="O29" i="304" s="1"/>
  <c r="H29" i="304"/>
  <c r="J28" i="304"/>
  <c r="O28" i="304" s="1"/>
  <c r="H28" i="304"/>
  <c r="N28" i="304" s="1"/>
  <c r="N27" i="304"/>
  <c r="J27" i="304"/>
  <c r="O27" i="304" s="1"/>
  <c r="H27" i="304"/>
  <c r="N26" i="304"/>
  <c r="J26" i="304"/>
  <c r="O26" i="304" s="1"/>
  <c r="H26" i="304"/>
  <c r="N25" i="304"/>
  <c r="J25" i="304"/>
  <c r="O25" i="304" s="1"/>
  <c r="H25" i="304"/>
  <c r="N24" i="304"/>
  <c r="J24" i="304"/>
  <c r="O24" i="304" s="1"/>
  <c r="H24" i="304"/>
  <c r="N23" i="304"/>
  <c r="J23" i="304"/>
  <c r="O23" i="304" s="1"/>
  <c r="H23" i="304"/>
  <c r="O22" i="304"/>
  <c r="N22" i="304"/>
  <c r="J22" i="304"/>
  <c r="H22" i="304"/>
  <c r="K22" i="304" s="1"/>
  <c r="L22" i="304" s="1"/>
  <c r="N21" i="304"/>
  <c r="J21" i="304"/>
  <c r="O21" i="304" s="1"/>
  <c r="H21" i="304"/>
  <c r="K21" i="304" s="1"/>
  <c r="L21" i="304" s="1"/>
  <c r="N20" i="304"/>
  <c r="J20" i="304"/>
  <c r="O20" i="304" s="1"/>
  <c r="P20" i="304" s="1"/>
  <c r="Q20" i="304" s="1"/>
  <c r="H20" i="304"/>
  <c r="N19" i="304"/>
  <c r="J19" i="304"/>
  <c r="O19" i="304" s="1"/>
  <c r="H19" i="304"/>
  <c r="K19" i="304" s="1"/>
  <c r="L19" i="304" s="1"/>
  <c r="N18" i="304"/>
  <c r="J18" i="304"/>
  <c r="O18" i="304" s="1"/>
  <c r="H18" i="304"/>
  <c r="K18" i="304" s="1"/>
  <c r="L18" i="304" s="1"/>
  <c r="N17" i="304"/>
  <c r="J17" i="304"/>
  <c r="O17" i="304" s="1"/>
  <c r="H17" i="304"/>
  <c r="K17" i="304" s="1"/>
  <c r="L17" i="304" s="1"/>
  <c r="O16" i="304"/>
  <c r="N16" i="304"/>
  <c r="J16" i="304"/>
  <c r="H16" i="304"/>
  <c r="K16" i="304" s="1"/>
  <c r="L16" i="304" s="1"/>
  <c r="A16" i="304"/>
  <c r="A17" i="304" s="1"/>
  <c r="A18" i="304" s="1"/>
  <c r="A19" i="304" s="1"/>
  <c r="A20" i="304" s="1"/>
  <c r="A21" i="304" s="1"/>
  <c r="A22" i="304" s="1"/>
  <c r="A23" i="304" s="1"/>
  <c r="A24" i="304" s="1"/>
  <c r="A25" i="304" s="1"/>
  <c r="A26" i="304" s="1"/>
  <c r="A27" i="304" s="1"/>
  <c r="A28" i="304" s="1"/>
  <c r="A29" i="304" s="1"/>
  <c r="A30" i="304" s="1"/>
  <c r="A31" i="304" s="1"/>
  <c r="A32" i="304" s="1"/>
  <c r="A33" i="304" s="1"/>
  <c r="A34" i="304" s="1"/>
  <c r="A35" i="304" s="1"/>
  <c r="A36" i="304" s="1"/>
  <c r="A37" i="304" s="1"/>
  <c r="A38" i="304" s="1"/>
  <c r="A39" i="304" s="1"/>
  <c r="A40" i="304" s="1"/>
  <c r="A41" i="304" s="1"/>
  <c r="A42" i="304" s="1"/>
  <c r="A43" i="304" s="1"/>
  <c r="A44" i="304" s="1"/>
  <c r="A45" i="304" s="1"/>
  <c r="A46" i="304" s="1"/>
  <c r="A47" i="304" s="1"/>
  <c r="A48" i="304" s="1"/>
  <c r="A49" i="304" s="1"/>
  <c r="A50" i="304" s="1"/>
  <c r="A51" i="304" s="1"/>
  <c r="A52" i="304" s="1"/>
  <c r="A53" i="304" s="1"/>
  <c r="A54" i="304" s="1"/>
  <c r="A55" i="304" s="1"/>
  <c r="A56" i="304" s="1"/>
  <c r="A57" i="304" s="1"/>
  <c r="A58" i="304" s="1"/>
  <c r="A59" i="304" s="1"/>
  <c r="A60" i="304" s="1"/>
  <c r="A61" i="304" s="1"/>
  <c r="A62" i="304" s="1"/>
  <c r="A63" i="304" s="1"/>
  <c r="A64" i="304" s="1"/>
  <c r="A65" i="304" s="1"/>
  <c r="A66" i="304" s="1"/>
  <c r="A67" i="304" s="1"/>
  <c r="A68" i="304" s="1"/>
  <c r="A69" i="304" s="1"/>
  <c r="A70" i="304" s="1"/>
  <c r="A71" i="304" s="1"/>
  <c r="A72" i="304" s="1"/>
  <c r="A73" i="304" s="1"/>
  <c r="A74" i="304" s="1"/>
  <c r="A75" i="304" s="1"/>
  <c r="A76" i="304" s="1"/>
  <c r="A77" i="304" s="1"/>
  <c r="A78" i="304" s="1"/>
  <c r="A79" i="304" s="1"/>
  <c r="A80" i="304" s="1"/>
  <c r="A81" i="304" s="1"/>
  <c r="A82" i="304" s="1"/>
  <c r="A83" i="304" s="1"/>
  <c r="A84" i="304" s="1"/>
  <c r="A85" i="304" s="1"/>
  <c r="A86" i="304" s="1"/>
  <c r="A87" i="304" s="1"/>
  <c r="A88" i="304" s="1"/>
  <c r="A89" i="304" s="1"/>
  <c r="A90" i="304" s="1"/>
  <c r="A91" i="304" s="1"/>
  <c r="A92" i="304" s="1"/>
  <c r="A93" i="304" s="1"/>
  <c r="A94" i="304" s="1"/>
  <c r="A95" i="304" s="1"/>
  <c r="A96" i="304" s="1"/>
  <c r="A97" i="304" s="1"/>
  <c r="A98" i="304" s="1"/>
  <c r="A99" i="304" s="1"/>
  <c r="A100" i="304" s="1"/>
  <c r="A101" i="304" s="1"/>
  <c r="A102" i="304" s="1"/>
  <c r="A103" i="304" s="1"/>
  <c r="A104" i="304" s="1"/>
  <c r="A105" i="304" s="1"/>
  <c r="A106" i="304" s="1"/>
  <c r="A107" i="304" s="1"/>
  <c r="A108" i="304" s="1"/>
  <c r="A109" i="304" s="1"/>
  <c r="A110" i="304" s="1"/>
  <c r="A111" i="304" s="1"/>
  <c r="A112" i="304" s="1"/>
  <c r="A113" i="304" s="1"/>
  <c r="A114" i="304" s="1"/>
  <c r="A115" i="304" s="1"/>
  <c r="A116" i="304" s="1"/>
  <c r="A117" i="304" s="1"/>
  <c r="A118" i="304" s="1"/>
  <c r="A119" i="304" s="1"/>
  <c r="A120" i="304" s="1"/>
  <c r="A121" i="304" s="1"/>
  <c r="A122" i="304" s="1"/>
  <c r="A123" i="304" s="1"/>
  <c r="A124" i="304" s="1"/>
  <c r="A125" i="304" s="1"/>
  <c r="A126" i="304" s="1"/>
  <c r="A127" i="304" s="1"/>
  <c r="A128" i="304" s="1"/>
  <c r="A129" i="304" s="1"/>
  <c r="A130" i="304" s="1"/>
  <c r="A131" i="304" s="1"/>
  <c r="A132" i="304" s="1"/>
  <c r="A133" i="304" s="1"/>
  <c r="A134" i="304" s="1"/>
  <c r="A135" i="304" s="1"/>
  <c r="A136" i="304" s="1"/>
  <c r="A137" i="304" s="1"/>
  <c r="A138" i="304" s="1"/>
  <c r="A139" i="304" s="1"/>
  <c r="A140" i="304" s="1"/>
  <c r="A141" i="304" s="1"/>
  <c r="A142" i="304" s="1"/>
  <c r="A143" i="304" s="1"/>
  <c r="A144" i="304" s="1"/>
  <c r="A145" i="304" s="1"/>
  <c r="A146" i="304" s="1"/>
  <c r="A147" i="304" s="1"/>
  <c r="A148" i="304" s="1"/>
  <c r="A149" i="304" s="1"/>
  <c r="A150" i="304" s="1"/>
  <c r="A151" i="304" s="1"/>
  <c r="A152" i="304" s="1"/>
  <c r="A153" i="304" s="1"/>
  <c r="A154" i="304" s="1"/>
  <c r="A155" i="304" s="1"/>
  <c r="A156" i="304" s="1"/>
  <c r="A157" i="304" s="1"/>
  <c r="A158" i="304" s="1"/>
  <c r="A159" i="304" s="1"/>
  <c r="A160" i="304" s="1"/>
  <c r="A161" i="304" s="1"/>
  <c r="A162" i="304" s="1"/>
  <c r="A163" i="304" s="1"/>
  <c r="A164" i="304" s="1"/>
  <c r="A165" i="304" s="1"/>
  <c r="A166" i="304" s="1"/>
  <c r="A167" i="304" s="1"/>
  <c r="A168" i="304" s="1"/>
  <c r="A169" i="304" s="1"/>
  <c r="A170" i="304" s="1"/>
  <c r="A171" i="304" s="1"/>
  <c r="A172" i="304" s="1"/>
  <c r="A173" i="304" s="1"/>
  <c r="A174" i="304" s="1"/>
  <c r="A175" i="304" s="1"/>
  <c r="A176" i="304" s="1"/>
  <c r="A177" i="304" s="1"/>
  <c r="A178" i="304" s="1"/>
  <c r="A179" i="304" s="1"/>
  <c r="A180" i="304" s="1"/>
  <c r="A181" i="304" s="1"/>
  <c r="A182" i="304" s="1"/>
  <c r="A183" i="304" s="1"/>
  <c r="A184" i="304" s="1"/>
  <c r="A185" i="304" s="1"/>
  <c r="A186" i="304" s="1"/>
  <c r="A187" i="304" s="1"/>
  <c r="A188" i="304" s="1"/>
  <c r="A189" i="304" s="1"/>
  <c r="A190" i="304" s="1"/>
  <c r="A191" i="304" s="1"/>
  <c r="A192" i="304" s="1"/>
  <c r="A193" i="304" s="1"/>
  <c r="A194" i="304" s="1"/>
  <c r="A195" i="304" s="1"/>
  <c r="A196" i="304" s="1"/>
  <c r="A197" i="304" s="1"/>
  <c r="A198" i="304" s="1"/>
  <c r="A199" i="304" s="1"/>
  <c r="A200" i="304" s="1"/>
  <c r="A201" i="304" s="1"/>
  <c r="A202" i="304" s="1"/>
  <c r="A203" i="304" s="1"/>
  <c r="A204" i="304" s="1"/>
  <c r="A205" i="304" s="1"/>
  <c r="A206" i="304" s="1"/>
  <c r="A207" i="304" s="1"/>
  <c r="A208" i="304" s="1"/>
  <c r="A209" i="304" s="1"/>
  <c r="A210" i="304" s="1"/>
  <c r="A211" i="304" s="1"/>
  <c r="A212" i="304" s="1"/>
  <c r="A213" i="304" s="1"/>
  <c r="A214" i="304" s="1"/>
  <c r="A215" i="304" s="1"/>
  <c r="A216" i="304" s="1"/>
  <c r="A217" i="304" s="1"/>
  <c r="A218" i="304" s="1"/>
  <c r="A219" i="304" s="1"/>
  <c r="A220" i="304" s="1"/>
  <c r="A221" i="304" s="1"/>
  <c r="A222" i="304" s="1"/>
  <c r="A223" i="304" s="1"/>
  <c r="A224" i="304" s="1"/>
  <c r="A225" i="304" s="1"/>
  <c r="A226" i="304" s="1"/>
  <c r="A227" i="304" s="1"/>
  <c r="A228" i="304" s="1"/>
  <c r="A229" i="304" s="1"/>
  <c r="A230" i="304" s="1"/>
  <c r="A231" i="304" s="1"/>
  <c r="A232" i="304" s="1"/>
  <c r="A233" i="304" s="1"/>
  <c r="A234" i="304" s="1"/>
  <c r="A235" i="304" s="1"/>
  <c r="A236" i="304" s="1"/>
  <c r="A237" i="304" s="1"/>
  <c r="A238" i="304" s="1"/>
  <c r="A239" i="304" s="1"/>
  <c r="A240" i="304" s="1"/>
  <c r="A241" i="304" s="1"/>
  <c r="A242" i="304" s="1"/>
  <c r="A243" i="304" s="1"/>
  <c r="A244" i="304" s="1"/>
  <c r="A245" i="304" s="1"/>
  <c r="A246" i="304" s="1"/>
  <c r="A247" i="304" s="1"/>
  <c r="A248" i="304" s="1"/>
  <c r="A249" i="304" s="1"/>
  <c r="A250" i="304" s="1"/>
  <c r="A251" i="304" s="1"/>
  <c r="A252" i="304" s="1"/>
  <c r="A253" i="304" s="1"/>
  <c r="A254" i="304" s="1"/>
  <c r="A255" i="304" s="1"/>
  <c r="A256" i="304" s="1"/>
  <c r="A257" i="304" s="1"/>
  <c r="A258" i="304" s="1"/>
  <c r="A259" i="304" s="1"/>
  <c r="A260" i="304" s="1"/>
  <c r="A261" i="304" s="1"/>
  <c r="A262" i="304" s="1"/>
  <c r="A263" i="304" s="1"/>
  <c r="A264" i="304" s="1"/>
  <c r="A265" i="304" s="1"/>
  <c r="A266" i="304" s="1"/>
  <c r="A267" i="304" s="1"/>
  <c r="A268" i="304" s="1"/>
  <c r="A269" i="304" s="1"/>
  <c r="A270" i="304" s="1"/>
  <c r="A271" i="304" s="1"/>
  <c r="A272" i="304" s="1"/>
  <c r="A273" i="304" s="1"/>
  <c r="A274" i="304" s="1"/>
  <c r="A275" i="304" s="1"/>
  <c r="A276" i="304" s="1"/>
  <c r="A277" i="304" s="1"/>
  <c r="A278" i="304" s="1"/>
  <c r="A279" i="304" s="1"/>
  <c r="A280" i="304" s="1"/>
  <c r="A281" i="304" s="1"/>
  <c r="A282" i="304" s="1"/>
  <c r="A283" i="304" s="1"/>
  <c r="A284" i="304" s="1"/>
  <c r="A285" i="304" s="1"/>
  <c r="A286" i="304" s="1"/>
  <c r="A287" i="304" s="1"/>
  <c r="A288" i="304" s="1"/>
  <c r="A289" i="304" s="1"/>
  <c r="A290" i="304" s="1"/>
  <c r="A291" i="304" s="1"/>
  <c r="A292" i="304" s="1"/>
  <c r="A293" i="304" s="1"/>
  <c r="A294" i="304" s="1"/>
  <c r="A295" i="304" s="1"/>
  <c r="A296" i="304" s="1"/>
  <c r="A297" i="304" s="1"/>
  <c r="A298" i="304" s="1"/>
  <c r="A299" i="304" s="1"/>
  <c r="A300" i="304" s="1"/>
  <c r="A301" i="304" s="1"/>
  <c r="A302" i="304" s="1"/>
  <c r="A303" i="304" s="1"/>
  <c r="A304" i="304" s="1"/>
  <c r="A305" i="304" s="1"/>
  <c r="A306" i="304" s="1"/>
  <c r="A307" i="304" s="1"/>
  <c r="A308" i="304" s="1"/>
  <c r="A309" i="304" s="1"/>
  <c r="A310" i="304" s="1"/>
  <c r="A311" i="304" s="1"/>
  <c r="A312" i="304" s="1"/>
  <c r="A313" i="304" s="1"/>
  <c r="A314" i="304" s="1"/>
  <c r="A315" i="304" s="1"/>
  <c r="A316" i="304" s="1"/>
  <c r="A317" i="304" s="1"/>
  <c r="A318" i="304" s="1"/>
  <c r="A319" i="304" s="1"/>
  <c r="A320" i="304" s="1"/>
  <c r="A321" i="304" s="1"/>
  <c r="A322" i="304" s="1"/>
  <c r="A323" i="304" s="1"/>
  <c r="A324" i="304" s="1"/>
  <c r="A325" i="304" s="1"/>
  <c r="A326" i="304" s="1"/>
  <c r="A327" i="304" s="1"/>
  <c r="A328" i="304" s="1"/>
  <c r="A329" i="304" s="1"/>
  <c r="A330" i="304" s="1"/>
  <c r="A331" i="304" s="1"/>
  <c r="A332" i="304" s="1"/>
  <c r="A333" i="304" s="1"/>
  <c r="A334" i="304" s="1"/>
  <c r="A335" i="304" s="1"/>
  <c r="A336" i="304" s="1"/>
  <c r="A337" i="304" s="1"/>
  <c r="A338" i="304" s="1"/>
  <c r="A339" i="304" s="1"/>
  <c r="A340" i="304" s="1"/>
  <c r="A341" i="304" s="1"/>
  <c r="A342" i="304" s="1"/>
  <c r="A343" i="304" s="1"/>
  <c r="A344" i="304" s="1"/>
  <c r="A345" i="304" s="1"/>
  <c r="A346" i="304" s="1"/>
  <c r="A347" i="304" s="1"/>
  <c r="A348" i="304" s="1"/>
  <c r="A349" i="304" s="1"/>
  <c r="A350" i="304" s="1"/>
  <c r="A351" i="304" s="1"/>
  <c r="A352" i="304" s="1"/>
  <c r="A353" i="304" s="1"/>
  <c r="A354" i="304" s="1"/>
  <c r="A355" i="304" s="1"/>
  <c r="A356" i="304" s="1"/>
  <c r="A357" i="304" s="1"/>
  <c r="A358" i="304" s="1"/>
  <c r="A359" i="304" s="1"/>
  <c r="A360" i="304" s="1"/>
  <c r="A361" i="304" s="1"/>
  <c r="A362" i="304" s="1"/>
  <c r="A363" i="304" s="1"/>
  <c r="A364" i="304" s="1"/>
  <c r="A365" i="304" s="1"/>
  <c r="A366" i="304" s="1"/>
  <c r="A367" i="304" s="1"/>
  <c r="A368" i="304" s="1"/>
  <c r="A369" i="304" s="1"/>
  <c r="A370" i="304" s="1"/>
  <c r="A371" i="304" s="1"/>
  <c r="A372" i="304" s="1"/>
  <c r="A373" i="304" s="1"/>
  <c r="A374" i="304" s="1"/>
  <c r="A375" i="304" s="1"/>
  <c r="A376" i="304" s="1"/>
  <c r="A377" i="304" s="1"/>
  <c r="A378" i="304" s="1"/>
  <c r="A379" i="304" s="1"/>
  <c r="A380" i="304" s="1"/>
  <c r="A381" i="304" s="1"/>
  <c r="A382" i="304" s="1"/>
  <c r="A383" i="304" s="1"/>
  <c r="A384" i="304" s="1"/>
  <c r="A385" i="304" s="1"/>
  <c r="A386" i="304" s="1"/>
  <c r="A387" i="304" s="1"/>
  <c r="A388" i="304" s="1"/>
  <c r="A389" i="304" s="1"/>
  <c r="A390" i="304" s="1"/>
  <c r="A391" i="304" s="1"/>
  <c r="A392" i="304" s="1"/>
  <c r="A393" i="304" s="1"/>
  <c r="A395" i="304" s="1"/>
  <c r="A397" i="304" s="1"/>
  <c r="N15" i="304"/>
  <c r="J15" i="304"/>
  <c r="O15" i="304" s="1"/>
  <c r="H15" i="304"/>
  <c r="Q12" i="304"/>
  <c r="P12" i="304"/>
  <c r="O12" i="304"/>
  <c r="N12" i="304"/>
  <c r="K91" i="304" l="1"/>
  <c r="L91" i="304" s="1"/>
  <c r="P107" i="304"/>
  <c r="Q107" i="304" s="1"/>
  <c r="K148" i="304"/>
  <c r="L148" i="304" s="1"/>
  <c r="P156" i="304"/>
  <c r="Q156" i="304" s="1"/>
  <c r="P174" i="304"/>
  <c r="Q174" i="304" s="1"/>
  <c r="P273" i="304"/>
  <c r="Q273" i="304" s="1"/>
  <c r="P322" i="304"/>
  <c r="Q322" i="304" s="1"/>
  <c r="K338" i="304"/>
  <c r="L338" i="304" s="1"/>
  <c r="K370" i="304"/>
  <c r="L370" i="304" s="1"/>
  <c r="P380" i="304"/>
  <c r="Q380" i="304" s="1"/>
  <c r="P264" i="304"/>
  <c r="Q264" i="304" s="1"/>
  <c r="P164" i="304"/>
  <c r="Q164" i="304" s="1"/>
  <c r="P172" i="304"/>
  <c r="Q172" i="304" s="1"/>
  <c r="K175" i="304"/>
  <c r="L175" i="304" s="1"/>
  <c r="K186" i="304"/>
  <c r="L186" i="304" s="1"/>
  <c r="K192" i="304"/>
  <c r="L192" i="304" s="1"/>
  <c r="P194" i="304"/>
  <c r="Q194" i="304" s="1"/>
  <c r="K210" i="304"/>
  <c r="L210" i="304" s="1"/>
  <c r="P243" i="304"/>
  <c r="Q243" i="304" s="1"/>
  <c r="K247" i="304"/>
  <c r="L247" i="304" s="1"/>
  <c r="P270" i="304"/>
  <c r="Q270" i="304" s="1"/>
  <c r="K303" i="304"/>
  <c r="L303" i="304" s="1"/>
  <c r="P320" i="304"/>
  <c r="Q320" i="304" s="1"/>
  <c r="K326" i="304"/>
  <c r="L326" i="304" s="1"/>
  <c r="P352" i="304"/>
  <c r="Q352" i="304" s="1"/>
  <c r="P365" i="304"/>
  <c r="Q365" i="304" s="1"/>
  <c r="O207" i="304"/>
  <c r="K240" i="304"/>
  <c r="L240" i="304" s="1"/>
  <c r="P280" i="304"/>
  <c r="Q280" i="304" s="1"/>
  <c r="N333" i="304"/>
  <c r="P333" i="304" s="1"/>
  <c r="Q333" i="304" s="1"/>
  <c r="P40" i="304"/>
  <c r="Q40" i="304" s="1"/>
  <c r="P95" i="304"/>
  <c r="Q95" i="304" s="1"/>
  <c r="K109" i="304"/>
  <c r="L109" i="304" s="1"/>
  <c r="P119" i="304"/>
  <c r="Q119" i="304" s="1"/>
  <c r="K133" i="304"/>
  <c r="L133" i="304" s="1"/>
  <c r="K136" i="304"/>
  <c r="L136" i="304" s="1"/>
  <c r="P141" i="304"/>
  <c r="Q141" i="304" s="1"/>
  <c r="P165" i="304"/>
  <c r="Q165" i="304" s="1"/>
  <c r="K238" i="304"/>
  <c r="L238" i="304" s="1"/>
  <c r="K304" i="304"/>
  <c r="L304" i="304" s="1"/>
  <c r="P357" i="304"/>
  <c r="Q357" i="304" s="1"/>
  <c r="P199" i="304"/>
  <c r="Q199" i="304" s="1"/>
  <c r="K24" i="304"/>
  <c r="L24" i="304" s="1"/>
  <c r="K30" i="304"/>
  <c r="L30" i="304" s="1"/>
  <c r="N133" i="304"/>
  <c r="P136" i="304"/>
  <c r="Q136" i="304" s="1"/>
  <c r="K166" i="304"/>
  <c r="L166" i="304" s="1"/>
  <c r="N238" i="304"/>
  <c r="K358" i="304"/>
  <c r="L358" i="304" s="1"/>
  <c r="K161" i="304"/>
  <c r="L161" i="304" s="1"/>
  <c r="K185" i="304"/>
  <c r="L185" i="304" s="1"/>
  <c r="P249" i="304"/>
  <c r="Q249" i="304" s="1"/>
  <c r="P276" i="304"/>
  <c r="Q276" i="304" s="1"/>
  <c r="P290" i="304"/>
  <c r="Q290" i="304" s="1"/>
  <c r="K348" i="304"/>
  <c r="L348" i="304" s="1"/>
  <c r="P361" i="304"/>
  <c r="Q361" i="304" s="1"/>
  <c r="O363" i="304"/>
  <c r="P388" i="304"/>
  <c r="Q388" i="304" s="1"/>
  <c r="K26" i="304"/>
  <c r="L26" i="304" s="1"/>
  <c r="K32" i="304"/>
  <c r="L32" i="304" s="1"/>
  <c r="P37" i="304"/>
  <c r="Q37" i="304" s="1"/>
  <c r="K40" i="304"/>
  <c r="L40" i="304" s="1"/>
  <c r="K57" i="304"/>
  <c r="L57" i="304" s="1"/>
  <c r="P66" i="304"/>
  <c r="Q66" i="304" s="1"/>
  <c r="K79" i="304"/>
  <c r="L79" i="304" s="1"/>
  <c r="K93" i="304"/>
  <c r="L93" i="304" s="1"/>
  <c r="P98" i="304"/>
  <c r="Q98" i="304" s="1"/>
  <c r="P116" i="304"/>
  <c r="Q116" i="304" s="1"/>
  <c r="K121" i="304"/>
  <c r="L121" i="304" s="1"/>
  <c r="K126" i="304"/>
  <c r="L126" i="304" s="1"/>
  <c r="K137" i="304"/>
  <c r="L137" i="304" s="1"/>
  <c r="K140" i="304"/>
  <c r="L140" i="304" s="1"/>
  <c r="P159" i="304"/>
  <c r="Q159" i="304" s="1"/>
  <c r="P201" i="304"/>
  <c r="Q201" i="304" s="1"/>
  <c r="K48" i="304"/>
  <c r="L48" i="304" s="1"/>
  <c r="K156" i="304"/>
  <c r="L156" i="304" s="1"/>
  <c r="P162" i="304"/>
  <c r="Q162" i="304" s="1"/>
  <c r="K165" i="304"/>
  <c r="L165" i="304" s="1"/>
  <c r="K177" i="304"/>
  <c r="L177" i="304" s="1"/>
  <c r="K196" i="304"/>
  <c r="L196" i="304" s="1"/>
  <c r="O201" i="304"/>
  <c r="K300" i="304"/>
  <c r="L300" i="304" s="1"/>
  <c r="P363" i="304"/>
  <c r="Q363" i="304" s="1"/>
  <c r="P377" i="304"/>
  <c r="Q377" i="304" s="1"/>
  <c r="P42" i="304"/>
  <c r="Q42" i="304" s="1"/>
  <c r="P71" i="304"/>
  <c r="Q71" i="304" s="1"/>
  <c r="P26" i="304"/>
  <c r="Q26" i="304" s="1"/>
  <c r="P140" i="304"/>
  <c r="Q140" i="304" s="1"/>
  <c r="P261" i="304"/>
  <c r="Q261" i="304" s="1"/>
  <c r="K264" i="304"/>
  <c r="L264" i="304" s="1"/>
  <c r="P269" i="304"/>
  <c r="Q269" i="304" s="1"/>
  <c r="K290" i="304"/>
  <c r="L290" i="304" s="1"/>
  <c r="P294" i="304"/>
  <c r="Q294" i="304" s="1"/>
  <c r="N303" i="304"/>
  <c r="P303" i="304" s="1"/>
  <c r="Q303" i="304" s="1"/>
  <c r="P328" i="304"/>
  <c r="Q328" i="304" s="1"/>
  <c r="P334" i="304"/>
  <c r="Q334" i="304" s="1"/>
  <c r="P358" i="304"/>
  <c r="Q358" i="304" s="1"/>
  <c r="K364" i="304"/>
  <c r="L364" i="304" s="1"/>
  <c r="K27" i="304"/>
  <c r="L27" i="304" s="1"/>
  <c r="K43" i="304"/>
  <c r="L43" i="304" s="1"/>
  <c r="K46" i="304"/>
  <c r="L46" i="304" s="1"/>
  <c r="K56" i="304"/>
  <c r="L56" i="304" s="1"/>
  <c r="K70" i="304"/>
  <c r="L70" i="304" s="1"/>
  <c r="K241" i="304"/>
  <c r="L241" i="304" s="1"/>
  <c r="P252" i="304"/>
  <c r="Q252" i="304" s="1"/>
  <c r="K267" i="304"/>
  <c r="L267" i="304" s="1"/>
  <c r="P288" i="304"/>
  <c r="Q288" i="304" s="1"/>
  <c r="K89" i="304"/>
  <c r="L89" i="304" s="1"/>
  <c r="K94" i="304"/>
  <c r="L94" i="304" s="1"/>
  <c r="K97" i="304"/>
  <c r="L97" i="304" s="1"/>
  <c r="P103" i="304"/>
  <c r="Q103" i="304" s="1"/>
  <c r="K110" i="304"/>
  <c r="L110" i="304" s="1"/>
  <c r="K115" i="304"/>
  <c r="L115" i="304" s="1"/>
  <c r="P117" i="304"/>
  <c r="Q117" i="304" s="1"/>
  <c r="P122" i="304"/>
  <c r="Q122" i="304" s="1"/>
  <c r="K125" i="304"/>
  <c r="L125" i="304" s="1"/>
  <c r="P138" i="304"/>
  <c r="Q138" i="304" s="1"/>
  <c r="K233" i="304"/>
  <c r="L233" i="304" s="1"/>
  <c r="K317" i="304"/>
  <c r="L317" i="304" s="1"/>
  <c r="P347" i="304"/>
  <c r="Q347" i="304" s="1"/>
  <c r="P22" i="304"/>
  <c r="Q22" i="304" s="1"/>
  <c r="K25" i="304"/>
  <c r="L25" i="304" s="1"/>
  <c r="P173" i="304"/>
  <c r="Q173" i="304" s="1"/>
  <c r="P189" i="304"/>
  <c r="Q189" i="304" s="1"/>
  <c r="P262" i="304"/>
  <c r="Q262" i="304" s="1"/>
  <c r="K273" i="304"/>
  <c r="L273" i="304" s="1"/>
  <c r="K357" i="304"/>
  <c r="L357" i="304" s="1"/>
  <c r="K383" i="304"/>
  <c r="L383" i="304" s="1"/>
  <c r="P44" i="304"/>
  <c r="Q44" i="304" s="1"/>
  <c r="N56" i="304"/>
  <c r="P56" i="304" s="1"/>
  <c r="Q56" i="304" s="1"/>
  <c r="P65" i="304"/>
  <c r="Q65" i="304" s="1"/>
  <c r="O70" i="304"/>
  <c r="P70" i="304" s="1"/>
  <c r="Q70" i="304" s="1"/>
  <c r="K73" i="304"/>
  <c r="L73" i="304" s="1"/>
  <c r="K81" i="304"/>
  <c r="L81" i="304" s="1"/>
  <c r="P84" i="304"/>
  <c r="Q84" i="304" s="1"/>
  <c r="P97" i="304"/>
  <c r="Q97" i="304" s="1"/>
  <c r="K100" i="304"/>
  <c r="L100" i="304" s="1"/>
  <c r="P125" i="304"/>
  <c r="Q125" i="304" s="1"/>
  <c r="P130" i="304"/>
  <c r="Q130" i="304" s="1"/>
  <c r="K147" i="304"/>
  <c r="L147" i="304" s="1"/>
  <c r="K155" i="304"/>
  <c r="L155" i="304" s="1"/>
  <c r="K159" i="304"/>
  <c r="L159" i="304" s="1"/>
  <c r="K164" i="304"/>
  <c r="L164" i="304" s="1"/>
  <c r="K265" i="304"/>
  <c r="L265" i="304" s="1"/>
  <c r="K296" i="304"/>
  <c r="L296" i="304" s="1"/>
  <c r="K305" i="304"/>
  <c r="L305" i="304" s="1"/>
  <c r="K323" i="304"/>
  <c r="L323" i="304" s="1"/>
  <c r="K341" i="304"/>
  <c r="L341" i="304" s="1"/>
  <c r="P343" i="304"/>
  <c r="Q343" i="304" s="1"/>
  <c r="P350" i="304"/>
  <c r="Q350" i="304" s="1"/>
  <c r="K23" i="304"/>
  <c r="L23" i="304" s="1"/>
  <c r="K34" i="304"/>
  <c r="L34" i="304" s="1"/>
  <c r="K37" i="304"/>
  <c r="L37" i="304" s="1"/>
  <c r="K42" i="304"/>
  <c r="L42" i="304" s="1"/>
  <c r="P62" i="304"/>
  <c r="Q62" i="304" s="1"/>
  <c r="K71" i="304"/>
  <c r="L71" i="304" s="1"/>
  <c r="P108" i="304"/>
  <c r="Q108" i="304" s="1"/>
  <c r="P118" i="304"/>
  <c r="Q118" i="304" s="1"/>
  <c r="P142" i="304"/>
  <c r="Q142" i="304" s="1"/>
  <c r="P147" i="304"/>
  <c r="Q147" i="304" s="1"/>
  <c r="K150" i="304"/>
  <c r="L150" i="304" s="1"/>
  <c r="P171" i="304"/>
  <c r="Q171" i="304" s="1"/>
  <c r="K182" i="304"/>
  <c r="L182" i="304" s="1"/>
  <c r="P195" i="304"/>
  <c r="Q195" i="304" s="1"/>
  <c r="P207" i="304"/>
  <c r="Q207" i="304" s="1"/>
  <c r="K263" i="304"/>
  <c r="L263" i="304" s="1"/>
  <c r="P265" i="304"/>
  <c r="Q265" i="304" s="1"/>
  <c r="P268" i="304"/>
  <c r="Q268" i="304" s="1"/>
  <c r="K271" i="304"/>
  <c r="L271" i="304" s="1"/>
  <c r="P296" i="304"/>
  <c r="Q296" i="304" s="1"/>
  <c r="K315" i="304"/>
  <c r="L315" i="304" s="1"/>
  <c r="O317" i="304"/>
  <c r="P317" i="304" s="1"/>
  <c r="Q317" i="304" s="1"/>
  <c r="N326" i="304"/>
  <c r="P326" i="304" s="1"/>
  <c r="Q326" i="304" s="1"/>
  <c r="K336" i="304"/>
  <c r="L336" i="304" s="1"/>
  <c r="P351" i="304"/>
  <c r="Q351" i="304" s="1"/>
  <c r="P15" i="304"/>
  <c r="Q15" i="304" s="1"/>
  <c r="P55" i="304"/>
  <c r="Q55" i="304" s="1"/>
  <c r="P31" i="304"/>
  <c r="Q31" i="304" s="1"/>
  <c r="P23" i="304"/>
  <c r="Q23" i="304" s="1"/>
  <c r="P61" i="304"/>
  <c r="Q61" i="304" s="1"/>
  <c r="P24" i="304"/>
  <c r="Q24" i="304" s="1"/>
  <c r="P338" i="304"/>
  <c r="Q338" i="304" s="1"/>
  <c r="K349" i="304"/>
  <c r="L349" i="304" s="1"/>
  <c r="P362" i="304"/>
  <c r="Q362" i="304" s="1"/>
  <c r="P370" i="304"/>
  <c r="Q370" i="304" s="1"/>
  <c r="K279" i="304"/>
  <c r="L279" i="304" s="1"/>
  <c r="N279" i="304"/>
  <c r="P279" i="304" s="1"/>
  <c r="Q279" i="304" s="1"/>
  <c r="K20" i="304"/>
  <c r="L20" i="304" s="1"/>
  <c r="K78" i="304"/>
  <c r="L78" i="304" s="1"/>
  <c r="N187" i="304"/>
  <c r="K187" i="304"/>
  <c r="L187" i="304" s="1"/>
  <c r="K224" i="304"/>
  <c r="L224" i="304" s="1"/>
  <c r="K268" i="304"/>
  <c r="L268" i="304" s="1"/>
  <c r="K276" i="304"/>
  <c r="L276" i="304" s="1"/>
  <c r="K302" i="304"/>
  <c r="L302" i="304" s="1"/>
  <c r="K310" i="304"/>
  <c r="L310" i="304" s="1"/>
  <c r="K325" i="304"/>
  <c r="L325" i="304" s="1"/>
  <c r="O325" i="304"/>
  <c r="P325" i="304" s="1"/>
  <c r="Q325" i="304" s="1"/>
  <c r="K365" i="304"/>
  <c r="L365" i="304" s="1"/>
  <c r="N382" i="304"/>
  <c r="K382" i="304"/>
  <c r="L382" i="304" s="1"/>
  <c r="K390" i="304"/>
  <c r="L390" i="304" s="1"/>
  <c r="N67" i="304"/>
  <c r="P67" i="304" s="1"/>
  <c r="Q67" i="304" s="1"/>
  <c r="K67" i="304"/>
  <c r="L67" i="304" s="1"/>
  <c r="N237" i="304"/>
  <c r="P237" i="304" s="1"/>
  <c r="Q237" i="304" s="1"/>
  <c r="K237" i="304"/>
  <c r="L237" i="304" s="1"/>
  <c r="K49" i="304"/>
  <c r="L49" i="304" s="1"/>
  <c r="P58" i="304"/>
  <c r="Q58" i="304" s="1"/>
  <c r="K242" i="304"/>
  <c r="L242" i="304" s="1"/>
  <c r="O242" i="304"/>
  <c r="P18" i="304"/>
  <c r="Q18" i="304" s="1"/>
  <c r="N93" i="304"/>
  <c r="P93" i="304" s="1"/>
  <c r="Q93" i="304" s="1"/>
  <c r="K102" i="304"/>
  <c r="L102" i="304" s="1"/>
  <c r="P133" i="304"/>
  <c r="Q133" i="304" s="1"/>
  <c r="P25" i="304"/>
  <c r="Q25" i="304" s="1"/>
  <c r="N51" i="304"/>
  <c r="P51" i="304" s="1"/>
  <c r="Q51" i="304" s="1"/>
  <c r="K65" i="304"/>
  <c r="L65" i="304" s="1"/>
  <c r="P76" i="304"/>
  <c r="Q76" i="304" s="1"/>
  <c r="P78" i="304"/>
  <c r="Q78" i="304" s="1"/>
  <c r="N134" i="304"/>
  <c r="P134" i="304" s="1"/>
  <c r="Q134" i="304" s="1"/>
  <c r="K134" i="304"/>
  <c r="L134" i="304" s="1"/>
  <c r="N145" i="304"/>
  <c r="P145" i="304" s="1"/>
  <c r="Q145" i="304" s="1"/>
  <c r="K145" i="304"/>
  <c r="L145" i="304" s="1"/>
  <c r="K152" i="304"/>
  <c r="L152" i="304" s="1"/>
  <c r="K209" i="304"/>
  <c r="L209" i="304" s="1"/>
  <c r="P224" i="304"/>
  <c r="Q224" i="304" s="1"/>
  <c r="N250" i="304"/>
  <c r="P250" i="304" s="1"/>
  <c r="Q250" i="304" s="1"/>
  <c r="K250" i="304"/>
  <c r="L250" i="304" s="1"/>
  <c r="P21" i="304"/>
  <c r="Q21" i="304" s="1"/>
  <c r="P30" i="304"/>
  <c r="Q30" i="304" s="1"/>
  <c r="P41" i="304"/>
  <c r="Q41" i="304" s="1"/>
  <c r="K50" i="304"/>
  <c r="L50" i="304" s="1"/>
  <c r="P52" i="304"/>
  <c r="Q52" i="304" s="1"/>
  <c r="K84" i="304"/>
  <c r="L84" i="304" s="1"/>
  <c r="P86" i="304"/>
  <c r="Q86" i="304" s="1"/>
  <c r="N100" i="304"/>
  <c r="P100" i="304" s="1"/>
  <c r="Q100" i="304" s="1"/>
  <c r="P150" i="304"/>
  <c r="Q150" i="304" s="1"/>
  <c r="P152" i="304"/>
  <c r="Q152" i="304" s="1"/>
  <c r="P155" i="304"/>
  <c r="Q155" i="304" s="1"/>
  <c r="K171" i="304"/>
  <c r="L171" i="304" s="1"/>
  <c r="P182" i="304"/>
  <c r="Q182" i="304" s="1"/>
  <c r="K193" i="304"/>
  <c r="L193" i="304" s="1"/>
  <c r="N232" i="304"/>
  <c r="P232" i="304" s="1"/>
  <c r="Q232" i="304" s="1"/>
  <c r="K232" i="304"/>
  <c r="L232" i="304" s="1"/>
  <c r="P240" i="304"/>
  <c r="Q240" i="304" s="1"/>
  <c r="P256" i="304"/>
  <c r="Q256" i="304" s="1"/>
  <c r="P272" i="304"/>
  <c r="Q272" i="304" s="1"/>
  <c r="P300" i="304"/>
  <c r="Q300" i="304" s="1"/>
  <c r="P308" i="304"/>
  <c r="Q308" i="304" s="1"/>
  <c r="K332" i="304"/>
  <c r="L332" i="304" s="1"/>
  <c r="N332" i="304"/>
  <c r="P332" i="304" s="1"/>
  <c r="Q332" i="304" s="1"/>
  <c r="P337" i="304"/>
  <c r="Q337" i="304" s="1"/>
  <c r="K339" i="304"/>
  <c r="L339" i="304" s="1"/>
  <c r="O339" i="304"/>
  <c r="P339" i="304" s="1"/>
  <c r="Q339" i="304" s="1"/>
  <c r="K344" i="304"/>
  <c r="L344" i="304" s="1"/>
  <c r="P346" i="304"/>
  <c r="Q346" i="304" s="1"/>
  <c r="K356" i="304"/>
  <c r="L356" i="304" s="1"/>
  <c r="N356" i="304"/>
  <c r="P356" i="304" s="1"/>
  <c r="Q356" i="304" s="1"/>
  <c r="P371" i="304"/>
  <c r="Q371" i="304" s="1"/>
  <c r="K200" i="304"/>
  <c r="L200" i="304" s="1"/>
  <c r="N200" i="304"/>
  <c r="P200" i="304" s="1"/>
  <c r="Q200" i="304" s="1"/>
  <c r="N227" i="304"/>
  <c r="K227" i="304"/>
  <c r="L227" i="304" s="1"/>
  <c r="P16" i="304"/>
  <c r="Q16" i="304" s="1"/>
  <c r="P34" i="304"/>
  <c r="Q34" i="304" s="1"/>
  <c r="P124" i="304"/>
  <c r="Q124" i="304" s="1"/>
  <c r="K103" i="304"/>
  <c r="L103" i="304" s="1"/>
  <c r="K180" i="304"/>
  <c r="L180" i="304" s="1"/>
  <c r="K218" i="304"/>
  <c r="L218" i="304" s="1"/>
  <c r="N289" i="304"/>
  <c r="K289" i="304"/>
  <c r="L289" i="304" s="1"/>
  <c r="P149" i="304"/>
  <c r="Q149" i="304" s="1"/>
  <c r="P32" i="304"/>
  <c r="Q32" i="304" s="1"/>
  <c r="K58" i="304"/>
  <c r="L58" i="304" s="1"/>
  <c r="K35" i="304"/>
  <c r="L35" i="304" s="1"/>
  <c r="P33" i="304"/>
  <c r="Q33" i="304" s="1"/>
  <c r="P47" i="304"/>
  <c r="Q47" i="304" s="1"/>
  <c r="N50" i="304"/>
  <c r="P50" i="304" s="1"/>
  <c r="Q50" i="304" s="1"/>
  <c r="K178" i="304"/>
  <c r="L178" i="304" s="1"/>
  <c r="K183" i="304"/>
  <c r="L183" i="304" s="1"/>
  <c r="P185" i="304"/>
  <c r="Q185" i="304" s="1"/>
  <c r="P229" i="304"/>
  <c r="Q229" i="304" s="1"/>
  <c r="K239" i="304"/>
  <c r="L239" i="304" s="1"/>
  <c r="N239" i="304"/>
  <c r="P239" i="304" s="1"/>
  <c r="Q239" i="304" s="1"/>
  <c r="N248" i="304"/>
  <c r="P248" i="304" s="1"/>
  <c r="Q248" i="304" s="1"/>
  <c r="K248" i="304"/>
  <c r="L248" i="304" s="1"/>
  <c r="K256" i="304"/>
  <c r="L256" i="304" s="1"/>
  <c r="K272" i="304"/>
  <c r="L272" i="304" s="1"/>
  <c r="N316" i="304"/>
  <c r="P316" i="304" s="1"/>
  <c r="Q316" i="304" s="1"/>
  <c r="K316" i="304"/>
  <c r="L316" i="304" s="1"/>
  <c r="K374" i="304"/>
  <c r="L374" i="304" s="1"/>
  <c r="P376" i="304"/>
  <c r="Q376" i="304" s="1"/>
  <c r="K387" i="304"/>
  <c r="L387" i="304" s="1"/>
  <c r="N387" i="304"/>
  <c r="P387" i="304" s="1"/>
  <c r="Q387" i="304" s="1"/>
  <c r="P17" i="304"/>
  <c r="Q17" i="304" s="1"/>
  <c r="K15" i="304"/>
  <c r="L15" i="304" s="1"/>
  <c r="K28" i="304"/>
  <c r="L28" i="304" s="1"/>
  <c r="K31" i="304"/>
  <c r="L31" i="304" s="1"/>
  <c r="P36" i="304"/>
  <c r="Q36" i="304" s="1"/>
  <c r="K69" i="304"/>
  <c r="L69" i="304" s="1"/>
  <c r="K80" i="304"/>
  <c r="L80" i="304" s="1"/>
  <c r="N82" i="304"/>
  <c r="P82" i="304" s="1"/>
  <c r="Q82" i="304" s="1"/>
  <c r="K82" i="304"/>
  <c r="L82" i="304" s="1"/>
  <c r="P127" i="304"/>
  <c r="Q127" i="304" s="1"/>
  <c r="K135" i="304"/>
  <c r="L135" i="304" s="1"/>
  <c r="K149" i="304"/>
  <c r="L149" i="304" s="1"/>
  <c r="P178" i="304"/>
  <c r="Q178" i="304" s="1"/>
  <c r="K189" i="304"/>
  <c r="L189" i="304" s="1"/>
  <c r="P233" i="304"/>
  <c r="Q233" i="304" s="1"/>
  <c r="K270" i="304"/>
  <c r="L270" i="304" s="1"/>
  <c r="P287" i="304"/>
  <c r="Q287" i="304" s="1"/>
  <c r="N324" i="304"/>
  <c r="P324" i="304" s="1"/>
  <c r="Q324" i="304" s="1"/>
  <c r="K324" i="304"/>
  <c r="L324" i="304" s="1"/>
  <c r="P69" i="304"/>
  <c r="Q69" i="304" s="1"/>
  <c r="K72" i="304"/>
  <c r="L72" i="304" s="1"/>
  <c r="P80" i="304"/>
  <c r="Q80" i="304" s="1"/>
  <c r="P115" i="304"/>
  <c r="Q115" i="304" s="1"/>
  <c r="P132" i="304"/>
  <c r="Q132" i="304" s="1"/>
  <c r="K153" i="304"/>
  <c r="L153" i="304" s="1"/>
  <c r="K169" i="304"/>
  <c r="L169" i="304" s="1"/>
  <c r="K172" i="304"/>
  <c r="L172" i="304" s="1"/>
  <c r="K174" i="304"/>
  <c r="L174" i="304" s="1"/>
  <c r="P175" i="304"/>
  <c r="Q175" i="304" s="1"/>
  <c r="K184" i="304"/>
  <c r="L184" i="304" s="1"/>
  <c r="K208" i="304"/>
  <c r="L208" i="304" s="1"/>
  <c r="P209" i="304"/>
  <c r="Q209" i="304" s="1"/>
  <c r="K215" i="304"/>
  <c r="L215" i="304" s="1"/>
  <c r="K254" i="304"/>
  <c r="L254" i="304" s="1"/>
  <c r="P283" i="304"/>
  <c r="Q283" i="304" s="1"/>
  <c r="P291" i="304"/>
  <c r="Q291" i="304" s="1"/>
  <c r="P299" i="304"/>
  <c r="Q299" i="304" s="1"/>
  <c r="K307" i="304"/>
  <c r="L307" i="304" s="1"/>
  <c r="K309" i="304"/>
  <c r="L309" i="304" s="1"/>
  <c r="P349" i="304"/>
  <c r="Q349" i="304" s="1"/>
  <c r="P137" i="304"/>
  <c r="Q137" i="304" s="1"/>
  <c r="P157" i="304"/>
  <c r="Q157" i="304" s="1"/>
  <c r="P167" i="304"/>
  <c r="Q167" i="304" s="1"/>
  <c r="P190" i="304"/>
  <c r="Q190" i="304" s="1"/>
  <c r="P206" i="304"/>
  <c r="Q206" i="304" s="1"/>
  <c r="K331" i="304"/>
  <c r="L331" i="304" s="1"/>
  <c r="P367" i="304"/>
  <c r="Q367" i="304" s="1"/>
  <c r="K379" i="304"/>
  <c r="L379" i="304" s="1"/>
  <c r="P57" i="304"/>
  <c r="Q57" i="304" s="1"/>
  <c r="P77" i="304"/>
  <c r="Q77" i="304" s="1"/>
  <c r="P83" i="304"/>
  <c r="Q83" i="304" s="1"/>
  <c r="P87" i="304"/>
  <c r="Q87" i="304" s="1"/>
  <c r="P89" i="304"/>
  <c r="Q89" i="304" s="1"/>
  <c r="K116" i="304"/>
  <c r="L116" i="304" s="1"/>
  <c r="K130" i="304"/>
  <c r="L130" i="304" s="1"/>
  <c r="K142" i="304"/>
  <c r="L142" i="304" s="1"/>
  <c r="P143" i="304"/>
  <c r="Q143" i="304" s="1"/>
  <c r="P151" i="304"/>
  <c r="Q151" i="304" s="1"/>
  <c r="P177" i="304"/>
  <c r="Q177" i="304" s="1"/>
  <c r="P184" i="304"/>
  <c r="Q184" i="304" s="1"/>
  <c r="P186" i="304"/>
  <c r="Q186" i="304" s="1"/>
  <c r="P192" i="304"/>
  <c r="Q192" i="304" s="1"/>
  <c r="K199" i="304"/>
  <c r="L199" i="304" s="1"/>
  <c r="N208" i="304"/>
  <c r="O215" i="304"/>
  <c r="P215" i="304" s="1"/>
  <c r="Q215" i="304" s="1"/>
  <c r="K217" i="304"/>
  <c r="L217" i="304" s="1"/>
  <c r="P230" i="304"/>
  <c r="Q230" i="304" s="1"/>
  <c r="K259" i="304"/>
  <c r="L259" i="304" s="1"/>
  <c r="K281" i="304"/>
  <c r="L281" i="304" s="1"/>
  <c r="K283" i="304"/>
  <c r="L283" i="304" s="1"/>
  <c r="K288" i="304"/>
  <c r="L288" i="304" s="1"/>
  <c r="K291" i="304"/>
  <c r="L291" i="304" s="1"/>
  <c r="K294" i="304"/>
  <c r="L294" i="304" s="1"/>
  <c r="O307" i="304"/>
  <c r="P307" i="304" s="1"/>
  <c r="Q307" i="304" s="1"/>
  <c r="K318" i="304"/>
  <c r="L318" i="304" s="1"/>
  <c r="K328" i="304"/>
  <c r="L328" i="304" s="1"/>
  <c r="K334" i="304"/>
  <c r="L334" i="304" s="1"/>
  <c r="P348" i="304"/>
  <c r="Q348" i="304" s="1"/>
  <c r="K355" i="304"/>
  <c r="L355" i="304" s="1"/>
  <c r="N364" i="304"/>
  <c r="P364" i="304" s="1"/>
  <c r="Q364" i="304" s="1"/>
  <c r="K368" i="304"/>
  <c r="L368" i="304" s="1"/>
  <c r="K372" i="304"/>
  <c r="L372" i="304" s="1"/>
  <c r="P373" i="304"/>
  <c r="Q373" i="304" s="1"/>
  <c r="K378" i="304"/>
  <c r="L378" i="304" s="1"/>
  <c r="K388" i="304"/>
  <c r="L388" i="304" s="1"/>
  <c r="P123" i="304"/>
  <c r="Q123" i="304" s="1"/>
  <c r="P126" i="304"/>
  <c r="Q126" i="304" s="1"/>
  <c r="K179" i="304"/>
  <c r="L179" i="304" s="1"/>
  <c r="K181" i="304"/>
  <c r="L181" i="304" s="1"/>
  <c r="K188" i="304"/>
  <c r="L188" i="304" s="1"/>
  <c r="N271" i="304"/>
  <c r="P271" i="304" s="1"/>
  <c r="Q271" i="304" s="1"/>
  <c r="K287" i="304"/>
  <c r="L287" i="304" s="1"/>
  <c r="N301" i="304"/>
  <c r="P301" i="304" s="1"/>
  <c r="Q301" i="304" s="1"/>
  <c r="P305" i="304"/>
  <c r="Q305" i="304" s="1"/>
  <c r="N309" i="304"/>
  <c r="P309" i="304" s="1"/>
  <c r="Q309" i="304" s="1"/>
  <c r="N315" i="304"/>
  <c r="P315" i="304" s="1"/>
  <c r="Q315" i="304" s="1"/>
  <c r="O331" i="304"/>
  <c r="P331" i="304" s="1"/>
  <c r="Q331" i="304" s="1"/>
  <c r="P336" i="304"/>
  <c r="Q336" i="304" s="1"/>
  <c r="K352" i="304"/>
  <c r="L352" i="304" s="1"/>
  <c r="K360" i="304"/>
  <c r="L360" i="304" s="1"/>
  <c r="O379" i="304"/>
  <c r="P379" i="304" s="1"/>
  <c r="Q379" i="304" s="1"/>
  <c r="K381" i="304"/>
  <c r="L381" i="304" s="1"/>
  <c r="K391" i="304"/>
  <c r="L391" i="304" s="1"/>
  <c r="P64" i="304"/>
  <c r="Q64" i="304" s="1"/>
  <c r="P68" i="304"/>
  <c r="Q68" i="304" s="1"/>
  <c r="P92" i="304"/>
  <c r="Q92" i="304" s="1"/>
  <c r="K95" i="304"/>
  <c r="L95" i="304" s="1"/>
  <c r="K104" i="304"/>
  <c r="L104" i="304" s="1"/>
  <c r="K123" i="304"/>
  <c r="L123" i="304" s="1"/>
  <c r="K141" i="304"/>
  <c r="L141" i="304" s="1"/>
  <c r="K173" i="304"/>
  <c r="L173" i="304" s="1"/>
  <c r="P179" i="304"/>
  <c r="Q179" i="304" s="1"/>
  <c r="P214" i="304"/>
  <c r="Q214" i="304" s="1"/>
  <c r="K216" i="304"/>
  <c r="L216" i="304" s="1"/>
  <c r="K228" i="304"/>
  <c r="L228" i="304" s="1"/>
  <c r="K231" i="304"/>
  <c r="L231" i="304" s="1"/>
  <c r="P238" i="304"/>
  <c r="Q238" i="304" s="1"/>
  <c r="O241" i="304"/>
  <c r="P241" i="304" s="1"/>
  <c r="Q241" i="304" s="1"/>
  <c r="N247" i="304"/>
  <c r="P247" i="304" s="1"/>
  <c r="Q247" i="304" s="1"/>
  <c r="K251" i="304"/>
  <c r="L251" i="304" s="1"/>
  <c r="P253" i="304"/>
  <c r="Q253" i="304" s="1"/>
  <c r="P284" i="304"/>
  <c r="Q284" i="304" s="1"/>
  <c r="K322" i="304"/>
  <c r="L322" i="304" s="1"/>
  <c r="O323" i="304"/>
  <c r="P323" i="304" s="1"/>
  <c r="Q323" i="304" s="1"/>
  <c r="K337" i="304"/>
  <c r="L337" i="304" s="1"/>
  <c r="N340" i="304"/>
  <c r="P340" i="304" s="1"/>
  <c r="Q340" i="304" s="1"/>
  <c r="K346" i="304"/>
  <c r="L346" i="304" s="1"/>
  <c r="O355" i="304"/>
  <c r="P355" i="304" s="1"/>
  <c r="Q355" i="304" s="1"/>
  <c r="K361" i="304"/>
  <c r="L361" i="304" s="1"/>
  <c r="P372" i="304"/>
  <c r="Q372" i="304" s="1"/>
  <c r="K380" i="304"/>
  <c r="L380" i="304" s="1"/>
  <c r="P383" i="304"/>
  <c r="Q383" i="304" s="1"/>
  <c r="Z27" i="288"/>
  <c r="AJ46" i="288"/>
  <c r="AJ34" i="288"/>
  <c r="P40" i="146"/>
  <c r="T40" i="146" s="1"/>
  <c r="P28" i="146"/>
  <c r="T28" i="146" s="1"/>
  <c r="P29" i="146"/>
  <c r="T29" i="146" s="1"/>
  <c r="P15" i="146"/>
  <c r="P16" i="146"/>
  <c r="T16" i="146" s="1"/>
  <c r="T39" i="146"/>
  <c r="P41" i="146"/>
  <c r="T41" i="146" s="1"/>
  <c r="T27" i="146"/>
  <c r="K60" i="304"/>
  <c r="L60" i="304" s="1"/>
  <c r="N60" i="304"/>
  <c r="P60" i="304" s="1"/>
  <c r="Q60" i="304" s="1"/>
  <c r="O160" i="304"/>
  <c r="P160" i="304" s="1"/>
  <c r="Q160" i="304" s="1"/>
  <c r="K160" i="304"/>
  <c r="L160" i="304" s="1"/>
  <c r="O74" i="304"/>
  <c r="P74" i="304" s="1"/>
  <c r="Q74" i="304" s="1"/>
  <c r="K74" i="304"/>
  <c r="L74" i="304" s="1"/>
  <c r="P43" i="304"/>
  <c r="Q43" i="304" s="1"/>
  <c r="K64" i="304"/>
  <c r="L64" i="304" s="1"/>
  <c r="P19" i="304"/>
  <c r="Q19" i="304" s="1"/>
  <c r="K75" i="304"/>
  <c r="L75" i="304" s="1"/>
  <c r="O75" i="304"/>
  <c r="P75" i="304" s="1"/>
  <c r="Q75" i="304" s="1"/>
  <c r="K85" i="304"/>
  <c r="L85" i="304" s="1"/>
  <c r="N85" i="304"/>
  <c r="P85" i="304" s="1"/>
  <c r="Q85" i="304" s="1"/>
  <c r="K52" i="304"/>
  <c r="L52" i="304" s="1"/>
  <c r="N96" i="304"/>
  <c r="P96" i="304" s="1"/>
  <c r="Q96" i="304" s="1"/>
  <c r="K96" i="304"/>
  <c r="L96" i="304" s="1"/>
  <c r="N105" i="304"/>
  <c r="P105" i="304" s="1"/>
  <c r="Q105" i="304" s="1"/>
  <c r="K105" i="304"/>
  <c r="L105" i="304" s="1"/>
  <c r="N29" i="304"/>
  <c r="P29" i="304" s="1"/>
  <c r="Q29" i="304" s="1"/>
  <c r="K29" i="304"/>
  <c r="L29" i="304" s="1"/>
  <c r="N54" i="304"/>
  <c r="P54" i="304" s="1"/>
  <c r="Q54" i="304" s="1"/>
  <c r="K54" i="304"/>
  <c r="L54" i="304" s="1"/>
  <c r="K101" i="304"/>
  <c r="L101" i="304" s="1"/>
  <c r="N101" i="304"/>
  <c r="P101" i="304" s="1"/>
  <c r="Q101" i="304" s="1"/>
  <c r="O113" i="304"/>
  <c r="P113" i="304" s="1"/>
  <c r="Q113" i="304" s="1"/>
  <c r="K113" i="304"/>
  <c r="L113" i="304" s="1"/>
  <c r="N38" i="304"/>
  <c r="P38" i="304" s="1"/>
  <c r="Q38" i="304" s="1"/>
  <c r="K38" i="304"/>
  <c r="L38" i="304" s="1"/>
  <c r="P27" i="304"/>
  <c r="Q27" i="304" s="1"/>
  <c r="P46" i="304"/>
  <c r="Q46" i="304" s="1"/>
  <c r="P28" i="304"/>
  <c r="Q28" i="304" s="1"/>
  <c r="K36" i="304"/>
  <c r="L36" i="304" s="1"/>
  <c r="K44" i="304"/>
  <c r="L44" i="304" s="1"/>
  <c r="N53" i="304"/>
  <c r="P53" i="304" s="1"/>
  <c r="Q53" i="304" s="1"/>
  <c r="K53" i="304"/>
  <c r="L53" i="304" s="1"/>
  <c r="P79" i="304"/>
  <c r="Q79" i="304" s="1"/>
  <c r="K223" i="304"/>
  <c r="L223" i="304" s="1"/>
  <c r="N223" i="304"/>
  <c r="P223" i="304" s="1"/>
  <c r="Q223" i="304" s="1"/>
  <c r="O88" i="304"/>
  <c r="P88" i="304" s="1"/>
  <c r="Q88" i="304" s="1"/>
  <c r="K88" i="304"/>
  <c r="L88" i="304" s="1"/>
  <c r="K45" i="304"/>
  <c r="L45" i="304" s="1"/>
  <c r="P49" i="304"/>
  <c r="Q49" i="304" s="1"/>
  <c r="O63" i="304"/>
  <c r="P63" i="304" s="1"/>
  <c r="Q63" i="304" s="1"/>
  <c r="K63" i="304"/>
  <c r="L63" i="304" s="1"/>
  <c r="N212" i="304"/>
  <c r="P212" i="304" s="1"/>
  <c r="Q212" i="304" s="1"/>
  <c r="K212" i="304"/>
  <c r="L212" i="304" s="1"/>
  <c r="K87" i="304"/>
  <c r="L87" i="304" s="1"/>
  <c r="K68" i="304"/>
  <c r="L68" i="304" s="1"/>
  <c r="P104" i="304"/>
  <c r="Q104" i="304" s="1"/>
  <c r="K112" i="304"/>
  <c r="L112" i="304" s="1"/>
  <c r="P121" i="304"/>
  <c r="Q121" i="304" s="1"/>
  <c r="N131" i="304"/>
  <c r="P131" i="304" s="1"/>
  <c r="Q131" i="304" s="1"/>
  <c r="K131" i="304"/>
  <c r="L131" i="304" s="1"/>
  <c r="K144" i="304"/>
  <c r="L144" i="304" s="1"/>
  <c r="P166" i="304"/>
  <c r="Q166" i="304" s="1"/>
  <c r="P169" i="304"/>
  <c r="Q169" i="304" s="1"/>
  <c r="P191" i="304"/>
  <c r="Q191" i="304" s="1"/>
  <c r="N204" i="304"/>
  <c r="P204" i="304" s="1"/>
  <c r="Q204" i="304" s="1"/>
  <c r="K204" i="304"/>
  <c r="L204" i="304" s="1"/>
  <c r="K47" i="304"/>
  <c r="L47" i="304" s="1"/>
  <c r="K55" i="304"/>
  <c r="L55" i="304" s="1"/>
  <c r="K59" i="304"/>
  <c r="L59" i="304" s="1"/>
  <c r="P73" i="304"/>
  <c r="Q73" i="304" s="1"/>
  <c r="K83" i="304"/>
  <c r="L83" i="304" s="1"/>
  <c r="K92" i="304"/>
  <c r="L92" i="304" s="1"/>
  <c r="K98" i="304"/>
  <c r="L98" i="304" s="1"/>
  <c r="K107" i="304"/>
  <c r="L107" i="304" s="1"/>
  <c r="N114" i="304"/>
  <c r="P114" i="304" s="1"/>
  <c r="Q114" i="304" s="1"/>
  <c r="K114" i="304"/>
  <c r="L114" i="304" s="1"/>
  <c r="P129" i="304"/>
  <c r="Q129" i="304" s="1"/>
  <c r="P153" i="304"/>
  <c r="Q153" i="304" s="1"/>
  <c r="O191" i="304"/>
  <c r="K236" i="304"/>
  <c r="L236" i="304" s="1"/>
  <c r="P72" i="304"/>
  <c r="Q72" i="304" s="1"/>
  <c r="N106" i="304"/>
  <c r="P106" i="304" s="1"/>
  <c r="Q106" i="304" s="1"/>
  <c r="K106" i="304"/>
  <c r="L106" i="304" s="1"/>
  <c r="P112" i="304"/>
  <c r="Q112" i="304" s="1"/>
  <c r="K122" i="304"/>
  <c r="L122" i="304" s="1"/>
  <c r="N139" i="304"/>
  <c r="P139" i="304" s="1"/>
  <c r="Q139" i="304" s="1"/>
  <c r="K139" i="304"/>
  <c r="L139" i="304" s="1"/>
  <c r="P144" i="304"/>
  <c r="Q144" i="304" s="1"/>
  <c r="N170" i="304"/>
  <c r="P170" i="304" s="1"/>
  <c r="Q170" i="304" s="1"/>
  <c r="K170" i="304"/>
  <c r="L170" i="304" s="1"/>
  <c r="K202" i="304"/>
  <c r="L202" i="304" s="1"/>
  <c r="K226" i="304"/>
  <c r="L226" i="304" s="1"/>
  <c r="N275" i="304"/>
  <c r="P275" i="304" s="1"/>
  <c r="Q275" i="304" s="1"/>
  <c r="K275" i="304"/>
  <c r="L275" i="304" s="1"/>
  <c r="N278" i="304"/>
  <c r="P278" i="304" s="1"/>
  <c r="Q278" i="304" s="1"/>
  <c r="K278" i="304"/>
  <c r="L278" i="304" s="1"/>
  <c r="P120" i="304"/>
  <c r="Q120" i="304" s="1"/>
  <c r="N154" i="304"/>
  <c r="P154" i="304" s="1"/>
  <c r="Q154" i="304" s="1"/>
  <c r="K154" i="304"/>
  <c r="L154" i="304" s="1"/>
  <c r="N234" i="304"/>
  <c r="P234" i="304" s="1"/>
  <c r="Q234" i="304" s="1"/>
  <c r="K234" i="304"/>
  <c r="L234" i="304" s="1"/>
  <c r="K66" i="304"/>
  <c r="L66" i="304" s="1"/>
  <c r="K76" i="304"/>
  <c r="L76" i="304" s="1"/>
  <c r="K90" i="304"/>
  <c r="L90" i="304" s="1"/>
  <c r="P94" i="304"/>
  <c r="Q94" i="304" s="1"/>
  <c r="N109" i="304"/>
  <c r="P109" i="304" s="1"/>
  <c r="Q109" i="304" s="1"/>
  <c r="P110" i="304"/>
  <c r="Q110" i="304" s="1"/>
  <c r="P158" i="304"/>
  <c r="Q158" i="304" s="1"/>
  <c r="P161" i="304"/>
  <c r="Q161" i="304" s="1"/>
  <c r="P168" i="304"/>
  <c r="Q168" i="304" s="1"/>
  <c r="K190" i="304"/>
  <c r="L190" i="304" s="1"/>
  <c r="P193" i="304"/>
  <c r="Q193" i="304" s="1"/>
  <c r="K246" i="304"/>
  <c r="L246" i="304" s="1"/>
  <c r="N246" i="304"/>
  <c r="P246" i="304" s="1"/>
  <c r="Q246" i="304" s="1"/>
  <c r="P196" i="304"/>
  <c r="Q196" i="304" s="1"/>
  <c r="P210" i="304"/>
  <c r="Q210" i="304" s="1"/>
  <c r="P219" i="304"/>
  <c r="Q219" i="304" s="1"/>
  <c r="N221" i="304"/>
  <c r="P221" i="304" s="1"/>
  <c r="Q221" i="304" s="1"/>
  <c r="K221" i="304"/>
  <c r="L221" i="304" s="1"/>
  <c r="P257" i="304"/>
  <c r="Q257" i="304" s="1"/>
  <c r="N292" i="304"/>
  <c r="P292" i="304" s="1"/>
  <c r="Q292" i="304" s="1"/>
  <c r="K292" i="304"/>
  <c r="L292" i="304" s="1"/>
  <c r="P202" i="304"/>
  <c r="Q202" i="304" s="1"/>
  <c r="N213" i="304"/>
  <c r="P213" i="304" s="1"/>
  <c r="Q213" i="304" s="1"/>
  <c r="K213" i="304"/>
  <c r="L213" i="304" s="1"/>
  <c r="N244" i="304"/>
  <c r="P244" i="304" s="1"/>
  <c r="Q244" i="304" s="1"/>
  <c r="K244" i="304"/>
  <c r="L244" i="304" s="1"/>
  <c r="N258" i="304"/>
  <c r="P258" i="304" s="1"/>
  <c r="Q258" i="304" s="1"/>
  <c r="K258" i="304"/>
  <c r="L258" i="304" s="1"/>
  <c r="N285" i="304"/>
  <c r="P285" i="304" s="1"/>
  <c r="Q285" i="304" s="1"/>
  <c r="K285" i="304"/>
  <c r="L285" i="304" s="1"/>
  <c r="O311" i="304"/>
  <c r="P311" i="304" s="1"/>
  <c r="Q311" i="304" s="1"/>
  <c r="K311" i="304"/>
  <c r="L311" i="304" s="1"/>
  <c r="O327" i="304"/>
  <c r="P327" i="304" s="1"/>
  <c r="Q327" i="304" s="1"/>
  <c r="K327" i="304"/>
  <c r="L327" i="304" s="1"/>
  <c r="K108" i="304"/>
  <c r="L108" i="304" s="1"/>
  <c r="K132" i="304"/>
  <c r="L132" i="304" s="1"/>
  <c r="K176" i="304"/>
  <c r="L176" i="304" s="1"/>
  <c r="P187" i="304"/>
  <c r="Q187" i="304" s="1"/>
  <c r="K194" i="304"/>
  <c r="L194" i="304" s="1"/>
  <c r="P203" i="304"/>
  <c r="Q203" i="304" s="1"/>
  <c r="N205" i="304"/>
  <c r="P205" i="304" s="1"/>
  <c r="Q205" i="304" s="1"/>
  <c r="K205" i="304"/>
  <c r="L205" i="304" s="1"/>
  <c r="K219" i="304"/>
  <c r="L219" i="304" s="1"/>
  <c r="O225" i="304"/>
  <c r="P225" i="304" s="1"/>
  <c r="Q225" i="304" s="1"/>
  <c r="K225" i="304"/>
  <c r="L225" i="304" s="1"/>
  <c r="N235" i="304"/>
  <c r="P235" i="304" s="1"/>
  <c r="Q235" i="304" s="1"/>
  <c r="K235" i="304"/>
  <c r="L235" i="304" s="1"/>
  <c r="P242" i="304"/>
  <c r="Q242" i="304" s="1"/>
  <c r="O183" i="304"/>
  <c r="P183" i="304" s="1"/>
  <c r="Q183" i="304" s="1"/>
  <c r="P188" i="304"/>
  <c r="Q188" i="304" s="1"/>
  <c r="N197" i="304"/>
  <c r="P197" i="304" s="1"/>
  <c r="Q197" i="304" s="1"/>
  <c r="K197" i="304"/>
  <c r="L197" i="304" s="1"/>
  <c r="K211" i="304"/>
  <c r="L211" i="304" s="1"/>
  <c r="P216" i="304"/>
  <c r="Q216" i="304" s="1"/>
  <c r="N321" i="304"/>
  <c r="P321" i="304" s="1"/>
  <c r="Q321" i="304" s="1"/>
  <c r="K321" i="304"/>
  <c r="L321" i="304" s="1"/>
  <c r="P208" i="304"/>
  <c r="Q208" i="304" s="1"/>
  <c r="N220" i="304"/>
  <c r="P220" i="304" s="1"/>
  <c r="Q220" i="304" s="1"/>
  <c r="K220" i="304"/>
  <c r="L220" i="304" s="1"/>
  <c r="K222" i="304"/>
  <c r="L222" i="304" s="1"/>
  <c r="N222" i="304"/>
  <c r="P222" i="304" s="1"/>
  <c r="Q222" i="304" s="1"/>
  <c r="P226" i="304"/>
  <c r="Q226" i="304" s="1"/>
  <c r="P236" i="304"/>
  <c r="Q236" i="304" s="1"/>
  <c r="N245" i="304"/>
  <c r="P245" i="304" s="1"/>
  <c r="Q245" i="304" s="1"/>
  <c r="K245" i="304"/>
  <c r="L245" i="304" s="1"/>
  <c r="K249" i="304"/>
  <c r="L249" i="304" s="1"/>
  <c r="K255" i="304"/>
  <c r="L255" i="304" s="1"/>
  <c r="N255" i="304"/>
  <c r="P255" i="304" s="1"/>
  <c r="Q255" i="304" s="1"/>
  <c r="P227" i="304"/>
  <c r="Q227" i="304" s="1"/>
  <c r="K257" i="304"/>
  <c r="L257" i="304" s="1"/>
  <c r="P259" i="304"/>
  <c r="Q259" i="304" s="1"/>
  <c r="N277" i="304"/>
  <c r="P277" i="304" s="1"/>
  <c r="Q277" i="304" s="1"/>
  <c r="K277" i="304"/>
  <c r="L277" i="304" s="1"/>
  <c r="K282" i="304"/>
  <c r="L282" i="304" s="1"/>
  <c r="K319" i="304"/>
  <c r="L319" i="304" s="1"/>
  <c r="K375" i="304"/>
  <c r="L375" i="304" s="1"/>
  <c r="K230" i="304"/>
  <c r="L230" i="304" s="1"/>
  <c r="N254" i="304"/>
  <c r="P254" i="304" s="1"/>
  <c r="Q254" i="304" s="1"/>
  <c r="K262" i="304"/>
  <c r="L262" i="304" s="1"/>
  <c r="K266" i="304"/>
  <c r="L266" i="304" s="1"/>
  <c r="P267" i="304"/>
  <c r="Q267" i="304" s="1"/>
  <c r="K269" i="304"/>
  <c r="L269" i="304" s="1"/>
  <c r="P289" i="304"/>
  <c r="Q289" i="304" s="1"/>
  <c r="O335" i="304"/>
  <c r="P335" i="304" s="1"/>
  <c r="Q335" i="304" s="1"/>
  <c r="K335" i="304"/>
  <c r="L335" i="304" s="1"/>
  <c r="K384" i="304"/>
  <c r="L384" i="304" s="1"/>
  <c r="K392" i="304"/>
  <c r="L392" i="304" s="1"/>
  <c r="K198" i="304"/>
  <c r="L198" i="304" s="1"/>
  <c r="K206" i="304"/>
  <c r="L206" i="304" s="1"/>
  <c r="K214" i="304"/>
  <c r="L214" i="304" s="1"/>
  <c r="K243" i="304"/>
  <c r="L243" i="304" s="1"/>
  <c r="K253" i="304"/>
  <c r="L253" i="304" s="1"/>
  <c r="P282" i="304"/>
  <c r="Q282" i="304" s="1"/>
  <c r="K284" i="304"/>
  <c r="L284" i="304" s="1"/>
  <c r="N286" i="304"/>
  <c r="P286" i="304" s="1"/>
  <c r="Q286" i="304" s="1"/>
  <c r="K286" i="304"/>
  <c r="L286" i="304" s="1"/>
  <c r="N231" i="304"/>
  <c r="P231" i="304" s="1"/>
  <c r="Q231" i="304" s="1"/>
  <c r="K252" i="304"/>
  <c r="L252" i="304" s="1"/>
  <c r="N263" i="304"/>
  <c r="P263" i="304" s="1"/>
  <c r="Q263" i="304" s="1"/>
  <c r="P266" i="304"/>
  <c r="Q266" i="304" s="1"/>
  <c r="K274" i="304"/>
  <c r="L274" i="304" s="1"/>
  <c r="N293" i="304"/>
  <c r="P293" i="304" s="1"/>
  <c r="Q293" i="304" s="1"/>
  <c r="N313" i="304"/>
  <c r="P313" i="304" s="1"/>
  <c r="Q313" i="304" s="1"/>
  <c r="K313" i="304"/>
  <c r="L313" i="304" s="1"/>
  <c r="N329" i="304"/>
  <c r="P329" i="304" s="1"/>
  <c r="Q329" i="304" s="1"/>
  <c r="K329" i="304"/>
  <c r="L329" i="304" s="1"/>
  <c r="N353" i="304"/>
  <c r="P353" i="304" s="1"/>
  <c r="Q353" i="304" s="1"/>
  <c r="K353" i="304"/>
  <c r="L353" i="304" s="1"/>
  <c r="K229" i="304"/>
  <c r="L229" i="304" s="1"/>
  <c r="K261" i="304"/>
  <c r="L261" i="304" s="1"/>
  <c r="P281" i="304"/>
  <c r="Q281" i="304" s="1"/>
  <c r="P382" i="304"/>
  <c r="Q382" i="304" s="1"/>
  <c r="P390" i="304"/>
  <c r="Q390" i="304" s="1"/>
  <c r="K351" i="304"/>
  <c r="L351" i="304" s="1"/>
  <c r="K359" i="304"/>
  <c r="L359" i="304" s="1"/>
  <c r="P366" i="304"/>
  <c r="Q366" i="304" s="1"/>
  <c r="P375" i="304"/>
  <c r="Q375" i="304" s="1"/>
  <c r="N385" i="304"/>
  <c r="P385" i="304" s="1"/>
  <c r="Q385" i="304" s="1"/>
  <c r="K385" i="304"/>
  <c r="L385" i="304" s="1"/>
  <c r="N393" i="304"/>
  <c r="P393" i="304" s="1"/>
  <c r="Q393" i="304" s="1"/>
  <c r="K393" i="304"/>
  <c r="L393" i="304" s="1"/>
  <c r="N298" i="304"/>
  <c r="P298" i="304" s="1"/>
  <c r="Q298" i="304" s="1"/>
  <c r="K298" i="304"/>
  <c r="L298" i="304" s="1"/>
  <c r="N314" i="304"/>
  <c r="P314" i="304" s="1"/>
  <c r="Q314" i="304" s="1"/>
  <c r="K314" i="304"/>
  <c r="L314" i="304" s="1"/>
  <c r="P342" i="304"/>
  <c r="Q342" i="304" s="1"/>
  <c r="P368" i="304"/>
  <c r="Q368" i="304" s="1"/>
  <c r="P381" i="304"/>
  <c r="Q381" i="304" s="1"/>
  <c r="P389" i="304"/>
  <c r="Q389" i="304" s="1"/>
  <c r="K295" i="304"/>
  <c r="L295" i="304" s="1"/>
  <c r="P302" i="304"/>
  <c r="Q302" i="304" s="1"/>
  <c r="N306" i="304"/>
  <c r="P306" i="304" s="1"/>
  <c r="Q306" i="304" s="1"/>
  <c r="K306" i="304"/>
  <c r="L306" i="304" s="1"/>
  <c r="N330" i="304"/>
  <c r="P330" i="304" s="1"/>
  <c r="Q330" i="304" s="1"/>
  <c r="K330" i="304"/>
  <c r="L330" i="304" s="1"/>
  <c r="P344" i="304"/>
  <c r="Q344" i="304" s="1"/>
  <c r="N354" i="304"/>
  <c r="P354" i="304" s="1"/>
  <c r="Q354" i="304" s="1"/>
  <c r="K354" i="304"/>
  <c r="L354" i="304" s="1"/>
  <c r="P359" i="304"/>
  <c r="Q359" i="304" s="1"/>
  <c r="K312" i="304"/>
  <c r="L312" i="304" s="1"/>
  <c r="P318" i="304"/>
  <c r="Q318" i="304" s="1"/>
  <c r="P341" i="304"/>
  <c r="Q341" i="304" s="1"/>
  <c r="P360" i="304"/>
  <c r="Q360" i="304" s="1"/>
  <c r="K367" i="304"/>
  <c r="L367" i="304" s="1"/>
  <c r="N369" i="304"/>
  <c r="P369" i="304" s="1"/>
  <c r="Q369" i="304" s="1"/>
  <c r="K369" i="304"/>
  <c r="L369" i="304" s="1"/>
  <c r="P374" i="304"/>
  <c r="Q374" i="304" s="1"/>
  <c r="K376" i="304"/>
  <c r="L376" i="304" s="1"/>
  <c r="N297" i="304"/>
  <c r="P297" i="304" s="1"/>
  <c r="Q297" i="304" s="1"/>
  <c r="K297" i="304"/>
  <c r="L297" i="304" s="1"/>
  <c r="P319" i="304"/>
  <c r="Q319" i="304" s="1"/>
  <c r="K345" i="304"/>
  <c r="L345" i="304" s="1"/>
  <c r="P384" i="304"/>
  <c r="Q384" i="304" s="1"/>
  <c r="N386" i="304"/>
  <c r="P386" i="304" s="1"/>
  <c r="Q386" i="304" s="1"/>
  <c r="K386" i="304"/>
  <c r="L386" i="304" s="1"/>
  <c r="P392" i="304"/>
  <c r="Q392" i="304" s="1"/>
  <c r="K299" i="304"/>
  <c r="L299" i="304" s="1"/>
  <c r="L395" i="304" l="1"/>
  <c r="L397" i="304" s="1"/>
  <c r="P18" i="146"/>
  <c r="T15" i="146"/>
  <c r="T18" i="146" s="1"/>
  <c r="T30" i="146"/>
  <c r="J27" i="146" s="1"/>
  <c r="P30" i="146"/>
  <c r="T42" i="146"/>
  <c r="J39" i="146" s="1"/>
  <c r="P42" i="146"/>
  <c r="Q395" i="304"/>
  <c r="Q397" i="304" s="1"/>
  <c r="AF26" i="288" s="1"/>
  <c r="AH26" i="288" s="1"/>
  <c r="AJ26" i="288" l="1"/>
  <c r="AJ27" i="288" s="1"/>
  <c r="AJ66" i="288" s="1"/>
  <c r="AJ74" i="288" s="1"/>
  <c r="AJ78" i="288" s="1"/>
  <c r="AJ82" i="288" s="1"/>
  <c r="P13" i="198" s="1"/>
  <c r="N13" i="198" s="1"/>
  <c r="L20" i="198"/>
  <c r="AI13" i="187"/>
  <c r="H18" i="299"/>
  <c r="H14" i="299"/>
  <c r="H15" i="299"/>
  <c r="H16" i="299"/>
  <c r="H17" i="299"/>
  <c r="H13" i="299"/>
  <c r="AS62" i="187"/>
  <c r="AS61" i="187"/>
  <c r="AS60" i="187"/>
  <c r="AI63" i="187"/>
  <c r="AI62" i="187"/>
  <c r="AI61" i="187"/>
  <c r="AI60" i="187"/>
  <c r="X47" i="187"/>
  <c r="X43" i="187"/>
  <c r="X13" i="187"/>
  <c r="V47" i="187"/>
  <c r="V43" i="187"/>
  <c r="V13" i="187"/>
  <c r="T13" i="187"/>
  <c r="R13" i="187"/>
  <c r="R47" i="187"/>
  <c r="R43" i="187"/>
  <c r="P47" i="187"/>
  <c r="N47" i="187"/>
  <c r="P43" i="187"/>
  <c r="P13" i="187"/>
  <c r="N39" i="187"/>
  <c r="N13" i="187"/>
  <c r="J13" i="187"/>
  <c r="J20" i="277"/>
  <c r="P64" i="187"/>
  <c r="P63" i="187"/>
  <c r="P61" i="187"/>
  <c r="P60" i="187"/>
  <c r="H65" i="187"/>
  <c r="H64" i="187"/>
  <c r="H63" i="187"/>
  <c r="AQ49" i="187"/>
  <c r="AQ40" i="187"/>
  <c r="AQ19" i="187"/>
  <c r="AQ21" i="187" s="1"/>
  <c r="AQ28" i="187" s="1"/>
  <c r="AQ32" i="187" s="1"/>
  <c r="R40" i="187"/>
  <c r="R19" i="187"/>
  <c r="R21" i="187" s="1"/>
  <c r="R28" i="187" s="1"/>
  <c r="R32" i="187" s="1"/>
  <c r="J15" i="301"/>
  <c r="J14" i="301"/>
  <c r="J16" i="301" s="1"/>
  <c r="J41" i="301" s="1"/>
  <c r="F16" i="301"/>
  <c r="F41" i="301" s="1"/>
  <c r="J40" i="286"/>
  <c r="J42" i="286" s="1"/>
  <c r="J44" i="286" s="1"/>
  <c r="J13" i="286" s="1"/>
  <c r="H13" i="286" s="1"/>
  <c r="G33" i="121"/>
  <c r="F33" i="121"/>
  <c r="D33" i="121"/>
  <c r="G32" i="121"/>
  <c r="F32" i="121"/>
  <c r="D32" i="121"/>
  <c r="G31" i="121"/>
  <c r="F31" i="121"/>
  <c r="D31" i="121"/>
  <c r="G30" i="121"/>
  <c r="F30" i="121"/>
  <c r="D30" i="121"/>
  <c r="G29" i="121"/>
  <c r="F29" i="121"/>
  <c r="D29" i="121"/>
  <c r="G28" i="121"/>
  <c r="F28" i="121"/>
  <c r="D28" i="121"/>
  <c r="G27" i="121"/>
  <c r="F27" i="121"/>
  <c r="D27" i="121"/>
  <c r="G26" i="121"/>
  <c r="F26" i="121"/>
  <c r="D26" i="121"/>
  <c r="G25" i="121"/>
  <c r="F25" i="121"/>
  <c r="D25" i="121"/>
  <c r="G24" i="121"/>
  <c r="F24" i="121"/>
  <c r="D24" i="121"/>
  <c r="G23" i="121"/>
  <c r="F23" i="121"/>
  <c r="D23" i="121"/>
  <c r="G22" i="121"/>
  <c r="F22" i="121"/>
  <c r="D22" i="121"/>
  <c r="G21" i="121"/>
  <c r="F21" i="121"/>
  <c r="D21" i="121"/>
  <c r="G20" i="121"/>
  <c r="F20" i="121"/>
  <c r="D20" i="121"/>
  <c r="G19" i="121"/>
  <c r="F19" i="121"/>
  <c r="D19" i="121"/>
  <c r="F18" i="121"/>
  <c r="D18" i="121"/>
  <c r="F17" i="121"/>
  <c r="D17" i="121"/>
  <c r="G16" i="121"/>
  <c r="F16" i="121"/>
  <c r="D16" i="121"/>
  <c r="B5" i="302"/>
  <c r="J3" i="302"/>
  <c r="B3" i="302"/>
  <c r="B1" i="302"/>
  <c r="B5" i="303"/>
  <c r="J3" i="303"/>
  <c r="B3" i="303"/>
  <c r="B1" i="303"/>
  <c r="J22" i="301"/>
  <c r="F22" i="301"/>
  <c r="B5" i="301"/>
  <c r="J3" i="301"/>
  <c r="B3" i="301"/>
  <c r="B1" i="301"/>
  <c r="J19" i="299"/>
  <c r="J18" i="299"/>
  <c r="F20" i="299"/>
  <c r="F18" i="299"/>
  <c r="J26" i="299"/>
  <c r="F26" i="299"/>
  <c r="J22" i="299"/>
  <c r="F22" i="299"/>
  <c r="B5" i="299"/>
  <c r="J3" i="299"/>
  <c r="B3" i="299"/>
  <c r="B1" i="299"/>
  <c r="H16" i="301" l="1"/>
  <c r="AQ51" i="187"/>
  <c r="R49" i="187"/>
  <c r="J20" i="299"/>
  <c r="H20" i="299" s="1"/>
  <c r="R51" i="187"/>
  <c r="F19" i="301"/>
  <c r="F21" i="301" s="1"/>
  <c r="F23" i="301" s="1"/>
  <c r="F25" i="301" s="1"/>
  <c r="F43" i="301" s="1"/>
  <c r="F45" i="301" s="1"/>
  <c r="J19" i="301"/>
  <c r="F23" i="299"/>
  <c r="F25" i="299" s="1"/>
  <c r="F27" i="299" s="1"/>
  <c r="J23" i="299"/>
  <c r="J25" i="299" s="1"/>
  <c r="J27" i="299" s="1"/>
  <c r="H41" i="301" l="1"/>
  <c r="H19" i="301"/>
  <c r="J21" i="301"/>
  <c r="J23" i="301" s="1"/>
  <c r="H23" i="301" s="1"/>
  <c r="F29" i="299"/>
  <c r="F31" i="299" s="1"/>
  <c r="H27" i="299"/>
  <c r="H23" i="299"/>
  <c r="J29" i="299"/>
  <c r="J25" i="301" l="1"/>
  <c r="H29" i="299"/>
  <c r="H31" i="299" s="1"/>
  <c r="J31" i="299"/>
  <c r="H25" i="301" l="1"/>
  <c r="H43" i="301" s="1"/>
  <c r="H45" i="301" s="1"/>
  <c r="J43" i="301"/>
  <c r="J45" i="301" s="1"/>
  <c r="F27" i="288" l="1"/>
  <c r="J13" i="288"/>
  <c r="J14" i="288"/>
  <c r="J15" i="288"/>
  <c r="J16" i="288"/>
  <c r="J17" i="288"/>
  <c r="J18" i="288"/>
  <c r="J19" i="288"/>
  <c r="J20" i="288"/>
  <c r="J21" i="288"/>
  <c r="J22" i="288"/>
  <c r="J23" i="288"/>
  <c r="J24" i="288"/>
  <c r="J25" i="288"/>
  <c r="J26" i="288"/>
  <c r="J12" i="288"/>
  <c r="J27" i="288" s="1"/>
  <c r="R72" i="288"/>
  <c r="T72" i="288" s="1"/>
  <c r="R70" i="288"/>
  <c r="T70" i="288" s="1"/>
  <c r="R68" i="288"/>
  <c r="T68" i="288" s="1"/>
  <c r="R64" i="288"/>
  <c r="T64" i="288" s="1"/>
  <c r="R62" i="288"/>
  <c r="T62" i="288" s="1"/>
  <c r="R60" i="288"/>
  <c r="T60" i="288" s="1"/>
  <c r="R58" i="288"/>
  <c r="T58" i="288" s="1"/>
  <c r="R56" i="288"/>
  <c r="T56" i="288" s="1"/>
  <c r="R54" i="288"/>
  <c r="T54" i="288" s="1"/>
  <c r="R52" i="288"/>
  <c r="T52" i="288" s="1"/>
  <c r="R50" i="288"/>
  <c r="T50" i="288" s="1"/>
  <c r="R48" i="288"/>
  <c r="T48" i="288" s="1"/>
  <c r="R45" i="288"/>
  <c r="T45" i="288" s="1"/>
  <c r="R44" i="288"/>
  <c r="T44" i="288" s="1"/>
  <c r="R43" i="288"/>
  <c r="T43" i="288" s="1"/>
  <c r="R39" i="288"/>
  <c r="T39" i="288" s="1"/>
  <c r="R38" i="288"/>
  <c r="T38" i="288" s="1"/>
  <c r="R37" i="288"/>
  <c r="T37" i="288" s="1"/>
  <c r="R33" i="288"/>
  <c r="T33" i="288" s="1"/>
  <c r="R32" i="288"/>
  <c r="T32" i="288" s="1"/>
  <c r="R31" i="288"/>
  <c r="T31" i="288" s="1"/>
  <c r="R30" i="288"/>
  <c r="T30" i="288" s="1"/>
  <c r="R26" i="288"/>
  <c r="T26" i="288" s="1"/>
  <c r="R25" i="288"/>
  <c r="T25" i="288" s="1"/>
  <c r="R24" i="288"/>
  <c r="T24" i="288" s="1"/>
  <c r="R23" i="288"/>
  <c r="T23" i="288" s="1"/>
  <c r="R22" i="288"/>
  <c r="T22" i="288" s="1"/>
  <c r="R21" i="288"/>
  <c r="T21" i="288" s="1"/>
  <c r="R20" i="288"/>
  <c r="T20" i="288" s="1"/>
  <c r="R19" i="288"/>
  <c r="T19" i="288" s="1"/>
  <c r="R18" i="288"/>
  <c r="T18" i="288" s="1"/>
  <c r="R17" i="288"/>
  <c r="T17" i="288" s="1"/>
  <c r="R16" i="288"/>
  <c r="T16" i="288" s="1"/>
  <c r="R15" i="288"/>
  <c r="T15" i="288" s="1"/>
  <c r="R14" i="288"/>
  <c r="T14" i="288" s="1"/>
  <c r="R13" i="288"/>
  <c r="T13" i="288" s="1"/>
  <c r="B13" i="288"/>
  <c r="B14" i="288" s="1"/>
  <c r="B15" i="288" s="1"/>
  <c r="B16" i="288" s="1"/>
  <c r="B17" i="288" s="1"/>
  <c r="B18" i="288" s="1"/>
  <c r="B19" i="288" s="1"/>
  <c r="B20" i="288" s="1"/>
  <c r="B21" i="288" s="1"/>
  <c r="B22" i="288" s="1"/>
  <c r="B23" i="288" s="1"/>
  <c r="B24" i="288" s="1"/>
  <c r="B25" i="288" s="1"/>
  <c r="B26" i="288" s="1"/>
  <c r="B27" i="288" s="1"/>
  <c r="B29" i="288" s="1"/>
  <c r="B30" i="288" s="1"/>
  <c r="B31" i="288" s="1"/>
  <c r="B32" i="288" s="1"/>
  <c r="B33" i="288" s="1"/>
  <c r="B34" i="288" s="1"/>
  <c r="B36" i="288" s="1"/>
  <c r="B37" i="288" s="1"/>
  <c r="B38" i="288" s="1"/>
  <c r="B39" i="288" s="1"/>
  <c r="B40" i="288" s="1"/>
  <c r="B42" i="288" s="1"/>
  <c r="B43" i="288" s="1"/>
  <c r="B44" i="288" s="1"/>
  <c r="B45" i="288" s="1"/>
  <c r="B46" i="288" s="1"/>
  <c r="B48" i="288" s="1"/>
  <c r="B50" i="288" s="1"/>
  <c r="B52" i="288" s="1"/>
  <c r="B54" i="288" s="1"/>
  <c r="B56" i="288" s="1"/>
  <c r="B58" i="288" s="1"/>
  <c r="B60" i="288" s="1"/>
  <c r="B62" i="288" s="1"/>
  <c r="B64" i="288" s="1"/>
  <c r="B66" i="288" s="1"/>
  <c r="B68" i="288" s="1"/>
  <c r="B70" i="288" s="1"/>
  <c r="B72" i="288" s="1"/>
  <c r="B74" i="288" s="1"/>
  <c r="B76" i="288" s="1"/>
  <c r="B78" i="288" s="1"/>
  <c r="B80" i="288" s="1"/>
  <c r="B82" i="288" s="1"/>
  <c r="R12" i="288"/>
  <c r="T12" i="288" s="1"/>
  <c r="B5" i="288"/>
  <c r="AL3" i="288"/>
  <c r="B3" i="288"/>
  <c r="B1" i="288"/>
  <c r="T46" i="288" l="1"/>
  <c r="T34" i="288"/>
  <c r="T40" i="288"/>
  <c r="T27" i="288"/>
  <c r="T66" i="288" s="1"/>
  <c r="T74" i="288" s="1"/>
  <c r="T78" i="288" s="1"/>
  <c r="T82" i="288" s="1"/>
  <c r="AL82" i="288" s="1"/>
  <c r="H13" i="287" l="1"/>
  <c r="J13" i="287" s="1"/>
  <c r="J16" i="287" s="1"/>
  <c r="J19" i="287"/>
  <c r="F19" i="287"/>
  <c r="F16" i="287"/>
  <c r="F18" i="287" s="1"/>
  <c r="J15" i="287"/>
  <c r="F15" i="287"/>
  <c r="B5" i="287"/>
  <c r="J3" i="287"/>
  <c r="B3" i="287"/>
  <c r="B1" i="287"/>
  <c r="J26" i="286"/>
  <c r="F26" i="286"/>
  <c r="J22" i="286"/>
  <c r="F22" i="286"/>
  <c r="B5" i="286"/>
  <c r="J3" i="286"/>
  <c r="B3" i="286"/>
  <c r="B1" i="286"/>
  <c r="F36" i="285"/>
  <c r="F35" i="285"/>
  <c r="F37" i="285" s="1"/>
  <c r="H36" i="285" s="1"/>
  <c r="J55" i="285"/>
  <c r="J42" i="285"/>
  <c r="J43" i="285"/>
  <c r="J44" i="285"/>
  <c r="J45" i="285"/>
  <c r="J46" i="285"/>
  <c r="J47" i="285"/>
  <c r="J48" i="285"/>
  <c r="J49" i="285"/>
  <c r="J50" i="285"/>
  <c r="J51" i="285"/>
  <c r="J52" i="285"/>
  <c r="J53" i="285"/>
  <c r="J54" i="285"/>
  <c r="J41" i="285"/>
  <c r="H55" i="285"/>
  <c r="F55" i="285"/>
  <c r="J21" i="285"/>
  <c r="F21" i="285"/>
  <c r="J17" i="285"/>
  <c r="F17" i="285"/>
  <c r="B5" i="285"/>
  <c r="J3" i="285"/>
  <c r="B3" i="285"/>
  <c r="B1" i="285"/>
  <c r="F20" i="287" l="1"/>
  <c r="H16" i="287"/>
  <c r="F22" i="287"/>
  <c r="F24" i="287" s="1"/>
  <c r="J18" i="287"/>
  <c r="J20" i="287" s="1"/>
  <c r="H20" i="287" s="1"/>
  <c r="J20" i="286"/>
  <c r="F23" i="286"/>
  <c r="F25" i="286" s="1"/>
  <c r="F27" i="286" s="1"/>
  <c r="H35" i="285"/>
  <c r="H37" i="285" s="1"/>
  <c r="J23" i="286" l="1"/>
  <c r="J25" i="286" s="1"/>
  <c r="J27" i="286" s="1"/>
  <c r="H20" i="286"/>
  <c r="T43" i="187" s="1"/>
  <c r="J22" i="287"/>
  <c r="J29" i="286"/>
  <c r="J31" i="286" s="1"/>
  <c r="H27" i="286"/>
  <c r="H23" i="286"/>
  <c r="F29" i="286"/>
  <c r="F31" i="286" s="1"/>
  <c r="F14" i="285"/>
  <c r="F15" i="285" s="1"/>
  <c r="F18" i="285" s="1"/>
  <c r="F20" i="285" s="1"/>
  <c r="F22" i="285" s="1"/>
  <c r="F24" i="285" s="1"/>
  <c r="F26" i="285" s="1"/>
  <c r="H22" i="287" l="1"/>
  <c r="H24" i="287" s="1"/>
  <c r="J24" i="287"/>
  <c r="H29" i="286"/>
  <c r="H15" i="285"/>
  <c r="J15" i="285" s="1"/>
  <c r="J18" i="285" s="1"/>
  <c r="H18" i="285" s="1"/>
  <c r="H31" i="286" l="1"/>
  <c r="F23" i="215" s="1"/>
  <c r="T47" i="187"/>
  <c r="J20" i="285"/>
  <c r="J22" i="285" s="1"/>
  <c r="H22" i="285" s="1"/>
  <c r="J24" i="285" l="1"/>
  <c r="H24" i="285" l="1"/>
  <c r="H26" i="285" s="1"/>
  <c r="J26" i="285"/>
  <c r="H13" i="284"/>
  <c r="J19" i="284"/>
  <c r="F19" i="284"/>
  <c r="F16" i="284"/>
  <c r="F18" i="284" s="1"/>
  <c r="J15" i="284"/>
  <c r="F15" i="284"/>
  <c r="J13" i="284"/>
  <c r="B5" i="284"/>
  <c r="J3" i="284"/>
  <c r="B3" i="284"/>
  <c r="B1" i="284"/>
  <c r="F15" i="283"/>
  <c r="H13" i="283"/>
  <c r="B5" i="283"/>
  <c r="J3" i="283"/>
  <c r="B3" i="283"/>
  <c r="B1" i="283"/>
  <c r="J19" i="282"/>
  <c r="F19" i="282"/>
  <c r="F16" i="282"/>
  <c r="F18" i="282" s="1"/>
  <c r="J15" i="282"/>
  <c r="F15" i="282"/>
  <c r="J13" i="282"/>
  <c r="J16" i="282" s="1"/>
  <c r="H16" i="282" s="1"/>
  <c r="B5" i="282"/>
  <c r="J3" i="282"/>
  <c r="B3" i="282"/>
  <c r="B1" i="282"/>
  <c r="J13" i="283" l="1"/>
  <c r="J15" i="283" s="1"/>
  <c r="J17" i="187"/>
  <c r="F20" i="284"/>
  <c r="F22" i="284" s="1"/>
  <c r="F24" i="284" s="1"/>
  <c r="J16" i="284"/>
  <c r="J18" i="284" s="1"/>
  <c r="J20" i="284" s="1"/>
  <c r="H15" i="283"/>
  <c r="F20" i="282"/>
  <c r="F22" i="282"/>
  <c r="F24" i="282" s="1"/>
  <c r="J18" i="282"/>
  <c r="J20" i="282" s="1"/>
  <c r="H20" i="282" s="1"/>
  <c r="H20" i="284" l="1"/>
  <c r="H16" i="284"/>
  <c r="J22" i="284"/>
  <c r="J22" i="282"/>
  <c r="H22" i="282" s="1"/>
  <c r="H24" i="282" s="1"/>
  <c r="H22" i="284" l="1"/>
  <c r="H24" i="284" s="1"/>
  <c r="J24" i="284"/>
  <c r="J24" i="282"/>
  <c r="H13" i="281" l="1"/>
  <c r="J13" i="281" s="1"/>
  <c r="J19" i="281"/>
  <c r="F19" i="281"/>
  <c r="J15" i="281"/>
  <c r="F15" i="281"/>
  <c r="F16" i="281" s="1"/>
  <c r="B5" i="281"/>
  <c r="J3" i="281"/>
  <c r="B3" i="281"/>
  <c r="B1" i="281"/>
  <c r="J16" i="281" l="1"/>
  <c r="H16" i="281" s="1"/>
  <c r="F18" i="281"/>
  <c r="F20" i="281" s="1"/>
  <c r="F22" i="281" s="1"/>
  <c r="F24" i="281" s="1"/>
  <c r="J18" i="281" l="1"/>
  <c r="J20" i="281" s="1"/>
  <c r="H20" i="281" s="1"/>
  <c r="F26" i="8"/>
  <c r="J22" i="281" l="1"/>
  <c r="H22" i="281"/>
  <c r="H24" i="281" s="1"/>
  <c r="J24" i="281"/>
  <c r="H13" i="280" l="1"/>
  <c r="J13" i="280" s="1"/>
  <c r="J19" i="280"/>
  <c r="F19" i="280"/>
  <c r="F15" i="280"/>
  <c r="F16" i="280" s="1"/>
  <c r="B5" i="280"/>
  <c r="J3" i="280"/>
  <c r="B3" i="280"/>
  <c r="B1" i="280"/>
  <c r="H13" i="279"/>
  <c r="J13" i="279" s="1"/>
  <c r="J19" i="279"/>
  <c r="F19" i="279"/>
  <c r="F15" i="279"/>
  <c r="F16" i="279" s="1"/>
  <c r="F18" i="279" s="1"/>
  <c r="F20" i="279" s="1"/>
  <c r="B5" i="279"/>
  <c r="J3" i="279"/>
  <c r="B3" i="279"/>
  <c r="B1" i="279"/>
  <c r="F18" i="280" l="1"/>
  <c r="F20" i="280" s="1"/>
  <c r="F22" i="280" s="1"/>
  <c r="F24" i="280" s="1"/>
  <c r="F22" i="279"/>
  <c r="F24" i="279" s="1"/>
  <c r="J19" i="278" l="1"/>
  <c r="F19" i="278"/>
  <c r="F15" i="278"/>
  <c r="F16" i="278"/>
  <c r="J13" i="278"/>
  <c r="B5" i="278"/>
  <c r="J3" i="278"/>
  <c r="B3" i="278"/>
  <c r="B1" i="278"/>
  <c r="F18" i="278" l="1"/>
  <c r="F20" i="278" s="1"/>
  <c r="F22" i="278" s="1"/>
  <c r="F24" i="278" s="1"/>
  <c r="T64" i="277" l="1"/>
  <c r="S56" i="277"/>
  <c r="S50" i="277"/>
  <c r="S45" i="277"/>
  <c r="S58" i="277" l="1"/>
  <c r="S60" i="277"/>
  <c r="P61" i="277"/>
  <c r="S61" i="277" s="1"/>
  <c r="P56" i="277"/>
  <c r="O56" i="277"/>
  <c r="Q55" i="277"/>
  <c r="Q54" i="277"/>
  <c r="Q53" i="277"/>
  <c r="Q52" i="277"/>
  <c r="P50" i="277"/>
  <c r="O50" i="277"/>
  <c r="Q49" i="277"/>
  <c r="Q48" i="277"/>
  <c r="Q43" i="277"/>
  <c r="Q50" i="277" l="1"/>
  <c r="O58" i="277"/>
  <c r="S62" i="277"/>
  <c r="Q56" i="277"/>
  <c r="P58" i="277"/>
  <c r="Q58" i="277" s="1"/>
  <c r="H13" i="187"/>
  <c r="H60" i="187"/>
  <c r="AG48" i="187"/>
  <c r="AW48" i="187" s="1"/>
  <c r="Z48" i="187"/>
  <c r="Z45" i="187"/>
  <c r="AG45" i="187" s="1"/>
  <c r="AW45" i="187" s="1"/>
  <c r="Z39" i="187"/>
  <c r="AG39" i="187" s="1"/>
  <c r="AW39" i="187" s="1"/>
  <c r="H37" i="8" s="1"/>
  <c r="Z23" i="187"/>
  <c r="AG23" i="187" s="1"/>
  <c r="AW23" i="187" s="1"/>
  <c r="H21" i="8" s="1"/>
  <c r="Z24" i="187"/>
  <c r="AG24" i="187" s="1"/>
  <c r="AW24" i="187" s="1"/>
  <c r="Z25" i="187"/>
  <c r="AG25" i="187" s="1"/>
  <c r="AW25" i="187" s="1"/>
  <c r="Z26" i="187"/>
  <c r="AG26" i="187" s="1"/>
  <c r="AW26" i="187" s="1"/>
  <c r="Z27" i="187"/>
  <c r="AG27" i="187" s="1"/>
  <c r="AW27" i="187" s="1"/>
  <c r="Z18" i="187"/>
  <c r="AG18" i="187" s="1"/>
  <c r="AW18" i="187" s="1"/>
  <c r="AU40" i="187"/>
  <c r="AU19" i="187"/>
  <c r="AU21" i="187" s="1"/>
  <c r="AU28" i="187" s="1"/>
  <c r="AU32" i="187" s="1"/>
  <c r="AS49" i="187"/>
  <c r="AS40" i="187"/>
  <c r="AS19" i="187"/>
  <c r="AS21" i="187" s="1"/>
  <c r="AS28" i="187" s="1"/>
  <c r="AS32" i="187" s="1"/>
  <c r="AO49" i="187"/>
  <c r="AO40" i="187"/>
  <c r="AO19" i="187"/>
  <c r="AO21" i="187" s="1"/>
  <c r="AO28" i="187" s="1"/>
  <c r="AO32" i="187" s="1"/>
  <c r="AM49" i="187"/>
  <c r="AM40" i="187"/>
  <c r="AM19" i="187"/>
  <c r="AM21" i="187" s="1"/>
  <c r="AM28" i="187" s="1"/>
  <c r="AM32" i="187" s="1"/>
  <c r="AK49" i="187"/>
  <c r="AK40" i="187"/>
  <c r="AK51" i="187" s="1"/>
  <c r="AK19" i="187"/>
  <c r="AK21" i="187" s="1"/>
  <c r="AK28" i="187" s="1"/>
  <c r="AK32" i="187" s="1"/>
  <c r="AI49" i="187"/>
  <c r="AI40" i="187"/>
  <c r="AI19" i="187"/>
  <c r="AI21" i="187" s="1"/>
  <c r="AI28" i="187" s="1"/>
  <c r="AI32" i="187" s="1"/>
  <c r="X49" i="187"/>
  <c r="X40" i="187"/>
  <c r="X19" i="187"/>
  <c r="X21" i="187" s="1"/>
  <c r="X28" i="187" s="1"/>
  <c r="X32" i="187" s="1"/>
  <c r="V49" i="187"/>
  <c r="V40" i="187"/>
  <c r="V19" i="187"/>
  <c r="V21" i="187" s="1"/>
  <c r="V28" i="187" s="1"/>
  <c r="V32" i="187" s="1"/>
  <c r="T49" i="187"/>
  <c r="T40" i="187"/>
  <c r="T19" i="187"/>
  <c r="T21" i="187" s="1"/>
  <c r="T28" i="187" s="1"/>
  <c r="T32" i="187" s="1"/>
  <c r="P49" i="187"/>
  <c r="P40" i="187"/>
  <c r="P19" i="187"/>
  <c r="P21" i="187" s="1"/>
  <c r="P28" i="187" s="1"/>
  <c r="P32" i="187" s="1"/>
  <c r="N49" i="187"/>
  <c r="N40" i="187"/>
  <c r="N19" i="187"/>
  <c r="N21" i="187" s="1"/>
  <c r="N28" i="187" s="1"/>
  <c r="N32" i="187" s="1"/>
  <c r="L49" i="187"/>
  <c r="L40" i="187"/>
  <c r="L19" i="187"/>
  <c r="L21" i="187" s="1"/>
  <c r="J49" i="187"/>
  <c r="J40" i="187"/>
  <c r="J51" i="187" s="1"/>
  <c r="J19" i="187"/>
  <c r="J21" i="187" s="1"/>
  <c r="J28" i="187" s="1"/>
  <c r="F20" i="277"/>
  <c r="J26" i="277"/>
  <c r="J28" i="277" s="1"/>
  <c r="F26" i="277"/>
  <c r="H25" i="277"/>
  <c r="H47" i="187" s="1"/>
  <c r="Z47" i="187" s="1"/>
  <c r="H24" i="277"/>
  <c r="H46" i="187" s="1"/>
  <c r="Z46" i="187" s="1"/>
  <c r="AG46" i="187" s="1"/>
  <c r="AW46" i="187" s="1"/>
  <c r="H44" i="8" s="1"/>
  <c r="H23" i="277"/>
  <c r="H44" i="187" s="1"/>
  <c r="Z44" i="187" s="1"/>
  <c r="AG44" i="187" s="1"/>
  <c r="AW44" i="187" s="1"/>
  <c r="H42" i="8" s="1"/>
  <c r="H22" i="277"/>
  <c r="H43" i="187" s="1"/>
  <c r="Z43" i="187" s="1"/>
  <c r="AG43" i="187" s="1"/>
  <c r="H19" i="277"/>
  <c r="H18" i="277"/>
  <c r="H38" i="187" s="1"/>
  <c r="Z38" i="187" s="1"/>
  <c r="J15" i="277"/>
  <c r="F15" i="277"/>
  <c r="H13" i="277"/>
  <c r="H16" i="187" s="1"/>
  <c r="H19" i="187" s="1"/>
  <c r="B5" i="277"/>
  <c r="J3" i="277"/>
  <c r="B3" i="277"/>
  <c r="B1" i="277"/>
  <c r="J32" i="187" l="1"/>
  <c r="J30" i="187"/>
  <c r="AO51" i="187"/>
  <c r="AS51" i="187"/>
  <c r="V51" i="187"/>
  <c r="T51" i="187"/>
  <c r="N51" i="187"/>
  <c r="P51" i="187"/>
  <c r="AI51" i="187"/>
  <c r="H21" i="187"/>
  <c r="H28" i="187" s="1"/>
  <c r="X51" i="187"/>
  <c r="L51" i="187"/>
  <c r="AM51" i="187"/>
  <c r="Z49" i="187"/>
  <c r="F28" i="277"/>
  <c r="AG47" i="187"/>
  <c r="Z40" i="187"/>
  <c r="AG38" i="187"/>
  <c r="H26" i="277"/>
  <c r="H15" i="277"/>
  <c r="D15" i="215" s="1"/>
  <c r="F44" i="187"/>
  <c r="AY44" i="187" s="1"/>
  <c r="F45" i="187"/>
  <c r="AY45" i="187" s="1"/>
  <c r="F46" i="187"/>
  <c r="AY46" i="187" s="1"/>
  <c r="F47" i="187"/>
  <c r="F48" i="187"/>
  <c r="AY48" i="187" s="1"/>
  <c r="F27" i="187"/>
  <c r="AY27" i="187" s="1"/>
  <c r="F26" i="187"/>
  <c r="AY26" i="187" s="1"/>
  <c r="F25" i="187"/>
  <c r="AY25" i="187" s="1"/>
  <c r="F24" i="187"/>
  <c r="AY24" i="187" s="1"/>
  <c r="F23" i="187"/>
  <c r="AY23" i="187" s="1"/>
  <c r="F22" i="187"/>
  <c r="F20" i="187"/>
  <c r="F17" i="187"/>
  <c r="F18" i="187"/>
  <c r="AY18" i="187" s="1"/>
  <c r="F16" i="187"/>
  <c r="H32" i="187" l="1"/>
  <c r="H30" i="187"/>
  <c r="BA47" i="187"/>
  <c r="Z51" i="187"/>
  <c r="H28" i="277"/>
  <c r="F15" i="215" s="1"/>
  <c r="AW38" i="187"/>
  <c r="H36" i="8" s="1"/>
  <c r="AG40" i="187"/>
  <c r="F19" i="187"/>
  <c r="F21" i="187" s="1"/>
  <c r="F28" i="187" s="1"/>
  <c r="F46" i="198" l="1"/>
  <c r="H26" i="198"/>
  <c r="J26" i="198" s="1"/>
  <c r="N26" i="198" s="1"/>
  <c r="P26" i="198" s="1"/>
  <c r="AW40" i="187"/>
  <c r="H13" i="276"/>
  <c r="J13" i="276" s="1"/>
  <c r="J19" i="276"/>
  <c r="F19" i="276"/>
  <c r="F15" i="276"/>
  <c r="F16" i="276" s="1"/>
  <c r="B5" i="276"/>
  <c r="J3" i="276"/>
  <c r="B3" i="276"/>
  <c r="B1" i="276"/>
  <c r="F18" i="276" l="1"/>
  <c r="F20" i="276" s="1"/>
  <c r="F22" i="276" s="1"/>
  <c r="F24" i="276" s="1"/>
  <c r="F21" i="181" l="1"/>
  <c r="B6" i="215"/>
  <c r="B5" i="215"/>
  <c r="B3" i="215"/>
  <c r="F24" i="76" l="1"/>
  <c r="F17" i="76" l="1"/>
  <c r="H15" i="76" l="1"/>
  <c r="H22" i="76"/>
  <c r="L22" i="76" s="1"/>
  <c r="H23" i="76"/>
  <c r="L23" i="76" s="1"/>
  <c r="H21" i="76"/>
  <c r="L21" i="76" s="1"/>
  <c r="F28" i="8"/>
  <c r="H16" i="76"/>
  <c r="H14" i="76"/>
  <c r="F30" i="187" l="1"/>
  <c r="F30" i="8"/>
  <c r="J25" i="25"/>
  <c r="F25" i="25"/>
  <c r="F21" i="25"/>
  <c r="F13" i="25" l="1"/>
  <c r="F14" i="181"/>
  <c r="F14" i="146"/>
  <c r="F26" i="146" s="1"/>
  <c r="F38" i="146" s="1"/>
  <c r="F32" i="187"/>
  <c r="J38" i="146" l="1"/>
  <c r="J40" i="146" s="1"/>
  <c r="J26" i="146"/>
  <c r="J28" i="146" s="1"/>
  <c r="F38" i="8"/>
  <c r="F47" i="8"/>
  <c r="J46" i="8"/>
  <c r="J24" i="8" l="1"/>
  <c r="J23" i="8"/>
  <c r="J22" i="8"/>
  <c r="J21" i="8"/>
  <c r="J18" i="8"/>
  <c r="J16" i="8"/>
  <c r="F17" i="8"/>
  <c r="F19" i="8" s="1"/>
  <c r="J39" i="25" l="1"/>
  <c r="J38" i="25"/>
  <c r="H24" i="76"/>
  <c r="L14" i="76"/>
  <c r="F38" i="25" s="1"/>
  <c r="H17" i="76"/>
  <c r="J22" i="182"/>
  <c r="J18" i="182"/>
  <c r="J14" i="182"/>
  <c r="J13" i="182"/>
  <c r="F15" i="182"/>
  <c r="J15" i="276" l="1"/>
  <c r="J16" i="276" s="1"/>
  <c r="J15" i="280"/>
  <c r="J16" i="280" s="1"/>
  <c r="J15" i="279"/>
  <c r="J16" i="279" s="1"/>
  <c r="J15" i="278"/>
  <c r="J16" i="278" s="1"/>
  <c r="H16" i="276"/>
  <c r="J18" i="276"/>
  <c r="J20" i="276" s="1"/>
  <c r="J21" i="25"/>
  <c r="J40" i="25"/>
  <c r="J14" i="25" s="1"/>
  <c r="L24" i="76"/>
  <c r="F17" i="182"/>
  <c r="F19" i="182" s="1"/>
  <c r="F21" i="182" s="1"/>
  <c r="F23" i="182" s="1"/>
  <c r="H16" i="280" l="1"/>
  <c r="J18" i="280"/>
  <c r="J20" i="280" s="1"/>
  <c r="H20" i="280" s="1"/>
  <c r="H16" i="278"/>
  <c r="J18" i="278"/>
  <c r="J20" i="278" s="1"/>
  <c r="H20" i="278" s="1"/>
  <c r="J22" i="278"/>
  <c r="H16" i="279"/>
  <c r="J18" i="279"/>
  <c r="J20" i="279" s="1"/>
  <c r="H20" i="279" s="1"/>
  <c r="J22" i="276"/>
  <c r="H20" i="276"/>
  <c r="F25" i="182"/>
  <c r="F26" i="182" s="1"/>
  <c r="F28" i="182" s="1"/>
  <c r="H22" i="278" l="1"/>
  <c r="H24" i="278" s="1"/>
  <c r="J24" i="278"/>
  <c r="J22" i="280"/>
  <c r="J22" i="279"/>
  <c r="H22" i="276"/>
  <c r="H24" i="276" s="1"/>
  <c r="J24" i="276"/>
  <c r="B1" i="215"/>
  <c r="J15" i="182"/>
  <c r="J17" i="182" s="1"/>
  <c r="J19" i="182" s="1"/>
  <c r="B1" i="121"/>
  <c r="B1" i="25"/>
  <c r="B1" i="198"/>
  <c r="B1" i="187"/>
  <c r="AC1" i="187" s="1"/>
  <c r="B1" i="146"/>
  <c r="B1" i="76"/>
  <c r="B1" i="182"/>
  <c r="B1" i="8"/>
  <c r="J14" i="215"/>
  <c r="G34" i="121"/>
  <c r="F34" i="121"/>
  <c r="D34" i="121"/>
  <c r="L13" i="187"/>
  <c r="F43" i="187"/>
  <c r="F49" i="187" s="1"/>
  <c r="F38" i="187"/>
  <c r="J3" i="243"/>
  <c r="L16" i="76"/>
  <c r="L15" i="76"/>
  <c r="F39" i="25" s="1"/>
  <c r="F40" i="25" s="1"/>
  <c r="F14" i="25" s="1"/>
  <c r="F15" i="25" s="1"/>
  <c r="F19" i="25" s="1"/>
  <c r="F22" i="25" s="1"/>
  <c r="F23" i="243"/>
  <c r="J23" i="243" s="1"/>
  <c r="J27" i="243"/>
  <c r="F27" i="243"/>
  <c r="F39" i="187"/>
  <c r="AY39" i="187" s="1"/>
  <c r="F16" i="243"/>
  <c r="B5" i="243"/>
  <c r="B3" i="243"/>
  <c r="Z3" i="187"/>
  <c r="AY3" i="187" s="1"/>
  <c r="B3" i="181"/>
  <c r="F18" i="161"/>
  <c r="J18" i="161" s="1"/>
  <c r="J19" i="161" s="1"/>
  <c r="F22" i="161"/>
  <c r="J22" i="161" s="1"/>
  <c r="H16" i="161"/>
  <c r="H40" i="187"/>
  <c r="F11" i="187"/>
  <c r="B3" i="121"/>
  <c r="B5" i="121"/>
  <c r="J3" i="181"/>
  <c r="J3" i="25" s="1"/>
  <c r="AC7" i="187"/>
  <c r="D15" i="121"/>
  <c r="D14" i="121"/>
  <c r="D13" i="121"/>
  <c r="F11" i="121"/>
  <c r="D11" i="121"/>
  <c r="F12" i="121"/>
  <c r="D12" i="121"/>
  <c r="D10" i="121"/>
  <c r="B6" i="187"/>
  <c r="AC6" i="187" s="1"/>
  <c r="B5" i="187"/>
  <c r="AC5" i="187" s="1"/>
  <c r="AY4" i="187"/>
  <c r="B5" i="198"/>
  <c r="P3" i="198"/>
  <c r="B3" i="198"/>
  <c r="I3" i="121"/>
  <c r="F15" i="121"/>
  <c r="F14" i="121"/>
  <c r="F13" i="121"/>
  <c r="F10" i="121"/>
  <c r="B6" i="181"/>
  <c r="B6" i="182"/>
  <c r="J3" i="146"/>
  <c r="L3" i="76"/>
  <c r="B5" i="182"/>
  <c r="J3" i="182"/>
  <c r="B3" i="182"/>
  <c r="B5" i="181"/>
  <c r="J3" i="161"/>
  <c r="B5" i="25"/>
  <c r="B3" i="25"/>
  <c r="B5" i="161"/>
  <c r="B3" i="161"/>
  <c r="B6" i="146"/>
  <c r="B5" i="146"/>
  <c r="B3" i="146"/>
  <c r="B6" i="76"/>
  <c r="B5" i="76"/>
  <c r="B3" i="76"/>
  <c r="F52" i="8"/>
  <c r="Z20" i="187"/>
  <c r="F21" i="243"/>
  <c r="J21" i="243"/>
  <c r="H21" i="243"/>
  <c r="J14" i="243"/>
  <c r="J16" i="243" s="1"/>
  <c r="J24" i="279" l="1"/>
  <c r="H22" i="279"/>
  <c r="H24" i="279" s="1"/>
  <c r="H22" i="280"/>
  <c r="H24" i="280" s="1"/>
  <c r="J24" i="280"/>
  <c r="F40" i="187"/>
  <c r="F51" i="187" s="1"/>
  <c r="AY38" i="187"/>
  <c r="AY40" i="187" s="1"/>
  <c r="AG20" i="187"/>
  <c r="J24" i="243"/>
  <c r="J26" i="243" s="1"/>
  <c r="J28" i="243" s="1"/>
  <c r="J30" i="243" s="1"/>
  <c r="H16" i="243"/>
  <c r="F24" i="243"/>
  <c r="F26" i="243" s="1"/>
  <c r="F28" i="243" s="1"/>
  <c r="F49" i="8"/>
  <c r="F17" i="181" s="1"/>
  <c r="Z17" i="187"/>
  <c r="L17" i="76"/>
  <c r="J21" i="182"/>
  <c r="J23" i="182" s="1"/>
  <c r="J25" i="182" s="1"/>
  <c r="J26" i="182" s="1"/>
  <c r="J28" i="182" s="1"/>
  <c r="J52" i="8" s="1"/>
  <c r="J25" i="8"/>
  <c r="J21" i="161"/>
  <c r="J23" i="161" s="1"/>
  <c r="Z16" i="187"/>
  <c r="F19" i="161"/>
  <c r="F21" i="146"/>
  <c r="F54" i="187"/>
  <c r="J37" i="8"/>
  <c r="B3" i="187"/>
  <c r="AC3" i="187" s="1"/>
  <c r="F33" i="146" l="1"/>
  <c r="J21" i="146"/>
  <c r="Z19" i="187"/>
  <c r="Z21" i="187" s="1"/>
  <c r="H24" i="243"/>
  <c r="F32" i="8"/>
  <c r="F33" i="8" s="1"/>
  <c r="F51" i="8" s="1"/>
  <c r="O44" i="277"/>
  <c r="H11" i="215"/>
  <c r="Z54" i="187"/>
  <c r="AG17" i="187"/>
  <c r="AW17" i="187" s="1"/>
  <c r="AW20" i="187"/>
  <c r="H28" i="243"/>
  <c r="F24" i="25"/>
  <c r="F26" i="25" s="1"/>
  <c r="F28" i="25" s="1"/>
  <c r="F30" i="25" s="1"/>
  <c r="F18" i="146"/>
  <c r="F15" i="146"/>
  <c r="F15" i="181"/>
  <c r="F16" i="181" s="1"/>
  <c r="F30" i="243"/>
  <c r="F32" i="243" s="1"/>
  <c r="J25" i="161"/>
  <c r="J32" i="8"/>
  <c r="J32" i="243"/>
  <c r="J14" i="146"/>
  <c r="AG16" i="187"/>
  <c r="F21" i="161"/>
  <c r="F23" i="161" s="1"/>
  <c r="F25" i="161" s="1"/>
  <c r="F27" i="161" s="1"/>
  <c r="H19" i="161"/>
  <c r="AY17" i="187" l="1"/>
  <c r="H15" i="8"/>
  <c r="J15" i="8" s="1"/>
  <c r="J33" i="146"/>
  <c r="F45" i="146"/>
  <c r="J45" i="146" s="1"/>
  <c r="F16" i="146"/>
  <c r="F20" i="146" s="1"/>
  <c r="F23" i="146" s="1"/>
  <c r="F27" i="146"/>
  <c r="F39" i="146" s="1"/>
  <c r="J18" i="146"/>
  <c r="F30" i="146"/>
  <c r="R54" i="187"/>
  <c r="AQ54" i="187"/>
  <c r="AG19" i="187"/>
  <c r="AG21" i="187" s="1"/>
  <c r="AW54" i="187"/>
  <c r="AY54" i="187"/>
  <c r="AG54" i="187"/>
  <c r="O45" i="277"/>
  <c r="O60" i="277" s="1"/>
  <c r="O62" i="277" s="1"/>
  <c r="T62" i="277" s="1"/>
  <c r="T65" i="277" s="1"/>
  <c r="P44" i="277"/>
  <c r="P45" i="277" s="1"/>
  <c r="F34" i="187"/>
  <c r="F35" i="187" s="1"/>
  <c r="F53" i="187" s="1"/>
  <c r="F56" i="187" s="1"/>
  <c r="H15" i="181"/>
  <c r="J15" i="181" s="1"/>
  <c r="AY20" i="187"/>
  <c r="F18" i="181"/>
  <c r="F53" i="8"/>
  <c r="F55" i="146" s="1"/>
  <c r="H30" i="243"/>
  <c r="H32" i="243" s="1"/>
  <c r="J27" i="161"/>
  <c r="H27" i="161" s="1"/>
  <c r="H25" i="161"/>
  <c r="H23" i="161"/>
  <c r="H10" i="215"/>
  <c r="J15" i="146"/>
  <c r="H15" i="146" s="1"/>
  <c r="Z34" i="187"/>
  <c r="J42" i="8"/>
  <c r="AW16" i="187"/>
  <c r="H18" i="215" l="1"/>
  <c r="H15" i="215"/>
  <c r="H27" i="215"/>
  <c r="H28" i="215"/>
  <c r="H29" i="215"/>
  <c r="H30" i="215"/>
  <c r="H31" i="215"/>
  <c r="AW19" i="187"/>
  <c r="AW21" i="187" s="1"/>
  <c r="H14" i="8"/>
  <c r="J30" i="146"/>
  <c r="J32" i="146" s="1"/>
  <c r="J35" i="146" s="1"/>
  <c r="F42" i="146"/>
  <c r="J42" i="146" s="1"/>
  <c r="J44" i="146" s="1"/>
  <c r="J47" i="146" s="1"/>
  <c r="H39" i="146"/>
  <c r="F40" i="146"/>
  <c r="H27" i="146"/>
  <c r="F28" i="146"/>
  <c r="R34" i="187"/>
  <c r="R35" i="187" s="1"/>
  <c r="R53" i="187" s="1"/>
  <c r="R56" i="187" s="1"/>
  <c r="R58" i="187" s="1"/>
  <c r="AQ34" i="187"/>
  <c r="AQ35" i="187" s="1"/>
  <c r="AQ53" i="187" s="1"/>
  <c r="AQ56" i="187" s="1"/>
  <c r="AQ58" i="187" s="1"/>
  <c r="F56" i="146"/>
  <c r="Q45" i="277"/>
  <c r="P60" i="277"/>
  <c r="AS34" i="187"/>
  <c r="AS35" i="187" s="1"/>
  <c r="AS53" i="187" s="1"/>
  <c r="AO34" i="187"/>
  <c r="AO35" i="187" s="1"/>
  <c r="AO53" i="187" s="1"/>
  <c r="AK34" i="187"/>
  <c r="AK35" i="187" s="1"/>
  <c r="AK53" i="187" s="1"/>
  <c r="X34" i="187"/>
  <c r="X35" i="187" s="1"/>
  <c r="X53" i="187" s="1"/>
  <c r="T34" i="187"/>
  <c r="T35" i="187" s="1"/>
  <c r="T53" i="187" s="1"/>
  <c r="N34" i="187"/>
  <c r="N35" i="187" s="1"/>
  <c r="N53" i="187" s="1"/>
  <c r="J34" i="187"/>
  <c r="J35" i="187" s="1"/>
  <c r="J53" i="187" s="1"/>
  <c r="AU34" i="187"/>
  <c r="AU35" i="187" s="1"/>
  <c r="V34" i="187"/>
  <c r="V35" i="187" s="1"/>
  <c r="V53" i="187" s="1"/>
  <c r="L34" i="187"/>
  <c r="AM34" i="187"/>
  <c r="AM35" i="187" s="1"/>
  <c r="AM53" i="187" s="1"/>
  <c r="AI34" i="187"/>
  <c r="AI35" i="187" s="1"/>
  <c r="AI53" i="187" s="1"/>
  <c r="P34" i="187"/>
  <c r="P35" i="187" s="1"/>
  <c r="P53" i="187" s="1"/>
  <c r="F19" i="181"/>
  <c r="F20" i="181" s="1"/>
  <c r="F22" i="181" s="1"/>
  <c r="F55" i="8"/>
  <c r="D42" i="215" s="1"/>
  <c r="F57" i="187"/>
  <c r="F27" i="181"/>
  <c r="F68" i="8"/>
  <c r="J16" i="146"/>
  <c r="H16" i="146" s="1"/>
  <c r="H38" i="8"/>
  <c r="J36" i="8"/>
  <c r="AY16" i="187"/>
  <c r="AY19" i="187" s="1"/>
  <c r="AY21" i="187" s="1"/>
  <c r="AY34" i="187"/>
  <c r="AW34" i="187"/>
  <c r="H34" i="187"/>
  <c r="H35" i="187" s="1"/>
  <c r="AG34" i="187"/>
  <c r="H25" i="215"/>
  <c r="H20" i="215"/>
  <c r="H23" i="215"/>
  <c r="H21" i="215"/>
  <c r="J38" i="8" l="1"/>
  <c r="J14" i="8"/>
  <c r="F44" i="146"/>
  <c r="F47" i="146" s="1"/>
  <c r="H47" i="146" s="1"/>
  <c r="H40" i="146"/>
  <c r="F32" i="146"/>
  <c r="F35" i="146" s="1"/>
  <c r="H35" i="146" s="1"/>
  <c r="H28" i="146"/>
  <c r="P62" i="277"/>
  <c r="Q62" i="277" s="1"/>
  <c r="Q65" i="277" s="1"/>
  <c r="Q60" i="277"/>
  <c r="F28" i="181"/>
  <c r="J20" i="146"/>
  <c r="H24" i="215"/>
  <c r="J17" i="8" l="1"/>
  <c r="J23" i="146"/>
  <c r="H23" i="146" s="1"/>
  <c r="H16" i="215"/>
  <c r="J19" i="8" l="1"/>
  <c r="H49" i="187"/>
  <c r="H22" i="215"/>
  <c r="H51" i="187" l="1"/>
  <c r="H53" i="187" s="1"/>
  <c r="AW43" i="187" l="1"/>
  <c r="H41" i="8" l="1"/>
  <c r="J41" i="8" s="1"/>
  <c r="H16" i="198"/>
  <c r="AY43" i="187"/>
  <c r="J44" i="8"/>
  <c r="H17" i="215" l="1"/>
  <c r="H26" i="215" l="1"/>
  <c r="J54" i="8" l="1"/>
  <c r="H21" i="181" l="1"/>
  <c r="J21" i="181" l="1"/>
  <c r="N54" i="187" l="1"/>
  <c r="N56" i="187" s="1"/>
  <c r="N58" i="187" s="1"/>
  <c r="X54" i="187"/>
  <c r="X56" i="187" s="1"/>
  <c r="X58" i="187" s="1"/>
  <c r="AK54" i="187"/>
  <c r="AK56" i="187"/>
  <c r="AK58" i="187" s="1"/>
  <c r="H54" i="187"/>
  <c r="H56" i="187" s="1"/>
  <c r="H58" i="187" s="1"/>
  <c r="AS54" i="187"/>
  <c r="AS56" i="187" s="1"/>
  <c r="AS58" i="187" s="1"/>
  <c r="J54" i="187"/>
  <c r="J56" i="187" s="1"/>
  <c r="J58" i="187" s="1"/>
  <c r="AU54" i="187"/>
  <c r="V54" i="187"/>
  <c r="V56" i="187" s="1"/>
  <c r="V58" i="187" s="1"/>
  <c r="L54" i="187"/>
  <c r="AM54" i="187"/>
  <c r="AM56" i="187" s="1"/>
  <c r="AM58" i="187" s="1"/>
  <c r="AI54" i="187"/>
  <c r="AI56" i="187" s="1"/>
  <c r="AI58" i="187" s="1"/>
  <c r="T54" i="187"/>
  <c r="T56" i="187" s="1"/>
  <c r="T58" i="187" s="1"/>
  <c r="P54" i="187"/>
  <c r="P56" i="187" s="1"/>
  <c r="P58" i="187" s="1"/>
  <c r="AO54" i="187"/>
  <c r="AO56" i="187" s="1"/>
  <c r="AO58" i="187" s="1"/>
  <c r="P31" i="198" l="1"/>
  <c r="P35" i="198" s="1"/>
  <c r="N35" i="198" s="1"/>
  <c r="D19" i="215" s="1"/>
  <c r="N31" i="198" l="1"/>
  <c r="L22" i="187" s="1"/>
  <c r="L28" i="187" s="1"/>
  <c r="D34" i="215"/>
  <c r="H19" i="215"/>
  <c r="Z22" i="187" l="1"/>
  <c r="Z28" i="187" s="1"/>
  <c r="L30" i="187"/>
  <c r="Z30" i="187" s="1"/>
  <c r="AG30" i="187" s="1"/>
  <c r="L32" i="187"/>
  <c r="AG22" i="187" l="1"/>
  <c r="AG49" i="187"/>
  <c r="AG51" i="187" s="1"/>
  <c r="AW30" i="187"/>
  <c r="AY30" i="187" s="1"/>
  <c r="L35" i="187"/>
  <c r="L53" i="187" s="1"/>
  <c r="L56" i="187" s="1"/>
  <c r="L58" i="187" s="1"/>
  <c r="Z32" i="187"/>
  <c r="AW22" i="187"/>
  <c r="AG28" i="187"/>
  <c r="H20" i="8" l="1"/>
  <c r="AY22" i="187"/>
  <c r="AY28" i="187" s="1"/>
  <c r="AW28" i="187"/>
  <c r="Z35" i="187"/>
  <c r="Z53" i="187" s="1"/>
  <c r="Z56" i="187" s="1"/>
  <c r="AG32" i="187"/>
  <c r="AG35" i="187" l="1"/>
  <c r="AG53" i="187" s="1"/>
  <c r="AG56" i="187" s="1"/>
  <c r="AW32" i="187"/>
  <c r="H26" i="8"/>
  <c r="J20" i="8"/>
  <c r="J26" i="8" s="1"/>
  <c r="H28" i="8" l="1"/>
  <c r="D36" i="215"/>
  <c r="D37" i="215" s="1"/>
  <c r="AW35" i="187"/>
  <c r="AY32" i="187"/>
  <c r="AY35" i="187" s="1"/>
  <c r="H30" i="8" l="1"/>
  <c r="J30" i="8" s="1"/>
  <c r="J28" i="8"/>
  <c r="H14" i="181" l="1"/>
  <c r="J33" i="8"/>
  <c r="J13" i="25"/>
  <c r="H13" i="25" l="1"/>
  <c r="J15" i="25"/>
  <c r="J19" i="25" s="1"/>
  <c r="H33" i="8"/>
  <c r="J14" i="181"/>
  <c r="H16" i="181"/>
  <c r="J16" i="181" l="1"/>
  <c r="J22" i="25"/>
  <c r="J24" i="25" s="1"/>
  <c r="J26" i="25" s="1"/>
  <c r="H26" i="25" s="1"/>
  <c r="J28" i="25" l="1"/>
  <c r="H22" i="25"/>
  <c r="H28" i="25" l="1"/>
  <c r="J30" i="25"/>
  <c r="AU47" i="187" l="1"/>
  <c r="J47" i="198"/>
  <c r="H30" i="25"/>
  <c r="F32" i="215" s="1"/>
  <c r="H32" i="215" l="1"/>
  <c r="H34" i="215" s="1"/>
  <c r="D43" i="215" s="1"/>
  <c r="D44" i="215" s="1"/>
  <c r="F34" i="215"/>
  <c r="AW47" i="187"/>
  <c r="AU49" i="187"/>
  <c r="AU51" i="187" s="1"/>
  <c r="AU53" i="187" s="1"/>
  <c r="AU56" i="187" s="1"/>
  <c r="AU58" i="187" s="1"/>
  <c r="BC47" i="187"/>
  <c r="H46" i="198" l="1"/>
  <c r="J46" i="198" s="1"/>
  <c r="BD47" i="187"/>
  <c r="AY47" i="187"/>
  <c r="AY49" i="187" s="1"/>
  <c r="AY51" i="187" s="1"/>
  <c r="AY53" i="187" s="1"/>
  <c r="AY56" i="187" s="1"/>
  <c r="H45" i="8"/>
  <c r="AW49" i="187"/>
  <c r="J45" i="8" l="1"/>
  <c r="J47" i="8" s="1"/>
  <c r="J49" i="8" s="1"/>
  <c r="H47" i="8"/>
  <c r="H49" i="8" s="1"/>
  <c r="AW51" i="187"/>
  <c r="AW53" i="187" s="1"/>
  <c r="AW56" i="187" s="1"/>
  <c r="H20" i="198"/>
  <c r="F36" i="215" l="1"/>
  <c r="F37" i="215" s="1"/>
  <c r="H51" i="8"/>
  <c r="J20" i="198"/>
  <c r="N20" i="198" s="1"/>
  <c r="H29" i="198"/>
  <c r="H30" i="198" s="1"/>
  <c r="H17" i="181"/>
  <c r="J51" i="8"/>
  <c r="J53" i="8" s="1"/>
  <c r="H27" i="181" l="1"/>
  <c r="AY57" i="187"/>
  <c r="AY58" i="187" s="1"/>
  <c r="H53" i="8"/>
  <c r="J55" i="8"/>
  <c r="J17" i="181"/>
  <c r="H18" i="181"/>
  <c r="J18" i="181" l="1"/>
  <c r="H19" i="181"/>
  <c r="J57" i="8"/>
  <c r="H55" i="8"/>
  <c r="D47" i="215"/>
  <c r="D48" i="215" s="1"/>
  <c r="J27" i="181"/>
  <c r="H36" i="215"/>
  <c r="H37" i="215" s="1"/>
  <c r="H20" i="181" l="1"/>
  <c r="J19" i="181"/>
  <c r="H28" i="181"/>
  <c r="J20" i="181"/>
  <c r="J28" i="181" s="1"/>
  <c r="H22" i="181"/>
  <c r="J22" i="181" s="1"/>
</calcChain>
</file>

<file path=xl/sharedStrings.xml><?xml version="1.0" encoding="utf-8"?>
<sst xmlns="http://schemas.openxmlformats.org/spreadsheetml/2006/main" count="1841" uniqueCount="565">
  <si>
    <t>Rate of Return Calculation</t>
  </si>
  <si>
    <t>Revenue Conversion Factor</t>
  </si>
  <si>
    <t>Impact to Operating Income</t>
  </si>
  <si>
    <t>Structure</t>
  </si>
  <si>
    <t>Page 1 of 2</t>
  </si>
  <si>
    <t>Page 2 of 2</t>
  </si>
  <si>
    <t>Cost %</t>
  </si>
  <si>
    <t>Weighted</t>
  </si>
  <si>
    <t>Adjustments</t>
  </si>
  <si>
    <t>(A)</t>
  </si>
  <si>
    <t>(B)</t>
  </si>
  <si>
    <t>(C)</t>
  </si>
  <si>
    <t>(D)</t>
  </si>
  <si>
    <t>(E)</t>
  </si>
  <si>
    <t>(F)</t>
  </si>
  <si>
    <t>Total</t>
  </si>
  <si>
    <t>(in thousands)</t>
  </si>
  <si>
    <t>Description</t>
  </si>
  <si>
    <t>Line</t>
  </si>
  <si>
    <t>Company</t>
  </si>
  <si>
    <t>Adjustment</t>
  </si>
  <si>
    <t>Rate Base</t>
  </si>
  <si>
    <t>Rate of Return</t>
  </si>
  <si>
    <t>Revenue Deficiency</t>
  </si>
  <si>
    <t>Adjusted</t>
  </si>
  <si>
    <t>Amount</t>
  </si>
  <si>
    <t>Reference</t>
  </si>
  <si>
    <t>Return Requirement</t>
  </si>
  <si>
    <t>Long-Term Debt</t>
  </si>
  <si>
    <t>Federal Income Tax Rate</t>
  </si>
  <si>
    <t>Federal Taxable</t>
  </si>
  <si>
    <t>Line #</t>
  </si>
  <si>
    <t>Page 1 of 1</t>
  </si>
  <si>
    <t>Total Operating Expenses</t>
  </si>
  <si>
    <t>List of  Schedules</t>
  </si>
  <si>
    <t>Totals</t>
  </si>
  <si>
    <t>Adjustment X</t>
  </si>
  <si>
    <t>Operating Income</t>
  </si>
  <si>
    <t>Total Composite Tax rate</t>
  </si>
  <si>
    <t>Adjustment 1</t>
  </si>
  <si>
    <t>Adjustment 2</t>
  </si>
  <si>
    <t>Adjustment 3</t>
  </si>
  <si>
    <t>Adjustment 4</t>
  </si>
  <si>
    <t>Adjustment 5</t>
  </si>
  <si>
    <t>Adjustment 6</t>
  </si>
  <si>
    <t>Reference Schedule</t>
  </si>
  <si>
    <t>Adjustment 7</t>
  </si>
  <si>
    <t>Adjustment 8</t>
  </si>
  <si>
    <t>Carry</t>
  </si>
  <si>
    <t>Forward</t>
  </si>
  <si>
    <t>Adjustment 9</t>
  </si>
  <si>
    <t>Adjustment 10</t>
  </si>
  <si>
    <t>Adjustment 11</t>
  </si>
  <si>
    <t>Adjustment 12</t>
  </si>
  <si>
    <t>Adjustment 13</t>
  </si>
  <si>
    <t>Adjustment 14</t>
  </si>
  <si>
    <t>Adjustment 15</t>
  </si>
  <si>
    <t>Subtotal</t>
  </si>
  <si>
    <t>Net Operating Income</t>
  </si>
  <si>
    <t>Plant in Service</t>
  </si>
  <si>
    <t>Proposed</t>
  </si>
  <si>
    <t>Impact to Rate Base</t>
  </si>
  <si>
    <t>`</t>
  </si>
  <si>
    <t>Total Taxes</t>
  </si>
  <si>
    <t>Difference</t>
  </si>
  <si>
    <t>w/ Int Sync</t>
  </si>
  <si>
    <t>Int Sync</t>
  </si>
  <si>
    <t>w/o Int Sync</t>
  </si>
  <si>
    <t>(G)</t>
  </si>
  <si>
    <t>(H)</t>
  </si>
  <si>
    <t>Approved</t>
  </si>
  <si>
    <t>Ratemaking Adjustments</t>
  </si>
  <si>
    <t>(I)</t>
  </si>
  <si>
    <t>(J)</t>
  </si>
  <si>
    <t>Notes and Sources</t>
  </si>
  <si>
    <t xml:space="preserve">Capital </t>
  </si>
  <si>
    <t>Check</t>
  </si>
  <si>
    <t>Income Taxes</t>
  </si>
  <si>
    <t>Net Plant in Service</t>
  </si>
  <si>
    <t xml:space="preserve">Revenue Deficiency </t>
  </si>
  <si>
    <r>
      <t>Revenue Conversion Factor</t>
    </r>
    <r>
      <rPr>
        <sz val="10"/>
        <rFont val="Arial"/>
        <family val="2"/>
      </rPr>
      <t xml:space="preserve"> </t>
    </r>
  </si>
  <si>
    <t>Adjusted Net Operating Income</t>
  </si>
  <si>
    <t>Deficiency</t>
  </si>
  <si>
    <t>Company Proposed Rate of Return</t>
  </si>
  <si>
    <t>Column A: Summary Totals from Schedule 1</t>
  </si>
  <si>
    <t>Line 2: Schedule 2</t>
  </si>
  <si>
    <t>Interest Synchronization</t>
  </si>
  <si>
    <t>Total Cash Working Capital</t>
  </si>
  <si>
    <t>Schedule 3.X</t>
  </si>
  <si>
    <t>Summary of Adjustments</t>
  </si>
  <si>
    <t>Update CWC for any Changes</t>
  </si>
  <si>
    <t>DO NOT PRINT</t>
  </si>
  <si>
    <t>Cash Working Capital</t>
  </si>
  <si>
    <t>Revenues</t>
  </si>
  <si>
    <t>Expenses</t>
  </si>
  <si>
    <t>Taxes other than Income Taxes</t>
  </si>
  <si>
    <t>Total  Revenues</t>
  </si>
  <si>
    <t>ROE</t>
  </si>
  <si>
    <t>Common Equity</t>
  </si>
  <si>
    <t>Customers' Advances for Construction</t>
  </si>
  <si>
    <t>PA Income Tax</t>
  </si>
  <si>
    <t>Effect on PA Income Tax Expense</t>
  </si>
  <si>
    <t>Effect on Federal Income Tax Expense</t>
  </si>
  <si>
    <t xml:space="preserve">York Application Exhibit  </t>
  </si>
  <si>
    <t xml:space="preserve">York Response to OCA </t>
  </si>
  <si>
    <t>Schedule 3</t>
  </si>
  <si>
    <t>Percent of Request</t>
  </si>
  <si>
    <t>Recommended</t>
  </si>
  <si>
    <t>Accumulated Depreciation</t>
  </si>
  <si>
    <t>w/o int Sync</t>
  </si>
  <si>
    <t>Line 1: Schedule 1.1</t>
  </si>
  <si>
    <t xml:space="preserve">Summary Comparison of Revenue Requirement </t>
  </si>
  <si>
    <t>Debt Component of Rate of Return</t>
  </si>
  <si>
    <t>Revenue (Sufficiency) Deficiency</t>
  </si>
  <si>
    <t xml:space="preserve">Revenue (Sufficiency) Deficiency </t>
  </si>
  <si>
    <t>Tables for Testimony, DO NOT PRINT</t>
  </si>
  <si>
    <t>Bad Debt Expense</t>
  </si>
  <si>
    <t>Percent Income Before State Income Taxes</t>
  </si>
  <si>
    <t>Statutory Rate-State</t>
  </si>
  <si>
    <t>Effective Rate-State</t>
  </si>
  <si>
    <t>Percent Income Before Federal Income Taxes</t>
  </si>
  <si>
    <t>Statutory Rate-Federal</t>
  </si>
  <si>
    <t>Effective Rate-Federal</t>
  </si>
  <si>
    <t>Tax Gross Up Factor</t>
  </si>
  <si>
    <t>Kentucky Public Service Commission</t>
  </si>
  <si>
    <t>Kentucky Utilities Company</t>
  </si>
  <si>
    <t>Case No. 2018-00294</t>
  </si>
  <si>
    <t>Base Period ending December 31, 2018; Fully Forecasted Test Period ending April 30, 2020</t>
  </si>
  <si>
    <t>Revenue Requirements with OAG's Recommended Adjustments</t>
  </si>
  <si>
    <t>PSC Fees</t>
  </si>
  <si>
    <t>Short-Term Debt</t>
  </si>
  <si>
    <t xml:space="preserve">Debt Component of Rate of Return </t>
  </si>
  <si>
    <t>Property Held for Future Use</t>
  </si>
  <si>
    <t>Construction Work in Progress</t>
  </si>
  <si>
    <t>Net Plant</t>
  </si>
  <si>
    <t>Other Working Capital Allowances</t>
  </si>
  <si>
    <t>Deferred Income Tax</t>
  </si>
  <si>
    <t>Investment Tax Credits</t>
  </si>
  <si>
    <t>Other Items</t>
  </si>
  <si>
    <t>Electric Sales Revenues</t>
  </si>
  <si>
    <t>Other Operating Revenues</t>
  </si>
  <si>
    <t>O&amp;M Expenses</t>
  </si>
  <si>
    <t>Depreciation and Amortization</t>
  </si>
  <si>
    <t>Regulatory Debits</t>
  </si>
  <si>
    <t>State Income Tax</t>
  </si>
  <si>
    <t>Taxable Income for Federal Income Tax</t>
  </si>
  <si>
    <t>Federal Income Tax Expense</t>
  </si>
  <si>
    <t>Total Income Taxes</t>
  </si>
  <si>
    <t>Total Jurisdictional Rate Base</t>
  </si>
  <si>
    <t>Jurisdictional</t>
  </si>
  <si>
    <t>Adjusted Capital</t>
  </si>
  <si>
    <t>Jurisdictional Capitalization</t>
  </si>
  <si>
    <t>Average</t>
  </si>
  <si>
    <t>KU</t>
  </si>
  <si>
    <t>Solar Share and Electric Vehicle Rounding</t>
  </si>
  <si>
    <t xml:space="preserve">Revenue Increase </t>
  </si>
  <si>
    <t>Company's Revenue Request</t>
  </si>
  <si>
    <t>Recommended Rate of Return</t>
  </si>
  <si>
    <t>Recommended Adjustment</t>
  </si>
  <si>
    <t>Income Tax Effect</t>
  </si>
  <si>
    <t>Capitalization</t>
  </si>
  <si>
    <t>Rounding</t>
  </si>
  <si>
    <t>Credit Card Rebate</t>
  </si>
  <si>
    <t>Response to OAG-KU 1-084</t>
  </si>
  <si>
    <t>Used for Return Requirement</t>
  </si>
  <si>
    <t>Taxes Other Than Income Taxes</t>
  </si>
  <si>
    <t>Column A, line 1: MFR Schedue A</t>
  </si>
  <si>
    <t>Column C: Response to PSC-KU 2.065, Attachments Schedule A and Schedule C-1</t>
  </si>
  <si>
    <t>Required Return</t>
  </si>
  <si>
    <t>As Filed</t>
  </si>
  <si>
    <t>PSC-KU 2.065</t>
  </si>
  <si>
    <t>Updated ST Debt</t>
  </si>
  <si>
    <t>COC from App</t>
  </si>
  <si>
    <t>Impact to Revenue Requirments per PSC-KU 1.065</t>
  </si>
  <si>
    <t>S-T Debt amount changed</t>
  </si>
  <si>
    <t>Plant</t>
  </si>
  <si>
    <t>KU Schedule 1</t>
  </si>
  <si>
    <t>KU Schedule 1.1</t>
  </si>
  <si>
    <t>KU Schedule 1.2</t>
  </si>
  <si>
    <t>KU Schedule 2</t>
  </si>
  <si>
    <t>KU Schedule 2.1</t>
  </si>
  <si>
    <t>KU Schedule 3</t>
  </si>
  <si>
    <t>KU Schedule 3.1</t>
  </si>
  <si>
    <t>KU Schedule 3.3</t>
  </si>
  <si>
    <t>KU Schedule 3.12</t>
  </si>
  <si>
    <t>Line 1: Seelye, page 66, lines 13–15 and Exhibit WSS-14</t>
  </si>
  <si>
    <t>401(k) Match</t>
  </si>
  <si>
    <t>Response to KIUC-KU 1.060</t>
  </si>
  <si>
    <t>D&amp;O Insurance</t>
  </si>
  <si>
    <t>Schedule 1.1</t>
  </si>
  <si>
    <t>Column A, Line 15 and 17, Schedule 2</t>
  </si>
  <si>
    <t>Column A, Line 35: Testimony of Robert M. Conroy, page 11, lines 9-17</t>
  </si>
  <si>
    <t>Column A, Line 33: Schedule 1.2</t>
  </si>
  <si>
    <t>Column A, Lines 1-14: Garrett, Schedule B-1</t>
  </si>
  <si>
    <t>Column A, Lines 19-30: Garrett, Schedule C-1</t>
  </si>
  <si>
    <t>Column A: Garrett, Schedule H-1</t>
  </si>
  <si>
    <t>Line 1: Uncollectibles based on five year average net charge off % (OAG-KU DR 1.85)</t>
  </si>
  <si>
    <t>Column A and B, lines 1-4: Arbough, Schedule J-1.1/J-1.2, Page 1 (13 Month Average)</t>
  </si>
  <si>
    <t>Column A, Line 1: Response to OAG-KU 1.081</t>
  </si>
  <si>
    <t>Column B, line 3: 50% of D&amp;O Insurance</t>
  </si>
  <si>
    <t>Response to OAG-KU 1.049</t>
  </si>
  <si>
    <t>Misc. Transmission Expenses</t>
  </si>
  <si>
    <t>Column A, Line 1: Garret, KU Schedule D-1, page 4 or 8, line 72; Response to AG-KU 2.29</t>
  </si>
  <si>
    <t>Column B, Line 1: Garret, page 25, lines 13–15</t>
  </si>
  <si>
    <t>Operating Expense-Baseline Credit (Ghent facility)</t>
  </si>
  <si>
    <t xml:space="preserve">Plant Held for Future Use </t>
  </si>
  <si>
    <t>Lonesome Pine Substation-Land and Site Prep</t>
  </si>
  <si>
    <t>Column A, line 1: Garret Scheudle B-2.6</t>
  </si>
  <si>
    <t>Column B, line 1: Response to AG-KU DR 2-77</t>
  </si>
  <si>
    <t>Customer Eduction</t>
  </si>
  <si>
    <t>Column A, line 1: Response to AG-KU 1-73</t>
  </si>
  <si>
    <t>Outside Counsel</t>
  </si>
  <si>
    <t>Allocated D&amp;O Insurance</t>
  </si>
  <si>
    <t>Ratio of Coal Generation</t>
  </si>
  <si>
    <t>Column A, Line 2: Allocation between KU and LG&amp;E Electric based on Coal Generation Ratio [Filing Requirement 807 KAR 5:001 Section 16(7)(h)(7)]</t>
  </si>
  <si>
    <t>LG&amp;E</t>
  </si>
  <si>
    <t>2018 Coal GWh</t>
  </si>
  <si>
    <t>Brown 1</t>
  </si>
  <si>
    <t>Brown 2</t>
  </si>
  <si>
    <t>Brown 3</t>
  </si>
  <si>
    <t>Ghent 1</t>
  </si>
  <si>
    <t>Ghent 2</t>
  </si>
  <si>
    <t>Ghent 3</t>
  </si>
  <si>
    <t>Ghent 4</t>
  </si>
  <si>
    <t>Trimble County 2</t>
  </si>
  <si>
    <t>OVEC</t>
  </si>
  <si>
    <t>Mill Creek 1</t>
  </si>
  <si>
    <t>Mill Creek 2</t>
  </si>
  <si>
    <t>Mill Creek 3</t>
  </si>
  <si>
    <t>Mill Creek 4</t>
  </si>
  <si>
    <t>Trimble County 1</t>
  </si>
  <si>
    <t>Coal Generation GWh</t>
  </si>
  <si>
    <t>Column A, line 1: Response to AG-KU 2-52</t>
  </si>
  <si>
    <t>EEI Dues</t>
  </si>
  <si>
    <t>EPRI Dues</t>
  </si>
  <si>
    <t>Economic Development Costs</t>
  </si>
  <si>
    <t>Column A, Line 1: Response to AG-KU 2-49</t>
  </si>
  <si>
    <t>Total Company</t>
  </si>
  <si>
    <t>Allocation Factor</t>
  </si>
  <si>
    <t>Forecast Period Jurisdictional</t>
  </si>
  <si>
    <t>Average Daily Amount</t>
  </si>
  <si>
    <t>Revenue Lag Days</t>
  </si>
  <si>
    <t>Expense (Lead)/Lag Days</t>
  </si>
  <si>
    <t>Net (Lead)/Lag Days</t>
  </si>
  <si>
    <t>Working Capital (Provided)/
Required</t>
  </si>
  <si>
    <t>O&amp;M Expenses:</t>
  </si>
  <si>
    <t>Fuel:  Coal</t>
  </si>
  <si>
    <t>Fuel:  Gas</t>
  </si>
  <si>
    <t>Fuel:  Oil</t>
  </si>
  <si>
    <t>Other Non-Fuel Commodities</t>
  </si>
  <si>
    <t>Purchased Power</t>
  </si>
  <si>
    <t>Payroll Expense</t>
  </si>
  <si>
    <t>Pension Expense</t>
  </si>
  <si>
    <t>OPEB Expense</t>
  </si>
  <si>
    <t>Team Incentive Award Compensation</t>
  </si>
  <si>
    <t>401k Match Expense</t>
  </si>
  <si>
    <t>Retirement Income Account Expense</t>
  </si>
  <si>
    <t>Uncollectible Expense</t>
  </si>
  <si>
    <t>Major Storm Damage Expense</t>
  </si>
  <si>
    <t>Charges from Affiliates</t>
  </si>
  <si>
    <t>Other O&amp;M</t>
  </si>
  <si>
    <t>Total O&amp;M Expenses</t>
  </si>
  <si>
    <t>Depreciation and Amortization Expense</t>
  </si>
  <si>
    <t>Amortization of Regulatory Assets</t>
  </si>
  <si>
    <t>Amortization of Regulatory Liabilities</t>
  </si>
  <si>
    <t>Total Depreciation and Amortization Expense</t>
  </si>
  <si>
    <t>Income Tax Expense:</t>
  </si>
  <si>
    <t>Current:  Federal</t>
  </si>
  <si>
    <t>Current:  State</t>
  </si>
  <si>
    <t>Deferred:  Federal and State (Including ITC)</t>
  </si>
  <si>
    <t>Total Income Tax Expense</t>
  </si>
  <si>
    <t>Taxes Other Than Income</t>
  </si>
  <si>
    <t>Property Tax Expense</t>
  </si>
  <si>
    <t>Payroll Tax Expense</t>
  </si>
  <si>
    <t>Other Taxes</t>
  </si>
  <si>
    <t>Total Taxes Other Than Income</t>
  </si>
  <si>
    <t>AFUDC</t>
  </si>
  <si>
    <t>(Gain)/Loss on Disposition of Property</t>
  </si>
  <si>
    <t>(Gain)/Loss on Disposition of Allowances</t>
  </si>
  <si>
    <t>Charitable Donations</t>
  </si>
  <si>
    <t>Interest on Customer Deposits</t>
  </si>
  <si>
    <t>Other (Income)/Expense</t>
  </si>
  <si>
    <t>Other Interest Expense/(Income)</t>
  </si>
  <si>
    <t>Interest Expense</t>
  </si>
  <si>
    <t>Income Available for Common Equity</t>
  </si>
  <si>
    <t>Sales Taxes</t>
  </si>
  <si>
    <t>School Taxes</t>
  </si>
  <si>
    <t>Franchise Fees</t>
  </si>
  <si>
    <t>Cash Working Capital (Lead/Lag)</t>
  </si>
  <si>
    <t>Additional Cash Working Capital Items (Page 5)</t>
  </si>
  <si>
    <t>ECR Cash Working Capital (Page 6)</t>
  </si>
  <si>
    <t>Jurisdictional Cash Working Capital (Line 48 - 49)</t>
  </si>
  <si>
    <t>Employee Labor</t>
  </si>
  <si>
    <t>Contract Labor</t>
  </si>
  <si>
    <t>Materials</t>
  </si>
  <si>
    <t>Miscellaneous</t>
  </si>
  <si>
    <t>Transportation</t>
  </si>
  <si>
    <t>Total Regulatory Asset</t>
  </si>
  <si>
    <t>Amortization Period</t>
  </si>
  <si>
    <t>Annual Amortization</t>
  </si>
  <si>
    <t xml:space="preserve">Column A, lines 1–6: Case No. 2018-00304, Application datedSeptember 12, 2018, Exhibit 4 </t>
  </si>
  <si>
    <t>Slippage</t>
  </si>
  <si>
    <t>KU Schedule 3.4</t>
  </si>
  <si>
    <t>KU Schedule 3.5</t>
  </si>
  <si>
    <t>KU Schedule 3.5.1</t>
  </si>
  <si>
    <t>Cash Working Capital Workpaper</t>
  </si>
  <si>
    <t>KU Schedule 3.6</t>
  </si>
  <si>
    <t xml:space="preserve">Late Payment Credit </t>
  </si>
  <si>
    <t>Employee Retirement Plans</t>
  </si>
  <si>
    <t>KU Schedule 3.7</t>
  </si>
  <si>
    <t>KU Schedule 3.8</t>
  </si>
  <si>
    <t>Directors and Officers Liability Insurance</t>
  </si>
  <si>
    <t>KU Schedule 3.9</t>
  </si>
  <si>
    <t>Dues for EEI and EPRI</t>
  </si>
  <si>
    <t>KU Schedule 3.10</t>
  </si>
  <si>
    <t>Outside Counsel Expense</t>
  </si>
  <si>
    <t>KU Schedule 3.11</t>
  </si>
  <si>
    <t>Economic Development</t>
  </si>
  <si>
    <t>Customer Education</t>
  </si>
  <si>
    <t>KU Schedule 3.13</t>
  </si>
  <si>
    <t>Baseline ECR Beneficial Reuse Operating Expense Credit</t>
  </si>
  <si>
    <t>KU Schedule 3.14</t>
  </si>
  <si>
    <t xml:space="preserve">Merger Mitigation Depancaking </t>
  </si>
  <si>
    <t>KU Schedule 3.15</t>
  </si>
  <si>
    <t>Adjustment 16</t>
  </si>
  <si>
    <t>KU Schedule 3.16</t>
  </si>
  <si>
    <t>Amortization of Storm Damage Regulatory Asset</t>
  </si>
  <si>
    <t>Adjustment 17</t>
  </si>
  <si>
    <t>KU Schedule 3.17</t>
  </si>
  <si>
    <t xml:space="preserve">This schedule intentionally left blank to maintain numbering with other utilities. </t>
  </si>
  <si>
    <t>KU Schedule 3.2</t>
  </si>
  <si>
    <t>KU Schedule 3.18</t>
  </si>
  <si>
    <t>Adjustment 18</t>
  </si>
  <si>
    <t xml:space="preserve">Total </t>
  </si>
  <si>
    <t>Recoverable EEI Dues</t>
  </si>
  <si>
    <t>Total EEI Dues</t>
  </si>
  <si>
    <t>Jurisdictional Recoverable EEI Dues</t>
  </si>
  <si>
    <t>Recoverable (Schedule F-1)</t>
  </si>
  <si>
    <t>Non Recoverable (Schedule F-1)</t>
  </si>
  <si>
    <t>Recommended Exclusion per Commission (Order Case No. 2003-00434)</t>
  </si>
  <si>
    <t>Jurisdicitional Allocation (Schedule F-1)</t>
  </si>
  <si>
    <t>Column C, line 2: EEI Dues</t>
  </si>
  <si>
    <t>Maximum Revenue Increase</t>
  </si>
  <si>
    <t>Column A, line 7: Direct Testimony of Christopher M. Garrett, page 38, lines 16–17</t>
  </si>
  <si>
    <t>Total Regulatory Liability-Excess ADIT</t>
  </si>
  <si>
    <t>N/A</t>
  </si>
  <si>
    <t>Column B, lines 1-5: Response to KIUC-KU DR 1.65, which refers to Case No. 2018-00304, PSC-KU DR 1-8</t>
  </si>
  <si>
    <t>Line No.</t>
  </si>
  <si>
    <t>Vendor Name</t>
  </si>
  <si>
    <t>Expenditure Type</t>
  </si>
  <si>
    <t>Invoice Date</t>
  </si>
  <si>
    <t>Payment Amount</t>
  </si>
  <si>
    <t>Service Date/From</t>
  </si>
  <si>
    <t>To</t>
  </si>
  <si>
    <t>Service Lead/
Mid-Point</t>
  </si>
  <si>
    <t>KU Payment Date</t>
  </si>
  <si>
    <t>Payment Lead</t>
  </si>
  <si>
    <t>Total Lead</t>
  </si>
  <si>
    <t>Weighted 
Lead</t>
  </si>
  <si>
    <t>(1)</t>
  </si>
  <si>
    <t>(2)</t>
  </si>
  <si>
    <t>(3)</t>
  </si>
  <si>
    <t>(4)</t>
  </si>
  <si>
    <t>(5)</t>
  </si>
  <si>
    <t>(6)</t>
  </si>
  <si>
    <t>(7) = zero or (6-5)/2</t>
  </si>
  <si>
    <t>(8)</t>
  </si>
  <si>
    <t>(9)=(8-5) or (8-6)</t>
  </si>
  <si>
    <t>(10)=(7+9)</t>
  </si>
  <si>
    <t>(11)=(4*10)</t>
  </si>
  <si>
    <t>KENTUCKY PRESS SERVICE INC</t>
  </si>
  <si>
    <t>ADV - NEWSPAPER</t>
  </si>
  <si>
    <t>STANDARD AND POORS RATINGS SERVICES</t>
  </si>
  <si>
    <t>BANK SERVICE FEES</t>
  </si>
  <si>
    <t>TELEMAR USA LLC</t>
  </si>
  <si>
    <t>CELLULAR/PAGING SERVICES</t>
  </si>
  <si>
    <t>KENTUCKY STATE TREASURER</t>
  </si>
  <si>
    <t>VERIZON WIRELESS</t>
  </si>
  <si>
    <t>SICK INC</t>
  </si>
  <si>
    <t>CLOSED 02/18 - PM - OTHER</t>
  </si>
  <si>
    <t>WHAYNE SUPPLY CO</t>
  </si>
  <si>
    <t>BAE BATTERIES USA</t>
  </si>
  <si>
    <t>SERCO INC</t>
  </si>
  <si>
    <t>US BANK NATIONAL ASSOCIATION ND</t>
  </si>
  <si>
    <t>ACTUATOR SPECIALTIES</t>
  </si>
  <si>
    <t>FERGUSON ENTERPRISES INC</t>
  </si>
  <si>
    <t>NALCO COMPANY</t>
  </si>
  <si>
    <t>TOWNLEY FOUNDRY AND MACHINE CO INC</t>
  </si>
  <si>
    <t>ALRO STEEL CORP</t>
  </si>
  <si>
    <t>AIR TECHNOLOGIES</t>
  </si>
  <si>
    <t>MRC GLOBAL (US) INC.</t>
  </si>
  <si>
    <t>KONECRANES INC</t>
  </si>
  <si>
    <t>BEST ONE TIRE &amp; SVCE OF MID AMERICA</t>
  </si>
  <si>
    <t>TEGA INDUSTRIES INC</t>
  </si>
  <si>
    <t>ABELL ELEVATOR INTL</t>
  </si>
  <si>
    <t>PRO CHEM INC</t>
  </si>
  <si>
    <t>WESCO DISTRIBUTION INC</t>
  </si>
  <si>
    <t>BROWNSTOWN ELECTRIC SUPPLY CO INC</t>
  </si>
  <si>
    <t>CLOSED 02/18 - PM - SAFETY SUPPLIES</t>
  </si>
  <si>
    <t>CLOSED 02/18 - PM - SMALL TOOLS</t>
  </si>
  <si>
    <t>F AND M MAFCO INC</t>
  </si>
  <si>
    <t>CUSTOMER REFUNDS</t>
  </si>
  <si>
    <t>CUSTOMER INCENTIVE PROGRAMS</t>
  </si>
  <si>
    <t>UNITED DYNAMICS ADVANCED</t>
  </si>
  <si>
    <t>ENGINEERING SERVICES</t>
  </si>
  <si>
    <t>LEXINGTON FAYETTE URBAN</t>
  </si>
  <si>
    <t>FEES, PERMITS &amp; LICENSES</t>
  </si>
  <si>
    <t>INDIANA BAT CONSERVATION FUND (IBCF)</t>
  </si>
  <si>
    <t>AIRGAS USA LLC</t>
  </si>
  <si>
    <t>FREIGHT - OTHER</t>
  </si>
  <si>
    <t>ABB INC</t>
  </si>
  <si>
    <t>LEBANON POWER AND APPARATUS CO INC</t>
  </si>
  <si>
    <t>SCOTT GROSS CO</t>
  </si>
  <si>
    <t>UPS FREIGHT</t>
  </si>
  <si>
    <t>OTP INDUSTRIAL SOLUTIONS</t>
  </si>
  <si>
    <t>TEMCO INC</t>
  </si>
  <si>
    <t>MEALS - FULLY DEDUCTIBLE</t>
  </si>
  <si>
    <t>Liford, Jesse</t>
  </si>
  <si>
    <t>Jeffries, Brandon Tyler</t>
  </si>
  <si>
    <t>MEALS /ENTER- PARTIALLY DEDUCTIBLE</t>
  </si>
  <si>
    <t>Kirchbaum, Kip</t>
  </si>
  <si>
    <t>MERCURY MITIGATION</t>
  </si>
  <si>
    <t>Cox, Tiffany</t>
  </si>
  <si>
    <t>MILEAGE REIMBURSEMENT</t>
  </si>
  <si>
    <t>McAlister, Cathy Jo</t>
  </si>
  <si>
    <t>Bevins, Billie Jean</t>
  </si>
  <si>
    <t>Nichols, Angela Cook</t>
  </si>
  <si>
    <t>Turner, Steven B</t>
  </si>
  <si>
    <t>Taylor, Christopher Brandon</t>
  </si>
  <si>
    <t>MISCELLANEOUS</t>
  </si>
  <si>
    <t>TOWNSEND TREE SERVICE COMPANY INC</t>
  </si>
  <si>
    <t>O/S - MATERIAL &amp; EQUIPMENT (INSTALLED)</t>
  </si>
  <si>
    <t>CN UTILITY CONSULTING INC</t>
  </si>
  <si>
    <t>PHILLIPS TREE EXPERTS INC</t>
  </si>
  <si>
    <t>GENERAL INSULATION INC</t>
  </si>
  <si>
    <t>INTERNATIONAL CONVEYOR AND RUBBER LLC</t>
  </si>
  <si>
    <t>TRANS ASH INC</t>
  </si>
  <si>
    <t>LUHN AND OAK CONSTRUCTION CO INC</t>
  </si>
  <si>
    <t>PEAK INDUSTRIAL COATINGS AND LININGS INC</t>
  </si>
  <si>
    <t>INCORP INDUSTRIES LLC</t>
  </si>
  <si>
    <t>RIVERSIDE GROUP LLC</t>
  </si>
  <si>
    <t>CSS MECHANICAL</t>
  </si>
  <si>
    <t>ASPLUNDH TREE EXPERT LLC</t>
  </si>
  <si>
    <t>SUMMIT HELICOPTERS INC</t>
  </si>
  <si>
    <t>HACH COMPANY</t>
  </si>
  <si>
    <t>O/S - OTHER-LABOR-3RD PARTY</t>
  </si>
  <si>
    <t>BLACK AND VEATCH CORP</t>
  </si>
  <si>
    <t>MECHANICAL DYNAMICS AND ANALYSIS LLC</t>
  </si>
  <si>
    <t>GEOFORCE UTILITY TECHNOLOGIES</t>
  </si>
  <si>
    <t>IVEY MECHANICAL LLC</t>
  </si>
  <si>
    <t>PIC GROUP INC</t>
  </si>
  <si>
    <t>QUEST INTEGRITY USA LLC</t>
  </si>
  <si>
    <t>PRECISION COOLING TOWERS INC</t>
  </si>
  <si>
    <t>BARNHART CRANE AND RIGGING CO</t>
  </si>
  <si>
    <t>ALSTOM POWER INC</t>
  </si>
  <si>
    <t>PRECISION PRODUCTS LLC</t>
  </si>
  <si>
    <t>MPW INDUSTRIAL SERVICES INC</t>
  </si>
  <si>
    <t>INTERNATIONAL COOLING TOWER USA INC</t>
  </si>
  <si>
    <t>AMERTECH TOWER SERVICES LLC</t>
  </si>
  <si>
    <t>THE ATLANTIC GROUP INC</t>
  </si>
  <si>
    <t>ACUREN INSPECTION</t>
  </si>
  <si>
    <t>TESTEX INC</t>
  </si>
  <si>
    <t>PROFESSIONAL POWER GROUP INC</t>
  </si>
  <si>
    <t>EKATO CORP</t>
  </si>
  <si>
    <t>HYDROCARBON ENGINEERING LLC</t>
  </si>
  <si>
    <t>SIMPLEXGRINNELL LP</t>
  </si>
  <si>
    <t>RECO EQUIPMENT INC</t>
  </si>
  <si>
    <t>READY ELECTRIC CO INC</t>
  </si>
  <si>
    <t>INDUSTRIAL ALLOYS PLUS INC</t>
  </si>
  <si>
    <t>MARINE SOLUTIONS INC</t>
  </si>
  <si>
    <t>USIC LOCATING SERVICES LLC</t>
  </si>
  <si>
    <t>DAVIS H ELLIOT COMPANY INC</t>
  </si>
  <si>
    <t>EXAMINETICS INC</t>
  </si>
  <si>
    <t>O/S - PHYSICAL AND MEDICAL EXAMS</t>
  </si>
  <si>
    <t>O/S SUPPLEMENTAL CONTRACTOR</t>
  </si>
  <si>
    <t>WRIGHT TREE SERVICE INC</t>
  </si>
  <si>
    <t>CE POWER ENGINEERED SERVICES LLC</t>
  </si>
  <si>
    <t>BRAY ELECTRIC SERVICES INC</t>
  </si>
  <si>
    <t>TRU CHECK INC</t>
  </si>
  <si>
    <t>SAIIA CONSTRUCTION COMPANY LLC</t>
  </si>
  <si>
    <t>FACILITIES PERFORMANCE GROUP LLC</t>
  </si>
  <si>
    <t>PM - CHEMICALS</t>
  </si>
  <si>
    <t>UNIVAR USA INC</t>
  </si>
  <si>
    <t>ALBERT OIL CO INC</t>
  </si>
  <si>
    <t>PM - DIESEL (USED IN EQUIP)</t>
  </si>
  <si>
    <t>PM - GASOLINE</t>
  </si>
  <si>
    <t>PM - LIQUID HYDROGEN / GASES</t>
  </si>
  <si>
    <t>PM - OFFICE SUPPLIES/EQUIPMENT/FURNITURE</t>
  </si>
  <si>
    <t>PM - PROTECTIVE CLOTHING</t>
  </si>
  <si>
    <t>PURCHASED MATERIAL - GENERATION - KU</t>
  </si>
  <si>
    <t>KING FILTRATION TECHNOLOGIES INC</t>
  </si>
  <si>
    <t>PROCESS EQUIPMENT INC</t>
  </si>
  <si>
    <t>BRIAN STIGERS TRUCK SALES INC</t>
  </si>
  <si>
    <t>MOTION INDUSTRIES INC</t>
  </si>
  <si>
    <t>A AND D CONSTRUCTORS LLC</t>
  </si>
  <si>
    <t>MAGOTTEAUX INC</t>
  </si>
  <si>
    <t>FASTENAL CO</t>
  </si>
  <si>
    <t>MCNEALS INC</t>
  </si>
  <si>
    <t>PURCHASED MATERIAL - TRANS. AND DISTRIB - KU</t>
  </si>
  <si>
    <t>SIEMENS ENERGY INC</t>
  </si>
  <si>
    <t>RENTAL OTHER (NON-LEASE)</t>
  </si>
  <si>
    <t>PRAXAIR DISTRIBUTION INC</t>
  </si>
  <si>
    <t>Warren, Allison M</t>
  </si>
  <si>
    <t>TRAVEL</t>
  </si>
  <si>
    <t>Marler, David R</t>
  </si>
  <si>
    <t>CITY OF MORGANFIELD</t>
  </si>
  <si>
    <t>UTILITIES</t>
  </si>
  <si>
    <t>UTILITIES COMMISSION</t>
  </si>
  <si>
    <t>CITY OF SOMERSET UTILITIES</t>
  </si>
  <si>
    <t>WATER SERVICE CORP OF KENTUCKY</t>
  </si>
  <si>
    <t>Other O&amp;M Expense Lead</t>
  </si>
  <si>
    <t xml:space="preserve">Notes:  Sample size of 380 payments based on 95% confidence level, 5% confidence interval, and 35,447 KU payments in population.  Selected the highest 228 payment </t>
  </si>
  <si>
    <t>amounts and determined the number of payments by expenditure type for random sampling based on the % of total payments times 152 (population for random sample).</t>
  </si>
  <si>
    <t xml:space="preserve">Payment to USDA FOREST SERVICE for $68,740 covered 10 year period, which is not representative of normal operating results; thus, this payment was excluded from </t>
  </si>
  <si>
    <t>our analysis.</t>
  </si>
  <si>
    <t>ROE of 9.7%</t>
  </si>
  <si>
    <t>ROE of 9.8%</t>
  </si>
  <si>
    <t xml:space="preserve">Proxy Rate of Return </t>
  </si>
  <si>
    <t>ROE of 9.6%</t>
  </si>
  <si>
    <t>Column C, line 7: Proxy ROE from Case No. 2016-00370, Order dated June 22, 2017, page 18</t>
  </si>
  <si>
    <t>Interest Per Books</t>
  </si>
  <si>
    <t>Interest Synchronization Adjustment</t>
  </si>
  <si>
    <t>Column A: Garrett Schedule WPD-2, sheet 5 of 5</t>
  </si>
  <si>
    <t>As Filed by Company</t>
  </si>
  <si>
    <t>Column C, line 1: CWC WP</t>
  </si>
  <si>
    <t>Column C, line 2: Schedule 3.18</t>
  </si>
  <si>
    <t>Garret, Schedule B.5.2, page 4 of 6</t>
  </si>
  <si>
    <t>Column C, line 3: Schedule 3.5.1, line 24</t>
  </si>
  <si>
    <t>Effect of Proxy Cost of Capital</t>
  </si>
  <si>
    <t>Amortization of Tax Reform Regulatory Liability</t>
  </si>
  <si>
    <t>State Tax Reform</t>
  </si>
  <si>
    <t>Federal Tax Reform</t>
  </si>
  <si>
    <t>Column A, line 2: Case No. 2018-00304, Application dated September 12, 2018, Exhibit 3</t>
  </si>
  <si>
    <t>Column A, line 3: Direct Testimony of Christopher M. Garrett, page 35, lines 12–13</t>
  </si>
  <si>
    <t>State and Federal Annual Amortization</t>
  </si>
  <si>
    <t>State and Federal Total Income Taxes</t>
  </si>
  <si>
    <t>Column A, line 12: EDIT RMA Workpaper derived from Case No. 2018-00034 PSC  DR 2-1</t>
  </si>
  <si>
    <t>Update for Adjustments</t>
  </si>
  <si>
    <t>O&amp;M Expense</t>
  </si>
  <si>
    <t>Employee Retirement</t>
  </si>
  <si>
    <t>Remaining O&amp;M Expense</t>
  </si>
  <si>
    <t>Income Taxes (without Interest Synchronization)</t>
  </si>
  <si>
    <t xml:space="preserve">Interest Synchronization </t>
  </si>
  <si>
    <t>Check from Schedule 3</t>
  </si>
  <si>
    <t>Operating</t>
  </si>
  <si>
    <t>Net (Lead)/</t>
  </si>
  <si>
    <t>Lag Days</t>
  </si>
  <si>
    <t>Daily</t>
  </si>
  <si>
    <t>Steptoe &amp; Johnson LLC (Midwest Ozone Group)</t>
  </si>
  <si>
    <t>Midwest Ozone Group (MOG)</t>
  </si>
  <si>
    <t>Column A, line 1–7: Garrett, Scheudle F-1</t>
  </si>
  <si>
    <t>Utility Air Regulatory Group (UARG)</t>
  </si>
  <si>
    <t>Utility Water Act Group (UWAG)</t>
  </si>
  <si>
    <t>Utility Solid Waste Activities Group (USWAG)</t>
  </si>
  <si>
    <t>Effect of Proxy ROE on Company's  Revenue Deficiency</t>
  </si>
  <si>
    <t>(K)</t>
  </si>
  <si>
    <t xml:space="preserve">Gross-Up Conversion Factor </t>
  </si>
  <si>
    <t>Computation of Gross-Up Conversion Factor</t>
  </si>
  <si>
    <r>
      <t>Gross-Up Conversion Factor</t>
    </r>
    <r>
      <rPr>
        <sz val="10"/>
        <rFont val="Arial"/>
        <family val="2"/>
      </rPr>
      <t xml:space="preserve"> </t>
    </r>
  </si>
  <si>
    <r>
      <t>Gross-up Conversion Factor</t>
    </r>
    <r>
      <rPr>
        <sz val="10"/>
        <rFont val="Arial"/>
        <family val="2"/>
      </rPr>
      <t xml:space="preserve"> </t>
    </r>
  </si>
  <si>
    <t>Column A, lines 5–14 1: MFR Schedue C-1</t>
  </si>
  <si>
    <t xml:space="preserve">Working Capital </t>
  </si>
  <si>
    <t>Prepayments</t>
  </si>
  <si>
    <t>Column A, lines 1 and 15: Garrett, Schedule B-5, page 2 of 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</si>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</sst>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0.00000"/>
    <numFmt numFmtId="168" formatCode="0.0%"/>
    <numFmt numFmtId="169" formatCode="0.00000%"/>
    <numFmt numFmtId="170" formatCode="_(* #,##0,_);_(* \(#,##0,\);_(* &quot;-   &quot;_);_(@_)"/>
    <numFmt numFmtId="171" formatCode="0.0000%"/>
    <numFmt numFmtId="172" formatCode="_(* #,##0.0_);_(* \(#,##0.0\);_(* &quot;-&quot;??_);_(@_)"/>
    <numFmt numFmtId="173" formatCode="0.000000"/>
    <numFmt numFmtId="174" formatCode="0.0000000%"/>
    <numFmt numFmtId="175" formatCode="_(* #,##0.00_);_(* \(#,##0.00\);_(* &quot;-&quot;_);_(@_)"/>
    <numFmt numFmtId="176" formatCode="mm/dd/yyyy"/>
    <numFmt numFmtId="177" formatCode="0.00000000%"/>
    <numFmt numFmtId="178" formatCode="0.000000000"/>
    <numFmt numFmtId="179" formatCode="_(* #,##0.0000000_);_(* \(#,##0.0000000\);_(* &quot;-&quot;??_);_(@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i/>
      <sz val="9"/>
      <name val="Arial"/>
      <family val="2"/>
    </font>
    <font>
      <b/>
      <u/>
      <sz val="12"/>
      <name val="Arial"/>
      <family val="2"/>
    </font>
    <font>
      <sz val="10"/>
      <color theme="4" tint="0.59999389629810485"/>
      <name val="Arial"/>
      <family val="2"/>
    </font>
    <font>
      <i/>
      <sz val="8"/>
      <color theme="4" tint="0.59999389629810485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i/>
      <sz val="8"/>
      <color theme="3" tint="0.79998168889431442"/>
      <name val="Arial"/>
      <family val="2"/>
    </font>
    <font>
      <u/>
      <sz val="10"/>
      <name val="Arial"/>
      <family val="2"/>
    </font>
    <font>
      <sz val="10"/>
      <color theme="3" tint="0.79998168889431442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5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ont="0" applyBorder="0" applyAlignment="0" applyProtection="0"/>
    <xf numFmtId="170" fontId="3" fillId="0" borderId="0">
      <alignment wrapText="1"/>
    </xf>
    <xf numFmtId="0" fontId="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32" fillId="0" borderId="0">
      <alignment vertical="center"/>
    </xf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/>
    <xf numFmtId="0" fontId="43" fillId="0" borderId="0"/>
    <xf numFmtId="44" fontId="43" fillId="0" borderId="0" applyFont="0" applyFill="0" applyBorder="0" applyAlignment="0" applyProtection="0"/>
  </cellStyleXfs>
  <cellXfs count="4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5" fillId="0" borderId="0" xfId="0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0" fontId="0" fillId="0" borderId="1" xfId="50" applyNumberFormat="1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5" fontId="0" fillId="0" borderId="0" xfId="1" applyNumberFormat="1" applyFont="1" applyFill="1"/>
    <xf numFmtId="164" fontId="0" fillId="0" borderId="1" xfId="14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0" fillId="0" borderId="5" xfId="14" applyNumberFormat="1" applyFont="1" applyFill="1" applyBorder="1"/>
    <xf numFmtId="0" fontId="7" fillId="0" borderId="0" xfId="0" applyFont="1" applyFill="1"/>
    <xf numFmtId="0" fontId="9" fillId="0" borderId="0" xfId="0" applyFont="1" applyBorder="1"/>
    <xf numFmtId="0" fontId="10" fillId="0" borderId="0" xfId="0" applyFont="1" applyBorder="1"/>
    <xf numFmtId="167" fontId="0" fillId="0" borderId="1" xfId="0" applyNumberFormat="1" applyFill="1" applyBorder="1"/>
    <xf numFmtId="42" fontId="9" fillId="0" borderId="0" xfId="14" applyNumberFormat="1" applyFont="1" applyFill="1" applyBorder="1"/>
    <xf numFmtId="0" fontId="9" fillId="0" borderId="0" xfId="0" applyFont="1" applyFill="1"/>
    <xf numFmtId="10" fontId="0" fillId="0" borderId="0" xfId="0" applyNumberFormat="1" applyFill="1"/>
    <xf numFmtId="164" fontId="0" fillId="0" borderId="0" xfId="0" applyNumberFormat="1" applyFill="1" applyBorder="1"/>
    <xf numFmtId="0" fontId="12" fillId="0" borderId="0" xfId="0" applyFont="1" applyFill="1" applyAlignment="1"/>
    <xf numFmtId="5" fontId="0" fillId="0" borderId="0" xfId="0" applyNumberFormat="1" applyBorder="1"/>
    <xf numFmtId="7" fontId="0" fillId="0" borderId="0" xfId="0" applyNumberForma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5" fontId="3" fillId="0" borderId="0" xfId="1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165" fontId="0" fillId="0" borderId="0" xfId="1" applyNumberFormat="1" applyFont="1" applyFill="1" applyBorder="1"/>
    <xf numFmtId="10" fontId="0" fillId="0" borderId="0" xfId="50" applyNumberFormat="1" applyFont="1" applyFill="1" applyBorder="1"/>
    <xf numFmtId="164" fontId="0" fillId="0" borderId="0" xfId="14" applyNumberFormat="1" applyFont="1" applyFill="1" applyBorder="1"/>
    <xf numFmtId="164" fontId="0" fillId="0" borderId="0" xfId="14" applyNumberFormat="1" applyFont="1" applyFill="1"/>
    <xf numFmtId="164" fontId="0" fillId="0" borderId="4" xfId="0" applyNumberFormat="1" applyFill="1" applyBorder="1"/>
    <xf numFmtId="165" fontId="3" fillId="0" borderId="0" xfId="1" applyNumberFormat="1" applyFont="1" applyFill="1" applyAlignment="1">
      <alignment horizontal="right"/>
    </xf>
    <xf numFmtId="0" fontId="0" fillId="0" borderId="0" xfId="0" applyFont="1" applyFill="1"/>
    <xf numFmtId="0" fontId="5" fillId="0" borderId="3" xfId="0" applyFont="1" applyFill="1" applyBorder="1" applyAlignment="1">
      <alignment horizontal="center"/>
    </xf>
    <xf numFmtId="164" fontId="0" fillId="0" borderId="1" xfId="0" applyNumberFormat="1" applyFill="1" applyBorder="1"/>
    <xf numFmtId="42" fontId="9" fillId="0" borderId="5" xfId="14" applyNumberFormat="1" applyFont="1" applyFill="1" applyBorder="1"/>
    <xf numFmtId="9" fontId="9" fillId="0" borderId="1" xfId="14" applyNumberFormat="1" applyFont="1" applyFill="1" applyBorder="1"/>
    <xf numFmtId="165" fontId="9" fillId="0" borderId="0" xfId="1" applyNumberFormat="1" applyFont="1" applyFill="1" applyBorder="1"/>
    <xf numFmtId="165" fontId="10" fillId="0" borderId="0" xfId="1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6" xfId="0" applyNumberFormat="1" applyFill="1" applyBorder="1"/>
    <xf numFmtId="0" fontId="0" fillId="0" borderId="1" xfId="0" applyBorder="1"/>
    <xf numFmtId="164" fontId="3" fillId="0" borderId="0" xfId="14" applyNumberFormat="1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24" fillId="2" borderId="0" xfId="0" applyFont="1" applyFill="1"/>
    <xf numFmtId="0" fontId="18" fillId="0" borderId="0" xfId="64" applyFill="1" applyAlignment="1" applyProtection="1"/>
    <xf numFmtId="0" fontId="11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164" fontId="0" fillId="0" borderId="4" xfId="14" applyNumberFormat="1" applyFont="1" applyFill="1" applyBorder="1"/>
    <xf numFmtId="0" fontId="0" fillId="0" borderId="0" xfId="0" applyFont="1" applyFill="1" applyAlignment="1">
      <alignment horizontal="left" indent="2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 indent="1"/>
    </xf>
    <xf numFmtId="164" fontId="23" fillId="0" borderId="0" xfId="0" applyNumberFormat="1" applyFont="1" applyFill="1" applyBorder="1"/>
    <xf numFmtId="168" fontId="0" fillId="0" borderId="0" xfId="50" applyNumberFormat="1" applyFont="1" applyFill="1"/>
    <xf numFmtId="0" fontId="0" fillId="0" borderId="0" xfId="0" applyFont="1" applyFill="1" applyAlignment="1">
      <alignment horizontal="right" indent="1"/>
    </xf>
    <xf numFmtId="165" fontId="3" fillId="0" borderId="8" xfId="1" applyNumberFormat="1" applyFont="1" applyBorder="1" applyAlignment="1">
      <alignment horizontal="right"/>
    </xf>
    <xf numFmtId="165" fontId="3" fillId="0" borderId="1" xfId="1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10" fontId="9" fillId="0" borderId="1" xfId="14" applyNumberFormat="1" applyFont="1" applyFill="1" applyBorder="1"/>
    <xf numFmtId="0" fontId="0" fillId="0" borderId="0" xfId="0" applyFill="1" applyAlignment="1">
      <alignment horizontal="left" indent="1"/>
    </xf>
    <xf numFmtId="0" fontId="28" fillId="0" borderId="0" xfId="0" applyFont="1" applyFill="1"/>
    <xf numFmtId="0" fontId="29" fillId="2" borderId="3" xfId="0" applyFont="1" applyFill="1" applyBorder="1" applyAlignment="1">
      <alignment horizontal="center" wrapText="1"/>
    </xf>
    <xf numFmtId="0" fontId="24" fillId="0" borderId="0" xfId="0" applyFont="1" applyFill="1"/>
    <xf numFmtId="0" fontId="6" fillId="0" borderId="0" xfId="0" applyFont="1" applyFill="1"/>
    <xf numFmtId="0" fontId="5" fillId="0" borderId="7" xfId="0" applyFont="1" applyFill="1" applyBorder="1" applyAlignment="1">
      <alignment horizontal="center"/>
    </xf>
    <xf numFmtId="169" fontId="0" fillId="0" borderId="0" xfId="50" applyNumberFormat="1" applyFont="1" applyFill="1" applyBorder="1"/>
    <xf numFmtId="165" fontId="13" fillId="0" borderId="0" xfId="1" applyNumberFormat="1" applyFont="1" applyFill="1" applyBorder="1"/>
    <xf numFmtId="167" fontId="0" fillId="0" borderId="0" xfId="0" applyNumberFormat="1" applyFill="1" applyBorder="1"/>
    <xf numFmtId="167" fontId="0" fillId="0" borderId="0" xfId="0" applyNumberFormat="1" applyFill="1"/>
    <xf numFmtId="0" fontId="23" fillId="0" borderId="0" xfId="0" applyFont="1" applyFill="1" applyAlignment="1">
      <alignment horizontal="right"/>
    </xf>
    <xf numFmtId="165" fontId="23" fillId="0" borderId="0" xfId="1" applyNumberFormat="1" applyFont="1" applyFill="1"/>
    <xf numFmtId="10" fontId="0" fillId="0" borderId="0" xfId="50" applyNumberFormat="1" applyFont="1" applyFill="1"/>
    <xf numFmtId="0" fontId="9" fillId="0" borderId="0" xfId="0" applyFont="1" applyFill="1" applyBorder="1"/>
    <xf numFmtId="41" fontId="9" fillId="0" borderId="0" xfId="1" applyNumberFormat="1" applyFont="1" applyFill="1" applyBorder="1"/>
    <xf numFmtId="0" fontId="6" fillId="0" borderId="0" xfId="0" applyFont="1" applyFill="1" applyBorder="1"/>
    <xf numFmtId="10" fontId="9" fillId="0" borderId="0" xfId="50" applyNumberFormat="1" applyFont="1" applyFill="1" applyBorder="1"/>
    <xf numFmtId="0" fontId="9" fillId="0" borderId="0" xfId="0" applyFont="1" applyFill="1" applyAlignment="1">
      <alignment horizontal="center"/>
    </xf>
    <xf numFmtId="10" fontId="9" fillId="0" borderId="2" xfId="50" applyNumberFormat="1" applyFont="1" applyFill="1" applyBorder="1"/>
    <xf numFmtId="42" fontId="0" fillId="0" borderId="0" xfId="0" applyNumberFormat="1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/>
    <xf numFmtId="42" fontId="9" fillId="0" borderId="3" xfId="14" applyNumberFormat="1" applyFont="1" applyFill="1" applyBorder="1"/>
    <xf numFmtId="0" fontId="0" fillId="0" borderId="3" xfId="0" applyFill="1" applyBorder="1"/>
    <xf numFmtId="0" fontId="9" fillId="0" borderId="0" xfId="0" applyFont="1" applyFill="1" applyBorder="1" applyAlignment="1">
      <alignment horizontal="center"/>
    </xf>
    <xf numFmtId="41" fontId="9" fillId="0" borderId="0" xfId="12" applyNumberFormat="1" applyFont="1" applyFill="1" applyBorder="1"/>
    <xf numFmtId="165" fontId="0" fillId="0" borderId="0" xfId="12" applyNumberFormat="1" applyFont="1" applyFill="1"/>
    <xf numFmtId="42" fontId="9" fillId="0" borderId="0" xfId="26" applyNumberFormat="1" applyFont="1" applyFill="1" applyBorder="1"/>
    <xf numFmtId="0" fontId="5" fillId="0" borderId="1" xfId="0" applyFont="1" applyFill="1" applyBorder="1" applyAlignment="1">
      <alignment horizontal="left"/>
    </xf>
    <xf numFmtId="10" fontId="0" fillId="0" borderId="1" xfId="0" applyNumberFormat="1" applyFill="1" applyBorder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5" fontId="24" fillId="2" borderId="0" xfId="1" applyNumberFormat="1" applyFont="1" applyFill="1"/>
    <xf numFmtId="165" fontId="0" fillId="0" borderId="1" xfId="1" applyNumberFormat="1" applyFont="1" applyFill="1" applyBorder="1" applyAlignment="1">
      <alignment vertical="center"/>
    </xf>
    <xf numFmtId="165" fontId="0" fillId="0" borderId="1" xfId="0" applyNumberForma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3" fillId="0" borderId="0" xfId="14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5" fillId="0" borderId="5" xfId="0" applyNumberFormat="1" applyFont="1" applyFill="1" applyBorder="1"/>
    <xf numFmtId="164" fontId="3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0" xfId="0" applyFont="1" applyFill="1"/>
    <xf numFmtId="41" fontId="20" fillId="0" borderId="0" xfId="1" applyNumberFormat="1" applyFont="1" applyFill="1"/>
    <xf numFmtId="0" fontId="4" fillId="0" borderId="0" xfId="0" applyFont="1" applyFill="1"/>
    <xf numFmtId="42" fontId="4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0" fillId="0" borderId="0" xfId="14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6" fillId="0" borderId="0" xfId="0" applyFont="1" applyFill="1"/>
    <xf numFmtId="165" fontId="11" fillId="0" borderId="0" xfId="1" applyNumberFormat="1" applyFont="1" applyFill="1" applyBorder="1"/>
    <xf numFmtId="0" fontId="10" fillId="0" borderId="0" xfId="0" applyFont="1" applyFill="1" applyBorder="1"/>
    <xf numFmtId="42" fontId="9" fillId="0" borderId="6" xfId="14" applyNumberFormat="1" applyFont="1" applyFill="1" applyBorder="1"/>
    <xf numFmtId="5" fontId="0" fillId="0" borderId="0" xfId="0" applyNumberFormat="1" applyFill="1" applyBorder="1"/>
    <xf numFmtId="7" fontId="0" fillId="0" borderId="0" xfId="0" applyNumberFormat="1" applyFill="1"/>
    <xf numFmtId="0" fontId="26" fillId="0" borderId="0" xfId="0" applyFont="1" applyFill="1" applyAlignment="1">
      <alignment horizontal="left"/>
    </xf>
    <xf numFmtId="10" fontId="3" fillId="0" borderId="1" xfId="5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3" fillId="0" borderId="0" xfId="14" applyNumberFormat="1" applyFont="1" applyFill="1" applyAlignment="1">
      <alignment horizontal="center"/>
    </xf>
    <xf numFmtId="164" fontId="3" fillId="0" borderId="0" xfId="14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64" fontId="24" fillId="2" borderId="0" xfId="14" applyNumberFormat="1" applyFont="1" applyFill="1"/>
    <xf numFmtId="164" fontId="24" fillId="2" borderId="2" xfId="14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0" fillId="0" borderId="0" xfId="9" applyNumberFormat="1" applyFont="1" applyFill="1" applyBorder="1"/>
    <xf numFmtId="14" fontId="0" fillId="0" borderId="0" xfId="0" applyNumberFormat="1" applyFill="1" applyBorder="1"/>
    <xf numFmtId="0" fontId="28" fillId="0" borderId="0" xfId="0" applyFont="1"/>
    <xf numFmtId="10" fontId="24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3" fillId="0" borderId="0" xfId="50" applyNumberFormat="1" applyFont="1" applyFill="1" applyBorder="1" applyAlignment="1">
      <alignment horizontal="right"/>
    </xf>
    <xf numFmtId="43" fontId="24" fillId="0" borderId="0" xfId="1" applyFont="1" applyFill="1"/>
    <xf numFmtId="0" fontId="24" fillId="0" borderId="0" xfId="0" applyFont="1" applyFill="1" applyAlignment="1">
      <alignment horizontal="left"/>
    </xf>
    <xf numFmtId="165" fontId="24" fillId="0" borderId="0" xfId="1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24" fillId="2" borderId="0" xfId="0" applyFont="1" applyFill="1" applyAlignment="1"/>
    <xf numFmtId="0" fontId="24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 wrapText="1"/>
    </xf>
    <xf numFmtId="0" fontId="24" fillId="2" borderId="0" xfId="0" applyNumberFormat="1" applyFont="1" applyFill="1"/>
    <xf numFmtId="164" fontId="24" fillId="2" borderId="0" xfId="0" applyNumberFormat="1" applyFont="1" applyFill="1"/>
    <xf numFmtId="164" fontId="24" fillId="2" borderId="2" xfId="0" applyNumberFormat="1" applyFont="1" applyFill="1" applyBorder="1"/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23" fillId="0" borderId="1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164" fontId="3" fillId="0" borderId="1" xfId="14" applyNumberFormat="1" applyFont="1" applyFill="1" applyBorder="1" applyAlignment="1">
      <alignment horizontal="right"/>
    </xf>
    <xf numFmtId="164" fontId="3" fillId="0" borderId="6" xfId="14" applyNumberFormat="1" applyFont="1" applyFill="1" applyBorder="1" applyAlignment="1">
      <alignment horizontal="right"/>
    </xf>
    <xf numFmtId="164" fontId="3" fillId="0" borderId="0" xfId="14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9" fillId="0" borderId="5" xfId="14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41" fontId="20" fillId="3" borderId="9" xfId="0" applyNumberFormat="1" applyFont="1" applyFill="1" applyBorder="1"/>
    <xf numFmtId="0" fontId="5" fillId="0" borderId="0" xfId="0" applyFont="1" applyFill="1" applyAlignment="1">
      <alignment horizontal="center"/>
    </xf>
    <xf numFmtId="164" fontId="3" fillId="0" borderId="0" xfId="0" applyNumberFormat="1" applyFont="1"/>
    <xf numFmtId="0" fontId="9" fillId="0" borderId="0" xfId="0" applyFont="1" applyFill="1" applyBorder="1" applyAlignment="1">
      <alignment horizontal="left" indent="1"/>
    </xf>
    <xf numFmtId="165" fontId="0" fillId="0" borderId="0" xfId="0" applyNumberFormat="1" applyFill="1"/>
    <xf numFmtId="164" fontId="24" fillId="0" borderId="0" xfId="0" applyNumberFormat="1" applyFont="1" applyFill="1"/>
    <xf numFmtId="165" fontId="24" fillId="0" borderId="0" xfId="0" applyNumberFormat="1" applyFont="1" applyFill="1"/>
    <xf numFmtId="0" fontId="29" fillId="2" borderId="0" xfId="0" applyFont="1" applyFill="1" applyBorder="1" applyAlignment="1">
      <alignment horizontal="center" wrapText="1"/>
    </xf>
    <xf numFmtId="165" fontId="33" fillId="2" borderId="0" xfId="1" applyNumberFormat="1" applyFont="1" applyFill="1" applyAlignment="1">
      <alignment horizontal="right"/>
    </xf>
    <xf numFmtId="165" fontId="27" fillId="2" borderId="0" xfId="1" applyNumberFormat="1" applyFont="1" applyFill="1" applyAlignment="1">
      <alignment horizontal="right"/>
    </xf>
    <xf numFmtId="165" fontId="27" fillId="2" borderId="0" xfId="1" applyNumberFormat="1" applyFont="1" applyFill="1"/>
    <xf numFmtId="0" fontId="27" fillId="2" borderId="0" xfId="0" applyFont="1" applyFill="1"/>
    <xf numFmtId="0" fontId="0" fillId="2" borderId="0" xfId="0" applyFill="1"/>
    <xf numFmtId="165" fontId="24" fillId="2" borderId="1" xfId="1" applyNumberFormat="1" applyFont="1" applyFill="1" applyBorder="1"/>
    <xf numFmtId="0" fontId="35" fillId="0" borderId="0" xfId="0" applyFont="1" applyFill="1" applyAlignment="1">
      <alignment horizontal="left"/>
    </xf>
    <xf numFmtId="165" fontId="36" fillId="0" borderId="0" xfId="1" applyNumberFormat="1" applyFont="1" applyFill="1" applyAlignment="1">
      <alignment horizontal="right"/>
    </xf>
    <xf numFmtId="165" fontId="36" fillId="0" borderId="0" xfId="1" applyNumberFormat="1" applyFont="1" applyFill="1" applyAlignment="1">
      <alignment horizontal="left"/>
    </xf>
    <xf numFmtId="0" fontId="31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left"/>
    </xf>
    <xf numFmtId="10" fontId="3" fillId="0" borderId="1" xfId="0" applyNumberFormat="1" applyFont="1" applyFill="1" applyBorder="1" applyAlignment="1">
      <alignment horizontal="right"/>
    </xf>
    <xf numFmtId="171" fontId="3" fillId="0" borderId="0" xfId="0" applyNumberFormat="1" applyFont="1" applyFill="1"/>
    <xf numFmtId="173" fontId="3" fillId="0" borderId="6" xfId="0" applyNumberFormat="1" applyFont="1" applyFill="1" applyBorder="1"/>
    <xf numFmtId="0" fontId="38" fillId="0" borderId="0" xfId="0" applyFont="1" applyAlignment="1">
      <alignment horizontal="center" vertical="top"/>
    </xf>
    <xf numFmtId="10" fontId="3" fillId="0" borderId="0" xfId="50" applyNumberFormat="1" applyFont="1" applyFill="1" applyBorder="1" applyAlignment="1">
      <alignment vertical="top"/>
    </xf>
    <xf numFmtId="10" fontId="3" fillId="0" borderId="1" xfId="50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/>
    <xf numFmtId="173" fontId="3" fillId="0" borderId="0" xfId="0" applyNumberFormat="1" applyFont="1" applyFill="1" applyBorder="1"/>
    <xf numFmtId="10" fontId="3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5" fillId="0" borderId="0" xfId="0" applyFont="1" applyFill="1"/>
    <xf numFmtId="165" fontId="36" fillId="0" borderId="0" xfId="1" applyNumberFormat="1" applyFont="1" applyFill="1"/>
    <xf numFmtId="0" fontId="38" fillId="0" borderId="0" xfId="0" applyFont="1"/>
    <xf numFmtId="43" fontId="0" fillId="0" borderId="0" xfId="1" applyFont="1" applyFill="1"/>
    <xf numFmtId="10" fontId="9" fillId="0" borderId="0" xfId="1" applyNumberFormat="1" applyFont="1" applyFill="1" applyBorder="1"/>
    <xf numFmtId="9" fontId="0" fillId="0" borderId="0" xfId="50" applyFont="1" applyFill="1"/>
    <xf numFmtId="10" fontId="9" fillId="0" borderId="6" xfId="50" applyNumberFormat="1" applyFont="1" applyFill="1" applyBorder="1"/>
    <xf numFmtId="10" fontId="0" fillId="0" borderId="2" xfId="0" applyNumberFormat="1" applyFill="1" applyBorder="1"/>
    <xf numFmtId="166" fontId="0" fillId="0" borderId="0" xfId="50" applyNumberFormat="1" applyFont="1" applyFill="1" applyBorder="1"/>
    <xf numFmtId="173" fontId="0" fillId="0" borderId="1" xfId="0" applyNumberFormat="1" applyFill="1" applyBorder="1"/>
    <xf numFmtId="173" fontId="0" fillId="0" borderId="0" xfId="0" applyNumberFormat="1" applyFill="1" applyBorder="1"/>
    <xf numFmtId="173" fontId="0" fillId="0" borderId="0" xfId="0" applyNumberForma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165" fontId="39" fillId="0" borderId="0" xfId="1" applyNumberFormat="1" applyFont="1" applyFill="1"/>
    <xf numFmtId="164" fontId="39" fillId="0" borderId="0" xfId="0" applyNumberFormat="1" applyFont="1" applyFill="1"/>
    <xf numFmtId="164" fontId="3" fillId="0" borderId="0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Fill="1" applyBorder="1"/>
    <xf numFmtId="165" fontId="9" fillId="0" borderId="2" xfId="0" applyNumberFormat="1" applyFont="1" applyFill="1" applyBorder="1"/>
    <xf numFmtId="0" fontId="29" fillId="2" borderId="3" xfId="0" applyFont="1" applyFill="1" applyBorder="1" applyAlignment="1">
      <alignment horizontal="center"/>
    </xf>
    <xf numFmtId="0" fontId="33" fillId="2" borderId="0" xfId="0" applyFont="1" applyFill="1" applyAlignment="1">
      <alignment horizontal="right"/>
    </xf>
    <xf numFmtId="0" fontId="20" fillId="2" borderId="0" xfId="0" applyFont="1" applyFill="1"/>
    <xf numFmtId="0" fontId="3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2" xfId="14" applyNumberFormat="1" applyFont="1" applyFill="1" applyBorder="1" applyAlignment="1">
      <alignment horizontal="left"/>
    </xf>
    <xf numFmtId="0" fontId="29" fillId="0" borderId="0" xfId="0" applyFont="1" applyFill="1"/>
    <xf numFmtId="0" fontId="34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9" fillId="0" borderId="6" xfId="14" applyNumberFormat="1" applyFont="1" applyFill="1" applyBorder="1"/>
    <xf numFmtId="164" fontId="10" fillId="0" borderId="0" xfId="1" applyNumberFormat="1" applyFont="1" applyFill="1" applyBorder="1"/>
    <xf numFmtId="0" fontId="33" fillId="0" borderId="0" xfId="0" applyFont="1" applyFill="1" applyAlignment="1">
      <alignment horizontal="right" inden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3" fillId="0" borderId="0" xfId="1" applyNumberFormat="1" applyFont="1" applyBorder="1"/>
    <xf numFmtId="164" fontId="3" fillId="0" borderId="4" xfId="0" applyNumberFormat="1" applyFont="1" applyBorder="1"/>
    <xf numFmtId="165" fontId="3" fillId="0" borderId="6" xfId="1" applyNumberFormat="1" applyFont="1" applyFill="1" applyBorder="1" applyAlignment="1">
      <alignment horizontal="right"/>
    </xf>
    <xf numFmtId="164" fontId="3" fillId="0" borderId="5" xfId="14" applyNumberFormat="1" applyFont="1" applyFill="1" applyBorder="1" applyAlignment="1">
      <alignment horizontal="right"/>
    </xf>
    <xf numFmtId="164" fontId="10" fillId="0" borderId="5" xfId="14" applyNumberFormat="1" applyFont="1" applyFill="1" applyBorder="1"/>
    <xf numFmtId="42" fontId="10" fillId="0" borderId="5" xfId="14" applyNumberFormat="1" applyFont="1" applyFill="1" applyBorder="1"/>
    <xf numFmtId="165" fontId="5" fillId="0" borderId="0" xfId="1" applyNumberFormat="1" applyFont="1" applyFill="1" applyBorder="1"/>
    <xf numFmtId="168" fontId="0" fillId="0" borderId="0" xfId="50" applyNumberFormat="1" applyFont="1" applyFill="1" applyBorder="1"/>
    <xf numFmtId="165" fontId="33" fillId="0" borderId="0" xfId="1" applyNumberFormat="1" applyFont="1" applyFill="1"/>
    <xf numFmtId="164" fontId="3" fillId="0" borderId="6" xfId="0" applyNumberFormat="1" applyFont="1" applyBorder="1"/>
    <xf numFmtId="10" fontId="3" fillId="0" borderId="0" xfId="50" applyNumberFormat="1" applyFont="1" applyFill="1" applyAlignment="1">
      <alignment horizontal="right"/>
    </xf>
    <xf numFmtId="0" fontId="3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9" fillId="0" borderId="0" xfId="14" applyNumberFormat="1" applyFont="1" applyFill="1" applyBorder="1"/>
    <xf numFmtId="164" fontId="3" fillId="0" borderId="0" xfId="0" applyNumberFormat="1" applyFont="1" applyFill="1"/>
    <xf numFmtId="164" fontId="3" fillId="0" borderId="2" xfId="0" applyNumberFormat="1" applyFont="1" applyFill="1" applyBorder="1"/>
    <xf numFmtId="164" fontId="3" fillId="0" borderId="2" xfId="0" applyNumberFormat="1" applyFont="1" applyBorder="1"/>
    <xf numFmtId="174" fontId="3" fillId="0" borderId="0" xfId="50" applyNumberFormat="1" applyFont="1" applyFill="1" applyAlignment="1">
      <alignment horizontal="right"/>
    </xf>
    <xf numFmtId="174" fontId="3" fillId="4" borderId="0" xfId="50" applyNumberFormat="1" applyFont="1" applyFill="1" applyAlignment="1">
      <alignment horizontal="right"/>
    </xf>
    <xf numFmtId="0" fontId="41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4" fontId="3" fillId="0" borderId="0" xfId="0" applyNumberFormat="1" applyFont="1"/>
    <xf numFmtId="164" fontId="3" fillId="0" borderId="0" xfId="1" applyNumberFormat="1" applyFont="1" applyFill="1" applyAlignment="1">
      <alignment horizontal="right"/>
    </xf>
    <xf numFmtId="44" fontId="9" fillId="0" borderId="5" xfId="14" applyNumberFormat="1" applyFont="1" applyFill="1" applyBorder="1"/>
    <xf numFmtId="44" fontId="9" fillId="0" borderId="0" xfId="14" applyNumberFormat="1" applyFont="1" applyFill="1" applyBorder="1"/>
    <xf numFmtId="0" fontId="5" fillId="0" borderId="0" xfId="0" applyFont="1" applyFill="1" applyBorder="1" applyAlignment="1">
      <alignment horizontal="left"/>
    </xf>
    <xf numFmtId="168" fontId="3" fillId="0" borderId="1" xfId="50" applyNumberFormat="1" applyFont="1" applyFill="1" applyBorder="1" applyAlignment="1">
      <alignment horizontal="right"/>
    </xf>
    <xf numFmtId="165" fontId="0" fillId="0" borderId="2" xfId="0" applyNumberFormat="1" applyFill="1" applyBorder="1"/>
    <xf numFmtId="168" fontId="0" fillId="0" borderId="2" xfId="50" applyNumberFormat="1" applyFont="1" applyFill="1" applyBorder="1"/>
    <xf numFmtId="165" fontId="0" fillId="0" borderId="2" xfId="1" applyNumberFormat="1" applyFont="1" applyFill="1" applyBorder="1"/>
    <xf numFmtId="165" fontId="3" fillId="0" borderId="1" xfId="1" applyNumberFormat="1" applyFont="1" applyBorder="1"/>
    <xf numFmtId="0" fontId="3" fillId="0" borderId="0" xfId="1203" applyFont="1" applyFill="1" applyAlignment="1">
      <alignment horizontal="center"/>
    </xf>
    <xf numFmtId="0" fontId="3" fillId="0" borderId="0" xfId="1203" applyFont="1" applyFill="1"/>
    <xf numFmtId="41" fontId="3" fillId="0" borderId="0" xfId="1203" applyNumberFormat="1" applyFont="1" applyFill="1"/>
    <xf numFmtId="10" fontId="3" fillId="0" borderId="0" xfId="1203" applyNumberFormat="1" applyFont="1" applyFill="1"/>
    <xf numFmtId="175" fontId="3" fillId="0" borderId="0" xfId="1203" applyNumberFormat="1" applyFont="1" applyFill="1"/>
    <xf numFmtId="0" fontId="3" fillId="0" borderId="0" xfId="1203" applyFont="1" applyFill="1" applyAlignment="1">
      <alignment horizontal="left" indent="1"/>
    </xf>
    <xf numFmtId="164" fontId="3" fillId="0" borderId="0" xfId="1204" applyNumberFormat="1" applyFont="1" applyFill="1" applyAlignment="1">
      <alignment horizontal="left"/>
    </xf>
    <xf numFmtId="41" fontId="3" fillId="0" borderId="0" xfId="1203" applyNumberFormat="1" applyFont="1" applyFill="1" applyAlignment="1">
      <alignment horizontal="left" indent="1"/>
    </xf>
    <xf numFmtId="166" fontId="3" fillId="0" borderId="0" xfId="1203" applyNumberFormat="1" applyFont="1" applyFill="1" applyAlignment="1">
      <alignment horizontal="right"/>
    </xf>
    <xf numFmtId="10" fontId="3" fillId="0" borderId="0" xfId="1203" applyNumberFormat="1" applyFont="1" applyFill="1" applyAlignment="1">
      <alignment horizontal="right"/>
    </xf>
    <xf numFmtId="164" fontId="3" fillId="0" borderId="0" xfId="1204" applyNumberFormat="1" applyFont="1" applyFill="1"/>
    <xf numFmtId="164" fontId="3" fillId="0" borderId="0" xfId="1204" applyNumberFormat="1" applyFont="1" applyFill="1" applyBorder="1" applyAlignment="1">
      <alignment horizontal="left"/>
    </xf>
    <xf numFmtId="164" fontId="3" fillId="0" borderId="1" xfId="1204" applyNumberFormat="1" applyFont="1" applyFill="1" applyBorder="1" applyAlignment="1">
      <alignment horizontal="left"/>
    </xf>
    <xf numFmtId="41" fontId="3" fillId="0" borderId="0" xfId="1203" applyNumberFormat="1" applyFont="1" applyFill="1" applyBorder="1"/>
    <xf numFmtId="164" fontId="3" fillId="0" borderId="0" xfId="1204" applyNumberFormat="1" applyFont="1" applyFill="1" applyBorder="1"/>
    <xf numFmtId="164" fontId="3" fillId="0" borderId="1" xfId="1204" applyNumberFormat="1" applyFont="1" applyFill="1" applyBorder="1"/>
    <xf numFmtId="0" fontId="3" fillId="0" borderId="0" xfId="1203" applyFont="1" applyFill="1" applyAlignment="1">
      <alignment horizontal="left" indent="2"/>
    </xf>
    <xf numFmtId="41" fontId="3" fillId="0" borderId="0" xfId="1203" applyNumberFormat="1" applyFont="1" applyFill="1" applyAlignment="1">
      <alignment horizontal="left" indent="2"/>
    </xf>
    <xf numFmtId="41" fontId="3" fillId="0" borderId="0" xfId="1204" applyNumberFormat="1" applyFont="1" applyFill="1" applyAlignment="1">
      <alignment horizontal="right"/>
    </xf>
    <xf numFmtId="164" fontId="3" fillId="0" borderId="0" xfId="1203" applyNumberFormat="1" applyFont="1" applyFill="1"/>
    <xf numFmtId="164" fontId="3" fillId="0" borderId="0" xfId="1204" applyNumberFormat="1" applyFont="1" applyFill="1" applyAlignment="1">
      <alignment horizontal="left" indent="1"/>
    </xf>
    <xf numFmtId="164" fontId="3" fillId="0" borderId="8" xfId="1204" applyNumberFormat="1" applyFont="1" applyFill="1" applyBorder="1" applyAlignment="1">
      <alignment horizontal="left"/>
    </xf>
    <xf numFmtId="41" fontId="3" fillId="0" borderId="0" xfId="1203" applyNumberFormat="1" applyFont="1" applyFill="1" applyAlignment="1">
      <alignment horizontal="left"/>
    </xf>
    <xf numFmtId="41" fontId="3" fillId="0" borderId="0" xfId="1203" applyNumberFormat="1" applyFont="1" applyFill="1" applyBorder="1" applyAlignment="1">
      <alignment horizontal="left" indent="1"/>
    </xf>
    <xf numFmtId="44" fontId="3" fillId="0" borderId="0" xfId="1204" applyNumberFormat="1" applyFont="1" applyFill="1"/>
    <xf numFmtId="164" fontId="3" fillId="0" borderId="5" xfId="1204" applyNumberFormat="1" applyFont="1" applyFill="1" applyBorder="1"/>
    <xf numFmtId="165" fontId="3" fillId="0" borderId="0" xfId="1" applyNumberFormat="1" applyFont="1" applyFill="1" applyAlignment="1">
      <alignment horizontal="center"/>
    </xf>
    <xf numFmtId="172" fontId="3" fillId="0" borderId="1" xfId="1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0" fillId="0" borderId="0" xfId="0" applyNumberFormat="1" applyFill="1" applyBorder="1"/>
    <xf numFmtId="164" fontId="0" fillId="0" borderId="6" xfId="14" applyNumberFormat="1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164" fontId="3" fillId="0" borderId="1" xfId="0" applyNumberFormat="1" applyFont="1" applyBorder="1"/>
    <xf numFmtId="0" fontId="6" fillId="0" borderId="0" xfId="0" applyFont="1" applyFill="1" applyAlignment="1">
      <alignment horizontal="left"/>
    </xf>
    <xf numFmtId="10" fontId="9" fillId="4" borderId="0" xfId="50" applyNumberFormat="1" applyFont="1" applyFill="1" applyBorder="1"/>
    <xf numFmtId="0" fontId="0" fillId="0" borderId="0" xfId="0" applyFill="1" applyBorder="1" applyAlignment="1">
      <alignment horizontal="center"/>
    </xf>
    <xf numFmtId="165" fontId="11" fillId="0" borderId="1" xfId="1" applyNumberFormat="1" applyFont="1" applyFill="1" applyBorder="1"/>
    <xf numFmtId="164" fontId="11" fillId="0" borderId="0" xfId="14" applyNumberFormat="1" applyFont="1" applyFill="1" applyBorder="1"/>
    <xf numFmtId="0" fontId="5" fillId="0" borderId="0" xfId="1202" applyFont="1" applyFill="1" applyBorder="1" applyAlignment="1">
      <alignment horizontal="left" wrapText="1"/>
    </xf>
    <xf numFmtId="0" fontId="5" fillId="0" borderId="3" xfId="1202" applyFont="1" applyFill="1" applyBorder="1" applyAlignment="1">
      <alignment horizontal="center" wrapText="1"/>
    </xf>
    <xf numFmtId="175" fontId="3" fillId="4" borderId="6" xfId="1203" applyNumberFormat="1" applyFont="1" applyFill="1" applyBorder="1"/>
    <xf numFmtId="0" fontId="20" fillId="0" borderId="0" xfId="0" applyFont="1" applyFill="1" applyBorder="1"/>
    <xf numFmtId="41" fontId="20" fillId="0" borderId="0" xfId="1" applyNumberFormat="1" applyFont="1" applyFill="1" applyBorder="1"/>
    <xf numFmtId="165" fontId="20" fillId="0" borderId="0" xfId="1" applyNumberFormat="1" applyFont="1" applyFill="1" applyBorder="1"/>
    <xf numFmtId="41" fontId="20" fillId="0" borderId="0" xfId="0" applyNumberFormat="1" applyFont="1" applyFill="1" applyBorder="1"/>
    <xf numFmtId="0" fontId="23" fillId="0" borderId="0" xfId="0" applyFont="1" applyFill="1" applyBorder="1" applyAlignment="1">
      <alignment horizontal="right"/>
    </xf>
    <xf numFmtId="0" fontId="4" fillId="0" borderId="0" xfId="0" applyFont="1" applyFill="1" applyBorder="1"/>
    <xf numFmtId="42" fontId="4" fillId="0" borderId="0" xfId="0" applyNumberFormat="1" applyFont="1" applyFill="1" applyBorder="1"/>
    <xf numFmtId="0" fontId="44" fillId="0" borderId="0" xfId="0" applyFont="1"/>
    <xf numFmtId="0" fontId="45" fillId="0" borderId="0" xfId="0" applyFont="1" applyFill="1"/>
    <xf numFmtId="165" fontId="3" fillId="0" borderId="0" xfId="0" applyNumberFormat="1" applyFont="1" applyFill="1"/>
    <xf numFmtId="0" fontId="3" fillId="0" borderId="0" xfId="0" applyFont="1"/>
    <xf numFmtId="165" fontId="3" fillId="0" borderId="0" xfId="0" applyNumberFormat="1" applyFont="1"/>
    <xf numFmtId="0" fontId="3" fillId="5" borderId="0" xfId="0" applyFont="1" applyFill="1"/>
    <xf numFmtId="165" fontId="47" fillId="0" borderId="0" xfId="101" applyNumberFormat="1" applyFont="1" applyBorder="1" applyAlignment="1">
      <alignment horizontal="center" wrapText="1"/>
    </xf>
    <xf numFmtId="165" fontId="47" fillId="0" borderId="0" xfId="101" applyNumberFormat="1" applyFont="1" applyFill="1" applyBorder="1" applyAlignment="1">
      <alignment horizontal="center" wrapText="1"/>
    </xf>
    <xf numFmtId="165" fontId="47" fillId="5" borderId="0" xfId="101" applyNumberFormat="1" applyFont="1" applyFill="1" applyBorder="1" applyAlignment="1">
      <alignment horizontal="center" wrapText="1"/>
    </xf>
    <xf numFmtId="0" fontId="46" fillId="0" borderId="0" xfId="101" applyFont="1" applyBorder="1"/>
    <xf numFmtId="0" fontId="46" fillId="0" borderId="0" xfId="101" quotePrefix="1" applyFont="1" applyBorder="1" applyAlignment="1">
      <alignment horizontal="center" vertical="top"/>
    </xf>
    <xf numFmtId="165" fontId="46" fillId="0" borderId="0" xfId="101" quotePrefix="1" applyNumberFormat="1" applyFont="1" applyBorder="1" applyAlignment="1">
      <alignment horizontal="center" vertical="top"/>
    </xf>
    <xf numFmtId="0" fontId="46" fillId="0" borderId="0" xfId="101" quotePrefix="1" applyFont="1" applyBorder="1" applyAlignment="1">
      <alignment horizontal="center" vertical="top" wrapText="1"/>
    </xf>
    <xf numFmtId="43" fontId="5" fillId="0" borderId="0" xfId="9" quotePrefix="1" applyFont="1" applyFill="1" applyAlignment="1">
      <alignment horizontal="center" vertical="top"/>
    </xf>
    <xf numFmtId="0" fontId="3" fillId="0" borderId="0" xfId="101" applyFont="1" applyBorder="1"/>
    <xf numFmtId="0" fontId="3" fillId="0" borderId="0" xfId="101" applyFont="1" applyBorder="1" applyAlignment="1">
      <alignment horizontal="center"/>
    </xf>
    <xf numFmtId="165" fontId="3" fillId="0" borderId="0" xfId="101" applyNumberFormat="1" applyFont="1" applyBorder="1" applyAlignment="1">
      <alignment horizontal="center"/>
    </xf>
    <xf numFmtId="0" fontId="3" fillId="0" borderId="0" xfId="101" applyFont="1" applyFill="1" applyBorder="1" applyAlignment="1">
      <alignment horizontal="center"/>
    </xf>
    <xf numFmtId="0" fontId="3" fillId="0" borderId="0" xfId="101" applyFont="1" applyAlignment="1">
      <alignment horizontal="center"/>
    </xf>
    <xf numFmtId="0" fontId="48" fillId="6" borderId="0" xfId="101" applyFont="1" applyFill="1"/>
    <xf numFmtId="176" fontId="48" fillId="6" borderId="0" xfId="101" applyNumberFormat="1" applyFont="1" applyFill="1" applyAlignment="1">
      <alignment horizontal="center"/>
    </xf>
    <xf numFmtId="164" fontId="48" fillId="6" borderId="0" xfId="1204" applyNumberFormat="1" applyFont="1" applyFill="1"/>
    <xf numFmtId="43" fontId="3" fillId="0" borderId="0" xfId="1" applyNumberFormat="1" applyFont="1" applyAlignment="1">
      <alignment horizontal="center"/>
    </xf>
    <xf numFmtId="43" fontId="3" fillId="0" borderId="0" xfId="1" applyFont="1" applyFill="1"/>
    <xf numFmtId="172" fontId="3" fillId="5" borderId="0" xfId="1" applyNumberFormat="1" applyFont="1" applyFill="1"/>
    <xf numFmtId="165" fontId="3" fillId="5" borderId="0" xfId="1" applyNumberFormat="1" applyFont="1" applyFill="1"/>
    <xf numFmtId="0" fontId="3" fillId="0" borderId="0" xfId="101" applyFont="1"/>
    <xf numFmtId="165" fontId="3" fillId="0" borderId="0" xfId="101" applyNumberFormat="1" applyFont="1"/>
    <xf numFmtId="164" fontId="3" fillId="0" borderId="2" xfId="1204" applyNumberFormat="1" applyFont="1" applyBorder="1"/>
    <xf numFmtId="164" fontId="3" fillId="5" borderId="2" xfId="1204" applyNumberFormat="1" applyFont="1" applyFill="1" applyBorder="1"/>
    <xf numFmtId="165" fontId="3" fillId="5" borderId="0" xfId="101" applyNumberFormat="1" applyFont="1" applyFill="1"/>
    <xf numFmtId="43" fontId="5" fillId="0" borderId="5" xfId="101" applyNumberFormat="1" applyFont="1" applyFill="1" applyBorder="1"/>
    <xf numFmtId="43" fontId="5" fillId="5" borderId="5" xfId="101" applyNumberFormat="1" applyFont="1" applyFill="1" applyBorder="1"/>
    <xf numFmtId="0" fontId="46" fillId="0" borderId="3" xfId="0" applyFont="1" applyBorder="1" applyAlignment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 indent="1"/>
    </xf>
    <xf numFmtId="165" fontId="0" fillId="0" borderId="0" xfId="0" applyNumberFormat="1" applyFill="1" applyBorder="1"/>
    <xf numFmtId="0" fontId="3" fillId="0" borderId="1" xfId="0" applyFont="1" applyFill="1" applyBorder="1" applyAlignment="1">
      <alignment horizontal="center"/>
    </xf>
    <xf numFmtId="177" fontId="24" fillId="2" borderId="0" xfId="0" applyNumberFormat="1" applyFont="1" applyFill="1"/>
    <xf numFmtId="178" fontId="24" fillId="2" borderId="0" xfId="0" applyNumberFormat="1" applyFont="1" applyFill="1"/>
    <xf numFmtId="0" fontId="3" fillId="0" borderId="0" xfId="57" applyFont="1" applyFill="1" applyAlignment="1">
      <alignment horizontal="left"/>
    </xf>
    <xf numFmtId="0" fontId="5" fillId="0" borderId="0" xfId="57" applyFont="1" applyFill="1" applyAlignment="1">
      <alignment horizontal="center"/>
    </xf>
    <xf numFmtId="164" fontId="3" fillId="0" borderId="0" xfId="122" applyNumberFormat="1" applyFont="1" applyFill="1" applyAlignment="1">
      <alignment horizontal="center"/>
    </xf>
    <xf numFmtId="0" fontId="3" fillId="0" borderId="0" xfId="57" applyFont="1" applyFill="1"/>
    <xf numFmtId="172" fontId="3" fillId="0" borderId="1" xfId="58" applyNumberFormat="1" applyFont="1" applyFill="1" applyBorder="1" applyAlignment="1">
      <alignment horizontal="center"/>
    </xf>
    <xf numFmtId="172" fontId="5" fillId="0" borderId="0" xfId="57" applyNumberFormat="1" applyFont="1" applyFill="1" applyAlignment="1">
      <alignment horizontal="center"/>
    </xf>
    <xf numFmtId="164" fontId="3" fillId="0" borderId="0" xfId="57" applyNumberFormat="1" applyFont="1"/>
    <xf numFmtId="164" fontId="3" fillId="0" borderId="0" xfId="122" applyNumberFormat="1" applyFont="1" applyFill="1" applyAlignment="1">
      <alignment horizontal="right"/>
    </xf>
    <xf numFmtId="165" fontId="3" fillId="0" borderId="0" xfId="58" applyNumberFormat="1" applyFont="1" applyFill="1" applyAlignment="1">
      <alignment horizontal="right"/>
    </xf>
    <xf numFmtId="0" fontId="9" fillId="0" borderId="0" xfId="57" applyFont="1" applyFill="1"/>
    <xf numFmtId="10" fontId="2" fillId="0" borderId="0" xfId="57" applyNumberFormat="1" applyFill="1"/>
    <xf numFmtId="42" fontId="9" fillId="0" borderId="5" xfId="122" applyNumberFormat="1" applyFont="1" applyFill="1" applyBorder="1"/>
    <xf numFmtId="0" fontId="2" fillId="0" borderId="0" xfId="57" applyFill="1" applyBorder="1"/>
    <xf numFmtId="165" fontId="0" fillId="0" borderId="0" xfId="58" applyNumberFormat="1" applyFont="1" applyFill="1" applyBorder="1"/>
    <xf numFmtId="42" fontId="9" fillId="0" borderId="0" xfId="122" applyNumberFormat="1" applyFont="1" applyFill="1" applyBorder="1"/>
    <xf numFmtId="0" fontId="2" fillId="0" borderId="0" xfId="57" applyFill="1"/>
    <xf numFmtId="0" fontId="9" fillId="0" borderId="0" xfId="57" applyFont="1" applyFill="1" applyBorder="1"/>
    <xf numFmtId="0" fontId="10" fillId="0" borderId="0" xfId="57" applyFont="1" applyFill="1" applyBorder="1"/>
    <xf numFmtId="165" fontId="9" fillId="0" borderId="0" xfId="58" applyNumberFormat="1" applyFont="1" applyFill="1" applyBorder="1"/>
    <xf numFmtId="165" fontId="10" fillId="0" borderId="0" xfId="58" applyNumberFormat="1" applyFont="1" applyFill="1" applyBorder="1"/>
    <xf numFmtId="172" fontId="3" fillId="0" borderId="0" xfId="1" applyNumberFormat="1" applyFont="1" applyFill="1" applyBorder="1" applyAlignment="1">
      <alignment horizontal="center"/>
    </xf>
    <xf numFmtId="164" fontId="3" fillId="0" borderId="9" xfId="14" applyNumberFormat="1" applyFont="1" applyFill="1" applyBorder="1" applyAlignment="1">
      <alignment horizontal="right"/>
    </xf>
    <xf numFmtId="42" fontId="9" fillId="0" borderId="9" xfId="14" applyNumberFormat="1" applyFont="1" applyFill="1" applyBorder="1"/>
    <xf numFmtId="172" fontId="3" fillId="0" borderId="0" xfId="58" applyNumberFormat="1" applyFont="1" applyFill="1" applyBorder="1" applyAlignment="1">
      <alignment horizontal="center"/>
    </xf>
    <xf numFmtId="164" fontId="3" fillId="0" borderId="9" xfId="122" applyNumberFormat="1" applyFont="1" applyFill="1" applyBorder="1" applyAlignment="1">
      <alignment horizontal="right"/>
    </xf>
    <xf numFmtId="42" fontId="9" fillId="0" borderId="9" xfId="122" applyNumberFormat="1" applyFont="1" applyFill="1" applyBorder="1"/>
    <xf numFmtId="164" fontId="5" fillId="0" borderId="6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>
      <alignment horizontal="center"/>
    </xf>
    <xf numFmtId="10" fontId="9" fillId="0" borderId="1" xfId="122" applyNumberFormat="1" applyFont="1" applyFill="1" applyBorder="1"/>
    <xf numFmtId="9" fontId="9" fillId="0" borderId="1" xfId="122" applyNumberFormat="1" applyFont="1" applyFill="1" applyBorder="1"/>
    <xf numFmtId="0" fontId="40" fillId="0" borderId="0" xfId="0" applyFont="1" applyFill="1" applyAlignment="1">
      <alignment horizontal="left"/>
    </xf>
    <xf numFmtId="179" fontId="0" fillId="0" borderId="0" xfId="1" applyNumberFormat="1" applyFont="1" applyFill="1"/>
    <xf numFmtId="164" fontId="3" fillId="0" borderId="1" xfId="14" applyNumberFormat="1" applyFont="1" applyFill="1" applyBorder="1" applyAlignment="1">
      <alignment horizontal="left"/>
    </xf>
    <xf numFmtId="165" fontId="23" fillId="0" borderId="0" xfId="1" applyNumberFormat="1" applyFont="1" applyFill="1" applyAlignment="1">
      <alignment horizontal="left"/>
    </xf>
    <xf numFmtId="41" fontId="3" fillId="3" borderId="9" xfId="0" applyNumberFormat="1" applyFont="1" applyFill="1" applyBorder="1"/>
    <xf numFmtId="43" fontId="3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/>
    <xf numFmtId="164" fontId="3" fillId="0" borderId="0" xfId="14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 indent="1"/>
    </xf>
    <xf numFmtId="0" fontId="46" fillId="0" borderId="0" xfId="0" applyFont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1205">
    <cellStyle name="Comma" xfId="1" builtinId="3"/>
    <cellStyle name="Comma 10" xfId="172" xr:uid="{00000000-0005-0000-0000-000001000000}"/>
    <cellStyle name="Comma 2" xfId="58" xr:uid="{00000000-0005-0000-0000-000002000000}"/>
    <cellStyle name="Comma 2 2" xfId="165" xr:uid="{00000000-0005-0000-0000-000003000000}"/>
    <cellStyle name="Comma 3" xfId="2" xr:uid="{00000000-0005-0000-0000-000004000000}"/>
    <cellStyle name="Comma 3 2" xfId="3" xr:uid="{00000000-0005-0000-0000-000005000000}"/>
    <cellStyle name="Comma 3 2 2" xfId="110" xr:uid="{00000000-0005-0000-0000-000006000000}"/>
    <cellStyle name="Comma 3 3" xfId="4" xr:uid="{00000000-0005-0000-0000-000007000000}"/>
    <cellStyle name="Comma 3 3 2" xfId="111" xr:uid="{00000000-0005-0000-0000-000008000000}"/>
    <cellStyle name="Comma 3 4" xfId="5" xr:uid="{00000000-0005-0000-0000-000009000000}"/>
    <cellStyle name="Comma 3 4 2" xfId="112" xr:uid="{00000000-0005-0000-0000-00000A000000}"/>
    <cellStyle name="Comma 3 5" xfId="6" xr:uid="{00000000-0005-0000-0000-00000B000000}"/>
    <cellStyle name="Comma 3 5 2" xfId="113" xr:uid="{00000000-0005-0000-0000-00000C000000}"/>
    <cellStyle name="Comma 3 6" xfId="7" xr:uid="{00000000-0005-0000-0000-00000D000000}"/>
    <cellStyle name="Comma 3 6 2" xfId="114" xr:uid="{00000000-0005-0000-0000-00000E000000}"/>
    <cellStyle name="Comma 3 7" xfId="8" xr:uid="{00000000-0005-0000-0000-00000F000000}"/>
    <cellStyle name="Comma 3 7 2" xfId="115" xr:uid="{00000000-0005-0000-0000-000010000000}"/>
    <cellStyle name="Comma 3 8" xfId="109" xr:uid="{00000000-0005-0000-0000-000011000000}"/>
    <cellStyle name="Comma 4" xfId="9" xr:uid="{00000000-0005-0000-0000-000012000000}"/>
    <cellStyle name="Comma 4 2" xfId="10" xr:uid="{00000000-0005-0000-0000-000013000000}"/>
    <cellStyle name="Comma 4 2 2" xfId="117" xr:uid="{00000000-0005-0000-0000-000014000000}"/>
    <cellStyle name="Comma 4 3" xfId="11" xr:uid="{00000000-0005-0000-0000-000015000000}"/>
    <cellStyle name="Comma 4 3 2" xfId="118" xr:uid="{00000000-0005-0000-0000-000016000000}"/>
    <cellStyle name="Comma 4 4" xfId="116" xr:uid="{00000000-0005-0000-0000-000017000000}"/>
    <cellStyle name="Comma 5" xfId="12" xr:uid="{00000000-0005-0000-0000-000018000000}"/>
    <cellStyle name="Comma 5 2" xfId="119" xr:uid="{00000000-0005-0000-0000-000019000000}"/>
    <cellStyle name="Comma 6" xfId="13" xr:uid="{00000000-0005-0000-0000-00001A000000}"/>
    <cellStyle name="Comma 6 2" xfId="120" xr:uid="{00000000-0005-0000-0000-00001B000000}"/>
    <cellStyle name="Comma 7" xfId="61" xr:uid="{00000000-0005-0000-0000-00001C000000}"/>
    <cellStyle name="Comma 7 2" xfId="168" xr:uid="{00000000-0005-0000-0000-00001D000000}"/>
    <cellStyle name="Comma 8" xfId="108" xr:uid="{00000000-0005-0000-0000-00001E000000}"/>
    <cellStyle name="Comma 9" xfId="105" xr:uid="{00000000-0005-0000-0000-00001F000000}"/>
    <cellStyle name="Currency" xfId="14" builtinId="4"/>
    <cellStyle name="Currency 164 2" xfId="1204" xr:uid="{5B707008-4F3D-8946-A21C-26C5965F7CDE}"/>
    <cellStyle name="Currency 2" xfId="59" xr:uid="{00000000-0005-0000-0000-000021000000}"/>
    <cellStyle name="Currency 2 2" xfId="15" xr:uid="{00000000-0005-0000-0000-000022000000}"/>
    <cellStyle name="Currency 2 2 2" xfId="122" xr:uid="{00000000-0005-0000-0000-000023000000}"/>
    <cellStyle name="Currency 2 3" xfId="16" xr:uid="{00000000-0005-0000-0000-000024000000}"/>
    <cellStyle name="Currency 2 3 2" xfId="123" xr:uid="{00000000-0005-0000-0000-000025000000}"/>
    <cellStyle name="Currency 2 4" xfId="166" xr:uid="{00000000-0005-0000-0000-000026000000}"/>
    <cellStyle name="Currency 3" xfId="121" xr:uid="{00000000-0005-0000-0000-000027000000}"/>
    <cellStyle name="Currency 38 2" xfId="17" xr:uid="{00000000-0005-0000-0000-000028000000}"/>
    <cellStyle name="Currency 38 2 2" xfId="124" xr:uid="{00000000-0005-0000-0000-000029000000}"/>
    <cellStyle name="Currency 38 3" xfId="18" xr:uid="{00000000-0005-0000-0000-00002A000000}"/>
    <cellStyle name="Currency 38 3 2" xfId="125" xr:uid="{00000000-0005-0000-0000-00002B000000}"/>
    <cellStyle name="Currency 38 4" xfId="19" xr:uid="{00000000-0005-0000-0000-00002C000000}"/>
    <cellStyle name="Currency 38 4 2" xfId="126" xr:uid="{00000000-0005-0000-0000-00002D000000}"/>
    <cellStyle name="Currency 38 5" xfId="20" xr:uid="{00000000-0005-0000-0000-00002E000000}"/>
    <cellStyle name="Currency 38 5 2" xfId="127" xr:uid="{00000000-0005-0000-0000-00002F000000}"/>
    <cellStyle name="Currency 38 6" xfId="21" xr:uid="{00000000-0005-0000-0000-000030000000}"/>
    <cellStyle name="Currency 38 6 2" xfId="128" xr:uid="{00000000-0005-0000-0000-000031000000}"/>
    <cellStyle name="Currency 38 7" xfId="22" xr:uid="{00000000-0005-0000-0000-000032000000}"/>
    <cellStyle name="Currency 38 7 2" xfId="129" xr:uid="{00000000-0005-0000-0000-000033000000}"/>
    <cellStyle name="Currency 4" xfId="106" xr:uid="{00000000-0005-0000-0000-000034000000}"/>
    <cellStyle name="Currency 40" xfId="23" xr:uid="{00000000-0005-0000-0000-000035000000}"/>
    <cellStyle name="Currency 40 2" xfId="24" xr:uid="{00000000-0005-0000-0000-000036000000}"/>
    <cellStyle name="Currency 40 2 2" xfId="131" xr:uid="{00000000-0005-0000-0000-000037000000}"/>
    <cellStyle name="Currency 40 3" xfId="25" xr:uid="{00000000-0005-0000-0000-000038000000}"/>
    <cellStyle name="Currency 40 3 2" xfId="132" xr:uid="{00000000-0005-0000-0000-000039000000}"/>
    <cellStyle name="Currency 40 4" xfId="130" xr:uid="{00000000-0005-0000-0000-00003A000000}"/>
    <cellStyle name="Currency 41" xfId="26" xr:uid="{00000000-0005-0000-0000-00003B000000}"/>
    <cellStyle name="Currency 41 2" xfId="133" xr:uid="{00000000-0005-0000-0000-00003C000000}"/>
    <cellStyle name="Currency 42" xfId="27" xr:uid="{00000000-0005-0000-0000-00003D000000}"/>
    <cellStyle name="Currency 42 2" xfId="134" xr:uid="{00000000-0005-0000-0000-00003E000000}"/>
    <cellStyle name="Currency 43" xfId="28" xr:uid="{00000000-0005-0000-0000-00003F000000}"/>
    <cellStyle name="Currency 43 2" xfId="135" xr:uid="{00000000-0005-0000-0000-000040000000}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Hyperlink" xfId="64" builtinId="8"/>
    <cellStyle name="Normal" xfId="0" builtinId="0"/>
    <cellStyle name="Normal 2" xfId="57" xr:uid="{00000000-0005-0000-0000-00006A040000}"/>
    <cellStyle name="Normal 2 2" xfId="29" xr:uid="{00000000-0005-0000-0000-00006B040000}"/>
    <cellStyle name="Normal 2 2 2" xfId="136" xr:uid="{00000000-0005-0000-0000-00006C040000}"/>
    <cellStyle name="Normal 2 3" xfId="30" xr:uid="{00000000-0005-0000-0000-00006D040000}"/>
    <cellStyle name="Normal 2 3 2" xfId="137" xr:uid="{00000000-0005-0000-0000-00006E040000}"/>
    <cellStyle name="Normal 2 4" xfId="164" xr:uid="{00000000-0005-0000-0000-00006F040000}"/>
    <cellStyle name="Normal 3" xfId="63" xr:uid="{00000000-0005-0000-0000-000070040000}"/>
    <cellStyle name="Normal 37" xfId="31" xr:uid="{00000000-0005-0000-0000-000071040000}"/>
    <cellStyle name="Normal 37 2" xfId="32" xr:uid="{00000000-0005-0000-0000-000072040000}"/>
    <cellStyle name="Normal 37 2 2" xfId="139" xr:uid="{00000000-0005-0000-0000-000073040000}"/>
    <cellStyle name="Normal 37 3" xfId="33" xr:uid="{00000000-0005-0000-0000-000074040000}"/>
    <cellStyle name="Normal 37 3 2" xfId="140" xr:uid="{00000000-0005-0000-0000-000075040000}"/>
    <cellStyle name="Normal 37 4" xfId="34" xr:uid="{00000000-0005-0000-0000-000076040000}"/>
    <cellStyle name="Normal 37 4 2" xfId="141" xr:uid="{00000000-0005-0000-0000-000077040000}"/>
    <cellStyle name="Normal 37 5" xfId="35" xr:uid="{00000000-0005-0000-0000-000078040000}"/>
    <cellStyle name="Normal 37 5 2" xfId="142" xr:uid="{00000000-0005-0000-0000-000079040000}"/>
    <cellStyle name="Normal 37 6" xfId="36" xr:uid="{00000000-0005-0000-0000-00007A040000}"/>
    <cellStyle name="Normal 37 6 2" xfId="143" xr:uid="{00000000-0005-0000-0000-00007B040000}"/>
    <cellStyle name="Normal 37 7" xfId="37" xr:uid="{00000000-0005-0000-0000-00007C040000}"/>
    <cellStyle name="Normal 37 7 2" xfId="144" xr:uid="{00000000-0005-0000-0000-00007D040000}"/>
    <cellStyle name="Normal 37 8" xfId="138" xr:uid="{00000000-0005-0000-0000-00007E040000}"/>
    <cellStyle name="Normal 38" xfId="38" xr:uid="{00000000-0005-0000-0000-00007F040000}"/>
    <cellStyle name="Normal 38 2" xfId="39" xr:uid="{00000000-0005-0000-0000-000080040000}"/>
    <cellStyle name="Normal 38 2 2" xfId="146" xr:uid="{00000000-0005-0000-0000-000081040000}"/>
    <cellStyle name="Normal 38 3" xfId="40" xr:uid="{00000000-0005-0000-0000-000082040000}"/>
    <cellStyle name="Normal 38 3 2" xfId="147" xr:uid="{00000000-0005-0000-0000-000083040000}"/>
    <cellStyle name="Normal 38 4" xfId="41" xr:uid="{00000000-0005-0000-0000-000084040000}"/>
    <cellStyle name="Normal 38 4 2" xfId="148" xr:uid="{00000000-0005-0000-0000-000085040000}"/>
    <cellStyle name="Normal 38 5" xfId="42" xr:uid="{00000000-0005-0000-0000-000086040000}"/>
    <cellStyle name="Normal 38 5 2" xfId="149" xr:uid="{00000000-0005-0000-0000-000087040000}"/>
    <cellStyle name="Normal 38 6" xfId="43" xr:uid="{00000000-0005-0000-0000-000088040000}"/>
    <cellStyle name="Normal 38 6 2" xfId="150" xr:uid="{00000000-0005-0000-0000-000089040000}"/>
    <cellStyle name="Normal 38 7" xfId="44" xr:uid="{00000000-0005-0000-0000-00008A040000}"/>
    <cellStyle name="Normal 38 7 2" xfId="151" xr:uid="{00000000-0005-0000-0000-00008B040000}"/>
    <cellStyle name="Normal 38 8" xfId="145" xr:uid="{00000000-0005-0000-0000-00008C040000}"/>
    <cellStyle name="Normal 4" xfId="101" xr:uid="{00000000-0005-0000-0000-00008D040000}"/>
    <cellStyle name="Normal 4 2" xfId="170" xr:uid="{00000000-0005-0000-0000-00008E040000}"/>
    <cellStyle name="Normal 40" xfId="45" xr:uid="{00000000-0005-0000-0000-00008F040000}"/>
    <cellStyle name="Normal 40 2" xfId="46" xr:uid="{00000000-0005-0000-0000-000090040000}"/>
    <cellStyle name="Normal 40 2 2" xfId="153" xr:uid="{00000000-0005-0000-0000-000091040000}"/>
    <cellStyle name="Normal 40 3" xfId="47" xr:uid="{00000000-0005-0000-0000-000092040000}"/>
    <cellStyle name="Normal 40 3 2" xfId="154" xr:uid="{00000000-0005-0000-0000-000093040000}"/>
    <cellStyle name="Normal 40 4" xfId="152" xr:uid="{00000000-0005-0000-0000-000094040000}"/>
    <cellStyle name="Normal 41" xfId="48" xr:uid="{00000000-0005-0000-0000-000095040000}"/>
    <cellStyle name="Normal 41 2" xfId="155" xr:uid="{00000000-0005-0000-0000-000096040000}"/>
    <cellStyle name="Normal 42" xfId="49" xr:uid="{00000000-0005-0000-0000-000097040000}"/>
    <cellStyle name="Normal 42 2" xfId="156" xr:uid="{00000000-0005-0000-0000-000098040000}"/>
    <cellStyle name="Normal 48" xfId="1202" xr:uid="{F76593A6-3ACB-F645-996B-38197010F857}"/>
    <cellStyle name="Normal 5" xfId="103" xr:uid="{00000000-0005-0000-0000-000099040000}"/>
    <cellStyle name="Normal 6" xfId="107" xr:uid="{00000000-0005-0000-0000-00009A040000}"/>
    <cellStyle name="Normal 7" xfId="104" xr:uid="{00000000-0005-0000-0000-00009B040000}"/>
    <cellStyle name="Normal 74 2" xfId="1203" xr:uid="{6717F03F-03A2-3A4D-8CDE-39D5E1EFFA59}"/>
    <cellStyle name="Normal 8" xfId="171" xr:uid="{00000000-0005-0000-0000-00009C040000}"/>
    <cellStyle name="Normal 9" xfId="1173" xr:uid="{00000000-0005-0000-0000-00009D040000}"/>
    <cellStyle name="Percent" xfId="50" builtinId="5"/>
    <cellStyle name="Percent 2" xfId="60" xr:uid="{00000000-0005-0000-0000-00009F040000}"/>
    <cellStyle name="Percent 2 2" xfId="51" xr:uid="{00000000-0005-0000-0000-0000A0040000}"/>
    <cellStyle name="Percent 2 2 2" xfId="158" xr:uid="{00000000-0005-0000-0000-0000A1040000}"/>
    <cellStyle name="Percent 2 3" xfId="52" xr:uid="{00000000-0005-0000-0000-0000A2040000}"/>
    <cellStyle name="Percent 2 3 2" xfId="159" xr:uid="{00000000-0005-0000-0000-0000A3040000}"/>
    <cellStyle name="Percent 2 4" xfId="167" xr:uid="{00000000-0005-0000-0000-0000A4040000}"/>
    <cellStyle name="Percent 3" xfId="62" xr:uid="{00000000-0005-0000-0000-0000A5040000}"/>
    <cellStyle name="Percent 3 2" xfId="169" xr:uid="{00000000-0005-0000-0000-0000A6040000}"/>
    <cellStyle name="Percent 4" xfId="157" xr:uid="{00000000-0005-0000-0000-0000A7040000}"/>
    <cellStyle name="Percent 5" xfId="53" xr:uid="{00000000-0005-0000-0000-0000A8040000}"/>
    <cellStyle name="Percent 5 2" xfId="54" xr:uid="{00000000-0005-0000-0000-0000A9040000}"/>
    <cellStyle name="Percent 5 2 2" xfId="161" xr:uid="{00000000-0005-0000-0000-0000AA040000}"/>
    <cellStyle name="Percent 5 3" xfId="55" xr:uid="{00000000-0005-0000-0000-0000AB040000}"/>
    <cellStyle name="Percent 5 3 2" xfId="162" xr:uid="{00000000-0005-0000-0000-0000AC040000}"/>
    <cellStyle name="Percent 5 4" xfId="160" xr:uid="{00000000-0005-0000-0000-0000AD040000}"/>
    <cellStyle name="Percent 6" xfId="56" xr:uid="{00000000-0005-0000-0000-0000AE040000}"/>
    <cellStyle name="Percent 6 2" xfId="163" xr:uid="{00000000-0005-0000-0000-0000AF040000}"/>
    <cellStyle name="Percent 8" xfId="1174" xr:uid="{00000000-0005-0000-0000-0000B0040000}"/>
    <cellStyle name="Thousands" xfId="102" xr:uid="{00000000-0005-0000-0000-0000B104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mullinax/ownCloud/Projects/New%20Hampshire/DG%2017-048%20-%20Liberty%20Gas%20/Work%20Product/Model/WP%20Supplemental%20Attachment%20Staff%20Tech%20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RR-Index"/>
      <sheetName val="Schedule RC"/>
      <sheetName val="Track"/>
      <sheetName val="Temp"/>
      <sheetName val="Step-EN"/>
      <sheetName val="Step-K"/>
      <sheetName val="RR-1"/>
      <sheetName val="RR-EN-2"/>
      <sheetName val="RR-K-2"/>
      <sheetName val="RR-EN-2-1"/>
      <sheetName val="RR-K-2-1"/>
      <sheetName val="RR-4"/>
      <sheetName val="RR-EN-5"/>
      <sheetName val="RR-EN-5-1"/>
      <sheetName val="RR-EN-5-2"/>
      <sheetName val="RR-K-5"/>
      <sheetName val="RR-K-5-1"/>
      <sheetName val="RR-K-5-2"/>
      <sheetName val="RR-EN-3"/>
      <sheetName val="RR-EN-3-1"/>
      <sheetName val="RR-EN-3-2"/>
      <sheetName val="RR-EN-3-3"/>
      <sheetName val="RR-EN-3-4"/>
      <sheetName val="RR-EN-3-5"/>
      <sheetName val="RR-EN-3-6"/>
      <sheetName val="RR-3-EN-7"/>
      <sheetName val="RR-3-EN-8"/>
      <sheetName val="RR-3-EN-9"/>
      <sheetName val="RR-3-EN-10"/>
      <sheetName val="Keene Start"/>
      <sheetName val="RR-K-3"/>
      <sheetName val="RR-3-K-1"/>
      <sheetName val="RR-3-K-2"/>
      <sheetName val="RR-3-K-3"/>
      <sheetName val="RR-3-K-4"/>
      <sheetName val="RR-3-K-5"/>
      <sheetName val="RR-3-K-6"/>
      <sheetName val="RR-3-K-7"/>
      <sheetName val="RR-3-K-8"/>
      <sheetName val="RR-3-K-9"/>
      <sheetName val="RR-3-K-10"/>
      <sheetName val="RR-Step-EN-WP1"/>
      <sheetName val="RR-Step-EN-WP2"/>
      <sheetName val="RR-EN-2-1-WP"/>
      <sheetName val="RR-EN-5WP1"/>
      <sheetName val="RR-EN-3-04WP"/>
      <sheetName val="RR-EN-3-04WP2"/>
      <sheetName val="RR-EN-3-05WP1"/>
      <sheetName val="RR-EN-3-05WP2"/>
      <sheetName val="RR-EN-3-05WP3 - FA SL"/>
      <sheetName val="RR-EN-3-07WP"/>
      <sheetName val="RR-EN-3-10WP"/>
      <sheetName val="RR-Step-K-WP1"/>
      <sheetName val="RR-Step-K-WP2"/>
      <sheetName val="RR-K-2-1WP"/>
      <sheetName val="RR-K-5WP2"/>
      <sheetName val="RR-3-K-4WP"/>
      <sheetName val="RR-3-K-4WP2"/>
      <sheetName val="RR-3-K-6WP"/>
      <sheetName val="TB2016-EN"/>
      <sheetName val="TB2016-K"/>
    </sheetNames>
    <sheetDataSet>
      <sheetData sheetId="0" refreshError="1">
        <row r="6">
          <cell r="B6" t="str">
            <v>Liberty Utilities (EnergyNorth)</v>
          </cell>
        </row>
        <row r="24">
          <cell r="B24">
            <v>5</v>
          </cell>
        </row>
        <row r="27">
          <cell r="B27">
            <v>4.4249999999999998E-2</v>
          </cell>
        </row>
        <row r="28">
          <cell r="B28">
            <v>0.5</v>
          </cell>
        </row>
        <row r="31">
          <cell r="B31">
            <v>0.39410000000000001</v>
          </cell>
        </row>
        <row r="32">
          <cell r="B32">
            <v>0.10299999999999999</v>
          </cell>
        </row>
      </sheetData>
      <sheetData sheetId="1" refreshError="1">
        <row r="5">
          <cell r="B5" t="str">
            <v>Title</v>
          </cell>
          <cell r="D5" t="str">
            <v>Reference</v>
          </cell>
          <cell r="F5" t="str">
            <v>Short</v>
          </cell>
          <cell r="H5" t="str">
            <v>Print</v>
          </cell>
        </row>
        <row r="6">
          <cell r="B6" t="str">
            <v>Summary Schedules</v>
          </cell>
        </row>
        <row r="7">
          <cell r="B7" t="str">
            <v>Index to Revenue Requirement Schedules</v>
          </cell>
          <cell r="D7" t="str">
            <v>Index</v>
          </cell>
          <cell r="F7" t="str">
            <v>Index</v>
          </cell>
          <cell r="H7" t="str">
            <v>IN</v>
          </cell>
        </row>
        <row r="8">
          <cell r="B8" t="str">
            <v>Revenue Deficiency and Revenue Requirement</v>
          </cell>
          <cell r="D8" t="str">
            <v>Schedule RR-1</v>
          </cell>
          <cell r="F8" t="str">
            <v>RR-1</v>
          </cell>
          <cell r="H8" t="str">
            <v>RR</v>
          </cell>
        </row>
        <row r="9">
          <cell r="B9" t="str">
            <v>Operating Income Statement - EnergyNorth</v>
          </cell>
          <cell r="D9" t="str">
            <v>Schedule RR-EN-2</v>
          </cell>
          <cell r="F9" t="str">
            <v>RR-EN-2</v>
          </cell>
          <cell r="H9" t="str">
            <v>RR</v>
          </cell>
        </row>
        <row r="10">
          <cell r="B10" t="str">
            <v>Operating Income Statement - Keene</v>
          </cell>
          <cell r="D10" t="str">
            <v>Schedule RR-K-2</v>
          </cell>
          <cell r="F10" t="str">
            <v>RR-K-2</v>
          </cell>
          <cell r="H10" t="str">
            <v>RR</v>
          </cell>
        </row>
        <row r="11">
          <cell r="B11" t="str">
            <v>Operating Income Statement - Detail - EnergyNorth</v>
          </cell>
          <cell r="D11" t="str">
            <v>Schedule RR-EN-2-1</v>
          </cell>
          <cell r="F11" t="str">
            <v>RR-EN-2-1</v>
          </cell>
          <cell r="H11" t="str">
            <v>RR</v>
          </cell>
        </row>
        <row r="12">
          <cell r="B12" t="str">
            <v>Operating Income Statement - Detail- Keene</v>
          </cell>
          <cell r="D12" t="str">
            <v>Schedule RR-K-2-1</v>
          </cell>
          <cell r="F12" t="str">
            <v>RR-K-2-1</v>
          </cell>
          <cell r="H12" t="str">
            <v>RR</v>
          </cell>
        </row>
        <row r="13">
          <cell r="B13" t="str">
            <v>Summary of Adjustments</v>
          </cell>
          <cell r="D13" t="str">
            <v>Schedule RR-EN-3</v>
          </cell>
          <cell r="F13" t="str">
            <v>RR-EN-3</v>
          </cell>
          <cell r="H13" t="str">
            <v>RR</v>
          </cell>
        </row>
        <row r="14">
          <cell r="B14" t="str">
            <v>Summary of Adjustments - Keene</v>
          </cell>
          <cell r="D14" t="str">
            <v>Schedule RR-K-3</v>
          </cell>
          <cell r="F14" t="str">
            <v>RR-K-3</v>
          </cell>
          <cell r="H14" t="str">
            <v>RR</v>
          </cell>
        </row>
        <row r="16">
          <cell r="B16" t="str">
            <v>Adjustments - EnergyNorth</v>
          </cell>
        </row>
        <row r="17">
          <cell r="B17" t="str">
            <v>Adjustment 1 - Revenue Adjustments</v>
          </cell>
          <cell r="D17" t="str">
            <v>Schedule RR-EN-3-1</v>
          </cell>
          <cell r="F17" t="str">
            <v>RR-EN-3-1</v>
          </cell>
          <cell r="H17" t="str">
            <v>AD</v>
          </cell>
        </row>
        <row r="18">
          <cell r="B18" t="str">
            <v>Adjustment 2 - Salary and Wage Expense</v>
          </cell>
          <cell r="D18" t="str">
            <v>Schedule RR-EN-3-2</v>
          </cell>
          <cell r="F18" t="str">
            <v>RR-EN-3-2</v>
          </cell>
          <cell r="H18" t="str">
            <v>AD</v>
          </cell>
        </row>
        <row r="19">
          <cell r="B19" t="str">
            <v>Adjustment 3 - Payroll Tax Expense</v>
          </cell>
          <cell r="D19" t="str">
            <v>Schedule RR-EN-3-3</v>
          </cell>
          <cell r="F19" t="str">
            <v>RR-EN-3-3</v>
          </cell>
          <cell r="H19" t="str">
            <v>AD</v>
          </cell>
        </row>
        <row r="20">
          <cell r="B20" t="str">
            <v>Adjustment 4 - Pension and Benefits Expense</v>
          </cell>
          <cell r="D20" t="str">
            <v>Schedule RR-EN-3-4</v>
          </cell>
          <cell r="F20" t="str">
            <v>RR-EN-3-4</v>
          </cell>
          <cell r="H20" t="str">
            <v>AD</v>
          </cell>
        </row>
        <row r="21">
          <cell r="B21" t="str">
            <v>Adjustment 5 - Depreciation Expense</v>
          </cell>
          <cell r="D21" t="str">
            <v>Schedule RR-EN-3-5</v>
          </cell>
          <cell r="F21" t="str">
            <v>RR-EN-3-5</v>
          </cell>
          <cell r="H21" t="str">
            <v>AD</v>
          </cell>
        </row>
        <row r="22">
          <cell r="B22" t="str">
            <v>Adjustment 6 - Amortization Expense</v>
          </cell>
          <cell r="D22" t="str">
            <v>Schedule RR-EN-3-6</v>
          </cell>
          <cell r="F22" t="str">
            <v>RR-EN-3-6</v>
          </cell>
          <cell r="H22" t="str">
            <v>AD</v>
          </cell>
        </row>
        <row r="23">
          <cell r="B23" t="str">
            <v>Adjustment 7 - Property Tax</v>
          </cell>
          <cell r="D23" t="str">
            <v>Schedule RR-EN-3-7</v>
          </cell>
          <cell r="F23" t="str">
            <v>RR-EN-3-7</v>
          </cell>
          <cell r="H23" t="str">
            <v>AD</v>
          </cell>
        </row>
        <row r="24">
          <cell r="B24" t="str">
            <v>Adjustment 8 - Income Tax Expense - Historical Test Year</v>
          </cell>
          <cell r="D24" t="str">
            <v>Schedule RR-EN-3-8</v>
          </cell>
          <cell r="F24" t="str">
            <v>RR-EN-3-8</v>
          </cell>
          <cell r="H24" t="str">
            <v>AD</v>
          </cell>
        </row>
        <row r="25">
          <cell r="B25" t="str">
            <v>Adjustment 9 - Income Tax Expense - Pro Forma Test Year at Current Rates</v>
          </cell>
          <cell r="D25" t="str">
            <v>Schedule RR-EN-3-9</v>
          </cell>
          <cell r="F25" t="str">
            <v>RR-EN-3-9</v>
          </cell>
          <cell r="H25" t="str">
            <v>AD</v>
          </cell>
        </row>
        <row r="26">
          <cell r="B26" t="str">
            <v>Adjustment 10 - Other Adjustments</v>
          </cell>
          <cell r="D26" t="str">
            <v>Schedule RR-EN-3-10</v>
          </cell>
          <cell r="F26" t="str">
            <v>RR-EN-3-10</v>
          </cell>
          <cell r="H26" t="str">
            <v>AD</v>
          </cell>
        </row>
        <row r="28">
          <cell r="B28" t="str">
            <v>Adjustments - Keene</v>
          </cell>
        </row>
        <row r="29">
          <cell r="B29" t="str">
            <v>Adjustment 1 - Salary and Wage</v>
          </cell>
          <cell r="D29" t="str">
            <v>Schedule RR-K-3-1</v>
          </cell>
          <cell r="F29" t="str">
            <v>RR-K-3-1</v>
          </cell>
          <cell r="H29" t="str">
            <v>AD</v>
          </cell>
        </row>
        <row r="30">
          <cell r="B30" t="str">
            <v>Adjustment 2 - Payroll Tax</v>
          </cell>
          <cell r="D30" t="str">
            <v>Schedule RR-K-3-2</v>
          </cell>
          <cell r="F30" t="str">
            <v>RR-K-3-2</v>
          </cell>
          <cell r="H30" t="str">
            <v>AD</v>
          </cell>
        </row>
        <row r="31">
          <cell r="B31" t="str">
            <v>Adjustment 3 - Benefits</v>
          </cell>
          <cell r="D31" t="str">
            <v>Schedule RR-K-3-3</v>
          </cell>
          <cell r="F31" t="str">
            <v>RR-K-3-3</v>
          </cell>
          <cell r="H31" t="str">
            <v>AD</v>
          </cell>
        </row>
        <row r="32">
          <cell r="B32" t="str">
            <v>Adjustment 4 - Depreciation</v>
          </cell>
          <cell r="D32" t="str">
            <v>Schedule RR-K-3-4</v>
          </cell>
          <cell r="F32" t="str">
            <v>RR-K-3-4</v>
          </cell>
          <cell r="H32" t="str">
            <v>AD</v>
          </cell>
        </row>
        <row r="33">
          <cell r="B33" t="str">
            <v>Adjustment 5 - Amortization</v>
          </cell>
          <cell r="D33" t="str">
            <v>Schedule RR-K-3-5</v>
          </cell>
          <cell r="F33" t="str">
            <v>RR-K-3-5</v>
          </cell>
          <cell r="H33" t="str">
            <v>AD</v>
          </cell>
        </row>
        <row r="34">
          <cell r="B34" t="str">
            <v>Adjustment 6 - Property Tax</v>
          </cell>
          <cell r="D34" t="str">
            <v>Schedule RR-K-3-6</v>
          </cell>
          <cell r="F34" t="str">
            <v>RR-K-3-6</v>
          </cell>
          <cell r="H34" t="str">
            <v>AD</v>
          </cell>
        </row>
        <row r="35">
          <cell r="B35" t="str">
            <v>Adjustment 7 - Uncollectible Accounts Expense</v>
          </cell>
          <cell r="D35" t="str">
            <v>Schedule RR-K-3-7</v>
          </cell>
          <cell r="F35" t="str">
            <v>RR-K-3-7</v>
          </cell>
          <cell r="H35" t="str">
            <v>AD</v>
          </cell>
        </row>
        <row r="36">
          <cell r="B36" t="str">
            <v>Adjustment 8 - Income Tax Expense - Historical Test Year</v>
          </cell>
          <cell r="D36" t="str">
            <v>Schedule RR-K-3-8</v>
          </cell>
          <cell r="F36" t="str">
            <v>RR-K-3-8</v>
          </cell>
          <cell r="H36" t="str">
            <v>AD</v>
          </cell>
        </row>
        <row r="37">
          <cell r="B37" t="str">
            <v>Adjustment 9 - Income Tax Expense- Pro Forma Test Year at Current Rates</v>
          </cell>
          <cell r="D37" t="str">
            <v>Schedule RR-K-3-9</v>
          </cell>
          <cell r="F37" t="str">
            <v>RR-K-3-9</v>
          </cell>
          <cell r="H37" t="str">
            <v>AD</v>
          </cell>
        </row>
        <row r="38">
          <cell r="B38" t="str">
            <v>Adjustment 10 - Other Adjustments</v>
          </cell>
          <cell r="D38" t="str">
            <v>Schedule RR-K-3-10</v>
          </cell>
          <cell r="F38" t="str">
            <v>RR-K-3-10</v>
          </cell>
          <cell r="H38" t="str">
            <v>AD</v>
          </cell>
        </row>
        <row r="40">
          <cell r="B40" t="str">
            <v>Cost of Capital</v>
          </cell>
        </row>
        <row r="41">
          <cell r="B41" t="str">
            <v>Weighted Average Cost of Capital</v>
          </cell>
          <cell r="D41" t="str">
            <v>Schedule RR-4</v>
          </cell>
          <cell r="F41" t="str">
            <v>RR-4</v>
          </cell>
          <cell r="H41" t="str">
            <v>RR</v>
          </cell>
        </row>
        <row r="43">
          <cell r="B43" t="str">
            <v>Rate Base</v>
          </cell>
        </row>
        <row r="44">
          <cell r="B44" t="str">
            <v>Rate Base - EnergyNorth</v>
          </cell>
          <cell r="D44" t="str">
            <v>Schedule RR-EN-5</v>
          </cell>
          <cell r="F44" t="str">
            <v>RR-EN-5</v>
          </cell>
          <cell r="H44" t="str">
            <v>RR</v>
          </cell>
        </row>
        <row r="45">
          <cell r="B45" t="str">
            <v>Rate Base - Keene</v>
          </cell>
          <cell r="D45" t="str">
            <v>Schedule RR-K-5</v>
          </cell>
          <cell r="F45" t="str">
            <v>RR-K-5</v>
          </cell>
          <cell r="H45" t="str">
            <v>RR</v>
          </cell>
        </row>
        <row r="46">
          <cell r="B46" t="str">
            <v>Rate Base Quarterly Balances - EnergyNorth</v>
          </cell>
          <cell r="D46" t="str">
            <v>Schedule RR-EN-5-1</v>
          </cell>
          <cell r="F46" t="str">
            <v>RR-EN-5-1</v>
          </cell>
          <cell r="H46" t="str">
            <v>RR</v>
          </cell>
        </row>
        <row r="47">
          <cell r="B47" t="str">
            <v>Rate Base Quarterly Balances - Keene</v>
          </cell>
          <cell r="D47" t="str">
            <v>Schedule RR-K-5-1</v>
          </cell>
          <cell r="F47" t="str">
            <v>RR-K-5-1</v>
          </cell>
          <cell r="H47" t="str">
            <v>RR</v>
          </cell>
        </row>
        <row r="48">
          <cell r="B48" t="str">
            <v>Cash Working Capital - EnergyNorth</v>
          </cell>
          <cell r="D48" t="str">
            <v>Schedule RR-EN-5-2</v>
          </cell>
          <cell r="F48" t="str">
            <v>RR-EN-5-2</v>
          </cell>
          <cell r="H48" t="str">
            <v>RR</v>
          </cell>
        </row>
        <row r="49">
          <cell r="B49" t="str">
            <v>Cash Working Capital - Keene</v>
          </cell>
          <cell r="D49" t="str">
            <v>Schedule RR-K-5-2</v>
          </cell>
          <cell r="F49" t="str">
            <v>RR-K-5-2</v>
          </cell>
          <cell r="H49" t="str">
            <v>RR</v>
          </cell>
        </row>
        <row r="51">
          <cell r="B51" t="str">
            <v>Step Increase</v>
          </cell>
        </row>
        <row r="52">
          <cell r="B52" t="str">
            <v>Step Increase - EnergyNorth</v>
          </cell>
          <cell r="D52" t="str">
            <v>Schedule Step-EN</v>
          </cell>
          <cell r="F52" t="str">
            <v>Step-EN</v>
          </cell>
          <cell r="H52" t="str">
            <v>RR</v>
          </cell>
        </row>
        <row r="53">
          <cell r="B53" t="str">
            <v>Step Increase - Keene</v>
          </cell>
          <cell r="D53" t="str">
            <v>Schedule Step-K</v>
          </cell>
          <cell r="F53" t="str">
            <v>Step-K</v>
          </cell>
          <cell r="H53" t="str">
            <v>RR</v>
          </cell>
        </row>
        <row r="55">
          <cell r="B55" t="str">
            <v>Rate Case Expense</v>
          </cell>
        </row>
        <row r="56">
          <cell r="B56" t="str">
            <v>Rate Case Expense</v>
          </cell>
          <cell r="D56" t="str">
            <v>Schedule RC</v>
          </cell>
          <cell r="F56" t="str">
            <v>Schedule RC</v>
          </cell>
          <cell r="H56" t="str">
            <v>RR</v>
          </cell>
        </row>
        <row r="58">
          <cell r="B58" t="str">
            <v>Temporary Rates</v>
          </cell>
        </row>
        <row r="59">
          <cell r="B59" t="str">
            <v>Temporary Rate Increase</v>
          </cell>
          <cell r="D59" t="str">
            <v>Schedule T</v>
          </cell>
          <cell r="F59" t="str">
            <v>T</v>
          </cell>
          <cell r="H59" t="str">
            <v>RR</v>
          </cell>
        </row>
        <row r="61">
          <cell r="B61" t="str">
            <v>Global Inputs</v>
          </cell>
          <cell r="D61" t="str">
            <v>Global Inputs</v>
          </cell>
          <cell r="F61" t="str">
            <v>Global</v>
          </cell>
          <cell r="H61" t="str">
            <v>No print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K48"/>
  <sheetViews>
    <sheetView zoomScale="119" zoomScaleNormal="119" zoomScalePageLayoutView="119" workbookViewId="0">
      <selection activeCell="D15" sqref="D15:F33"/>
    </sheetView>
  </sheetViews>
  <sheetFormatPr baseColWidth="10" defaultRowHeight="16"/>
  <cols>
    <col min="1" max="1" width="3" style="85" customWidth="1"/>
    <col min="2" max="2" width="13.6640625" style="85" customWidth="1"/>
    <col min="3" max="3" width="51.83203125" style="85" customWidth="1"/>
    <col min="4" max="4" width="15.6640625" style="85" bestFit="1" customWidth="1"/>
    <col min="5" max="5" width="1.33203125" style="85" customWidth="1"/>
    <col min="6" max="6" width="14.1640625" style="85" customWidth="1"/>
    <col min="7" max="7" width="1.33203125" style="85" customWidth="1"/>
    <col min="8" max="8" width="14.5" style="85" customWidth="1"/>
    <col min="9" max="9" width="1.33203125" style="85" customWidth="1"/>
    <col min="10" max="10" width="8.33203125" style="85" customWidth="1"/>
    <col min="11" max="11" width="44.5" style="85" customWidth="1"/>
    <col min="12" max="16384" width="10.83203125" style="85"/>
  </cols>
  <sheetData>
    <row r="1" spans="2:10" ht="20">
      <c r="B1" s="439" t="str">
        <f>+'Sch 1'!B1:J1</f>
        <v>-</v>
      </c>
      <c r="C1" s="439"/>
      <c r="D1" s="439"/>
      <c r="E1" s="439"/>
      <c r="F1" s="439"/>
      <c r="G1" s="439"/>
      <c r="H1" s="439"/>
    </row>
    <row r="2" spans="2:10" ht="20">
      <c r="B2" s="255"/>
      <c r="C2" s="255"/>
      <c r="D2" s="255"/>
      <c r="E2" s="255"/>
      <c r="F2" s="255"/>
      <c r="G2" s="255"/>
      <c r="H2" s="255"/>
    </row>
    <row r="3" spans="2:10" ht="20">
      <c r="B3" s="259" t="str">
        <f>+'Sch 1.1'!B3</f>
        <v>Kentucky Public Service Commission</v>
      </c>
      <c r="C3" s="255"/>
      <c r="D3" s="255"/>
      <c r="E3" s="255"/>
      <c r="F3" s="255"/>
      <c r="G3" s="255"/>
      <c r="H3" s="255"/>
    </row>
    <row r="4" spans="2:10" ht="20">
      <c r="C4" s="255"/>
      <c r="D4" s="255"/>
      <c r="E4" s="255"/>
      <c r="F4" s="255"/>
      <c r="G4" s="255"/>
      <c r="H4" s="255"/>
    </row>
    <row r="5" spans="2:10" ht="20">
      <c r="B5" s="260" t="str">
        <f>+'Sch 1.1'!B5</f>
        <v>Kentucky Utilities Company</v>
      </c>
      <c r="C5" s="255"/>
      <c r="D5" s="255"/>
      <c r="E5" s="255"/>
      <c r="F5" s="255"/>
      <c r="G5" s="255"/>
      <c r="H5" s="255"/>
    </row>
    <row r="6" spans="2:10" ht="20">
      <c r="B6" s="259" t="str">
        <f>+'Sch 1.1'!B6</f>
        <v>Base Period ending December 31, 2018; Fully Forecasted Test Period ending April 30, 2020</v>
      </c>
      <c r="C6" s="255"/>
      <c r="D6" s="255"/>
      <c r="E6" s="255"/>
      <c r="F6" s="255"/>
      <c r="G6" s="255"/>
      <c r="H6" s="255"/>
    </row>
    <row r="7" spans="2:10">
      <c r="B7" s="85" t="s">
        <v>89</v>
      </c>
      <c r="J7" s="83" t="s">
        <v>115</v>
      </c>
    </row>
    <row r="9" spans="2:10">
      <c r="B9" s="59"/>
      <c r="C9" s="59"/>
      <c r="D9" s="59"/>
      <c r="E9" s="59"/>
      <c r="F9" s="59"/>
      <c r="G9" s="59"/>
      <c r="H9" s="59"/>
      <c r="I9" s="59"/>
    </row>
    <row r="10" spans="2:10">
      <c r="B10" s="170"/>
      <c r="C10" s="171" t="s">
        <v>157</v>
      </c>
      <c r="D10" s="59"/>
      <c r="E10" s="59"/>
      <c r="F10" s="59"/>
      <c r="G10" s="59"/>
      <c r="H10" s="397">
        <f>+'Sch 1.1'!J32</f>
        <v>7.1786365598703578E-2</v>
      </c>
      <c r="I10" s="59"/>
    </row>
    <row r="11" spans="2:10">
      <c r="B11" s="170"/>
      <c r="C11" s="171" t="s">
        <v>1</v>
      </c>
      <c r="D11" s="59"/>
      <c r="E11" s="59"/>
      <c r="F11" s="59"/>
      <c r="G11" s="59"/>
      <c r="H11" s="398">
        <f>+'Sch 1.1'!J52</f>
        <v>1.3393561141914665</v>
      </c>
      <c r="I11" s="59"/>
    </row>
    <row r="12" spans="2:10" ht="40" customHeight="1" thickBot="1">
      <c r="B12" s="59"/>
      <c r="C12" s="59"/>
      <c r="D12" s="84" t="s">
        <v>21</v>
      </c>
      <c r="E12" s="172"/>
      <c r="F12" s="84" t="s">
        <v>37</v>
      </c>
      <c r="G12" s="172"/>
      <c r="H12" s="84" t="s">
        <v>23</v>
      </c>
      <c r="I12" s="59"/>
    </row>
    <row r="13" spans="2:10">
      <c r="B13" s="59"/>
      <c r="C13" s="59"/>
      <c r="D13" s="203"/>
      <c r="E13" s="172"/>
      <c r="F13" s="203"/>
      <c r="G13" s="172"/>
      <c r="H13" s="203"/>
      <c r="I13" s="59"/>
      <c r="J13" s="85" t="s">
        <v>97</v>
      </c>
    </row>
    <row r="14" spans="2:10">
      <c r="B14" s="59"/>
      <c r="C14" s="59" t="s">
        <v>528</v>
      </c>
      <c r="D14" s="116">
        <v>0</v>
      </c>
      <c r="E14" s="172"/>
      <c r="F14" s="116">
        <v>0</v>
      </c>
      <c r="G14" s="172"/>
      <c r="H14" s="153">
        <f>+'Sch 2.1'!H23</f>
        <v>-20888335.984231651</v>
      </c>
      <c r="I14" s="59"/>
      <c r="J14" s="160">
        <f>+'Sch 2'!J23</f>
        <v>9.7000000000000003E-2</v>
      </c>
    </row>
    <row r="15" spans="2:10">
      <c r="B15" s="59" t="s">
        <v>39</v>
      </c>
      <c r="C15" s="59" t="str">
        <f>+'3.1 Slippage'!B7</f>
        <v>Slippage</v>
      </c>
      <c r="D15" s="153">
        <f>+'3.1 Slippage'!H15</f>
        <v>-21624620</v>
      </c>
      <c r="E15" s="153"/>
      <c r="F15" s="153">
        <f>+'3.1 Slippage'!H28</f>
        <v>474734</v>
      </c>
      <c r="G15" s="153"/>
      <c r="H15" s="153">
        <f>(D15*$H$10-F15)*$H$11</f>
        <v>-2714991.2030461426</v>
      </c>
      <c r="I15" s="59"/>
    </row>
    <row r="16" spans="2:10">
      <c r="B16" s="59" t="s">
        <v>40</v>
      </c>
      <c r="C16" s="59"/>
      <c r="D16" s="116">
        <v>0</v>
      </c>
      <c r="E16" s="116"/>
      <c r="F16" s="116">
        <v>0</v>
      </c>
      <c r="G16" s="116"/>
      <c r="H16" s="116">
        <f t="shared" ref="H16:H17" si="0">(D16*$H$10-F16)*$H$11</f>
        <v>0</v>
      </c>
      <c r="I16" s="59"/>
    </row>
    <row r="17" spans="2:11">
      <c r="B17" s="59" t="s">
        <v>41</v>
      </c>
      <c r="C17" s="59"/>
      <c r="D17" s="116">
        <v>0</v>
      </c>
      <c r="E17" s="116"/>
      <c r="F17" s="116">
        <v>0</v>
      </c>
      <c r="G17" s="116"/>
      <c r="H17" s="116">
        <f t="shared" si="0"/>
        <v>0</v>
      </c>
      <c r="I17" s="59"/>
    </row>
    <row r="18" spans="2:11">
      <c r="B18" s="59" t="s">
        <v>42</v>
      </c>
      <c r="C18" s="59" t="str">
        <f>+'3.4 PHFU'!B7</f>
        <v xml:space="preserve">Plant Held for Future Use </v>
      </c>
      <c r="D18" s="116">
        <f>+'3.4 PHFU'!H15</f>
        <v>-240853</v>
      </c>
      <c r="E18" s="116"/>
      <c r="F18" s="116">
        <v>0</v>
      </c>
      <c r="G18" s="116"/>
      <c r="H18" s="116">
        <f>(D18*$H$10-F18)*$H$11</f>
        <v>-23157.41566730104</v>
      </c>
      <c r="I18" s="59"/>
    </row>
    <row r="19" spans="2:11">
      <c r="B19" s="59" t="s">
        <v>43</v>
      </c>
      <c r="C19" s="59" t="str">
        <f>+'3.5 CWC'!B7</f>
        <v xml:space="preserve">Working Capital </v>
      </c>
      <c r="D19" s="116">
        <f>+'3.5 CWC'!N35</f>
        <v>-64490692.511231437</v>
      </c>
      <c r="E19" s="116"/>
      <c r="F19" s="116">
        <v>0</v>
      </c>
      <c r="G19" s="116"/>
      <c r="H19" s="116">
        <f t="shared" ref="H19:H32" si="1">(D19*$H$10-F19)*$H$11</f>
        <v>-6200619.3535255305</v>
      </c>
      <c r="I19" s="59"/>
    </row>
    <row r="20" spans="2:11">
      <c r="B20" s="59" t="s">
        <v>44</v>
      </c>
      <c r="C20" s="59" t="str">
        <f>+'3.6 Late Pymt'!B7</f>
        <v xml:space="preserve">Late Payment Credit </v>
      </c>
      <c r="D20" s="116">
        <v>0</v>
      </c>
      <c r="E20" s="116"/>
      <c r="F20" s="116">
        <f>+'3.6 Late Pymt'!H24</f>
        <v>253208</v>
      </c>
      <c r="G20" s="116"/>
      <c r="H20" s="116">
        <f t="shared" si="1"/>
        <v>-339135.68296219286</v>
      </c>
      <c r="I20" s="59"/>
    </row>
    <row r="21" spans="2:11">
      <c r="B21" s="59" t="s">
        <v>46</v>
      </c>
      <c r="C21" s="173" t="str">
        <f>+'3.7 401k'!B7</f>
        <v>Employee Retirement Plans</v>
      </c>
      <c r="D21" s="116">
        <v>0</v>
      </c>
      <c r="E21" s="116"/>
      <c r="F21" s="116">
        <f>+'3.7 401k'!H24</f>
        <v>1515138</v>
      </c>
      <c r="G21" s="116"/>
      <c r="H21" s="116">
        <f t="shared" si="1"/>
        <v>-2029309.3441438302</v>
      </c>
      <c r="I21" s="59"/>
    </row>
    <row r="22" spans="2:11">
      <c r="B22" s="59" t="s">
        <v>47</v>
      </c>
      <c r="C22" s="59" t="str">
        <f>+'3.8 D&amp;O'!B7</f>
        <v>Directors and Officers Liability Insurance</v>
      </c>
      <c r="D22" s="116">
        <v>0</v>
      </c>
      <c r="E22" s="116"/>
      <c r="F22" s="116">
        <f>+'3.8 D&amp;O'!H24</f>
        <v>104168</v>
      </c>
      <c r="G22" s="116"/>
      <c r="H22" s="116">
        <f t="shared" si="1"/>
        <v>-139518.04770309667</v>
      </c>
      <c r="I22" s="59"/>
    </row>
    <row r="23" spans="2:11">
      <c r="B23" s="59" t="s">
        <v>50</v>
      </c>
      <c r="C23" s="59" t="str">
        <f>+'3.9 Dues'!B7</f>
        <v>Dues for EEI and EPRI</v>
      </c>
      <c r="D23" s="116">
        <v>0</v>
      </c>
      <c r="E23" s="116"/>
      <c r="F23" s="116">
        <f>+'3.9 Dues'!H31</f>
        <v>1842552.212361264</v>
      </c>
      <c r="G23" s="116"/>
      <c r="H23" s="116">
        <f t="shared" si="1"/>
        <v>-2467833.5713430722</v>
      </c>
      <c r="I23" s="59"/>
      <c r="K23" s="201"/>
    </row>
    <row r="24" spans="2:11">
      <c r="B24" s="59" t="s">
        <v>51</v>
      </c>
      <c r="C24" s="59" t="str">
        <f>+'3.10 Legal'!B7</f>
        <v>Outside Counsel Expense</v>
      </c>
      <c r="D24" s="116">
        <v>0</v>
      </c>
      <c r="E24" s="116"/>
      <c r="F24" s="116">
        <f>+'3.10 Legal'!H26</f>
        <v>331741.63018065883</v>
      </c>
      <c r="G24" s="116"/>
      <c r="H24" s="116">
        <f t="shared" si="1"/>
        <v>-444320.18071430974</v>
      </c>
      <c r="I24" s="59"/>
    </row>
    <row r="25" spans="2:11">
      <c r="B25" s="59" t="s">
        <v>52</v>
      </c>
      <c r="C25" s="59" t="str">
        <f>+'3.11 Rebate'!B7</f>
        <v>Credit Card Rebate</v>
      </c>
      <c r="D25" s="116">
        <v>0</v>
      </c>
      <c r="E25" s="116"/>
      <c r="F25" s="116">
        <f>+'3.11 Rebate'!H24</f>
        <v>158179</v>
      </c>
      <c r="G25" s="116"/>
      <c r="H25" s="116">
        <f t="shared" si="1"/>
        <v>-211858.01078669197</v>
      </c>
      <c r="I25" s="59"/>
    </row>
    <row r="26" spans="2:11">
      <c r="B26" s="59" t="s">
        <v>53</v>
      </c>
      <c r="C26" s="59" t="str">
        <f>+'3.12 Econ Dev'!B7</f>
        <v>Economic Development</v>
      </c>
      <c r="D26" s="116">
        <v>0</v>
      </c>
      <c r="E26" s="116"/>
      <c r="F26" s="116">
        <f>+'3.12 Econ Dev'!H24</f>
        <v>1255237</v>
      </c>
      <c r="G26" s="116"/>
      <c r="H26" s="116">
        <f t="shared" si="1"/>
        <v>-1681209.3507093538</v>
      </c>
      <c r="I26" s="59"/>
    </row>
    <row r="27" spans="2:11">
      <c r="B27" s="59" t="s">
        <v>54</v>
      </c>
      <c r="C27" s="59" t="str">
        <f>+'3.13 Ed'!B7</f>
        <v>Customer Education</v>
      </c>
      <c r="D27" s="116">
        <v>0</v>
      </c>
      <c r="E27" s="116"/>
      <c r="F27" s="116">
        <f>+'3.13 Ed'!H24</f>
        <v>945630</v>
      </c>
      <c r="G27" s="116"/>
      <c r="H27" s="116">
        <f t="shared" si="1"/>
        <v>-1266535.3222628764</v>
      </c>
      <c r="I27" s="59"/>
    </row>
    <row r="28" spans="2:11">
      <c r="B28" s="59" t="s">
        <v>55</v>
      </c>
      <c r="C28" s="59" t="str">
        <f>+'3.14 ECR Credit'!B7</f>
        <v>Baseline ECR Beneficial Reuse Operating Expense Credit</v>
      </c>
      <c r="D28" s="116">
        <v>0</v>
      </c>
      <c r="E28" s="116"/>
      <c r="F28" s="116">
        <f>+'3.14 ECR Credit'!H24</f>
        <v>330220</v>
      </c>
      <c r="G28" s="116"/>
      <c r="H28" s="116">
        <f t="shared" si="1"/>
        <v>-442282.17602830607</v>
      </c>
      <c r="I28" s="59"/>
    </row>
    <row r="29" spans="2:11">
      <c r="B29" s="59" t="s">
        <v>56</v>
      </c>
      <c r="C29" s="59" t="str">
        <f>+'3.15 MMD'!B7</f>
        <v xml:space="preserve">Merger Mitigation Depancaking </v>
      </c>
      <c r="D29" s="116">
        <v>0</v>
      </c>
      <c r="E29" s="116"/>
      <c r="F29" s="116">
        <f>+'3.15 MMD'!H24</f>
        <v>11333665</v>
      </c>
      <c r="G29" s="116"/>
      <c r="H29" s="116">
        <f t="shared" si="1"/>
        <v>-15179813.513947828</v>
      </c>
      <c r="I29" s="59"/>
    </row>
    <row r="30" spans="2:11">
      <c r="B30" s="59" t="s">
        <v>324</v>
      </c>
      <c r="C30" s="59" t="str">
        <f>+'3.16 Storm'!B7</f>
        <v>Amortization of Storm Damage Regulatory Asset</v>
      </c>
      <c r="D30" s="116">
        <v>0</v>
      </c>
      <c r="E30" s="116"/>
      <c r="F30" s="116">
        <f>+'3.16 Storm'!H31</f>
        <v>349860.20000000007</v>
      </c>
      <c r="G30" s="116"/>
      <c r="H30" s="116">
        <f t="shared" si="1"/>
        <v>-468587.39798224939</v>
      </c>
      <c r="I30" s="59"/>
    </row>
    <row r="31" spans="2:11">
      <c r="B31" s="59" t="s">
        <v>327</v>
      </c>
      <c r="C31" s="59" t="str">
        <f>+'3.17  EDIT'!B7</f>
        <v>Amortization of Tax Reform Regulatory Liability</v>
      </c>
      <c r="D31" s="116">
        <v>0</v>
      </c>
      <c r="E31" s="116"/>
      <c r="F31" s="116">
        <f>+'3.17  EDIT'!H45</f>
        <v>1429418.4365853658</v>
      </c>
      <c r="G31" s="116"/>
      <c r="H31" s="116">
        <f t="shared" si="1"/>
        <v>-1914500.3227786168</v>
      </c>
      <c r="I31" s="59"/>
    </row>
    <row r="32" spans="2:11">
      <c r="B32" s="59" t="s">
        <v>332</v>
      </c>
      <c r="C32" s="59" t="str">
        <f>+'3.18-Int Sychn'!B7</f>
        <v>Interest Synchronization</v>
      </c>
      <c r="D32" s="116">
        <v>0</v>
      </c>
      <c r="E32" s="116"/>
      <c r="F32" s="116">
        <f>+'3.18-Int Sychn'!H30</f>
        <v>-442319</v>
      </c>
      <c r="G32" s="116"/>
      <c r="H32" s="116">
        <f t="shared" si="1"/>
        <v>592422.65707305528</v>
      </c>
      <c r="I32" s="59"/>
    </row>
    <row r="33" spans="2:11">
      <c r="B33" s="59"/>
      <c r="C33" s="59" t="s">
        <v>161</v>
      </c>
      <c r="D33" s="116">
        <v>0</v>
      </c>
      <c r="E33" s="116"/>
      <c r="F33" s="116">
        <v>-1</v>
      </c>
      <c r="G33" s="116"/>
      <c r="H33" s="116">
        <v>1</v>
      </c>
      <c r="I33" s="59"/>
    </row>
    <row r="34" spans="2:11" ht="17" thickBot="1">
      <c r="B34" s="59"/>
      <c r="C34" s="59"/>
      <c r="D34" s="154">
        <f>SUM(D14:D33)</f>
        <v>-86356165.511231437</v>
      </c>
      <c r="E34" s="116"/>
      <c r="F34" s="154">
        <f>SUM(F14:F33)</f>
        <v>19881431.479127288</v>
      </c>
      <c r="G34" s="116"/>
      <c r="H34" s="154">
        <f>SUM(H14:H33)</f>
        <v>-55819583.220759995</v>
      </c>
      <c r="I34" s="59"/>
      <c r="K34" s="202"/>
    </row>
    <row r="35" spans="2:11" ht="17" thickTop="1">
      <c r="B35" s="59"/>
      <c r="C35" s="59"/>
      <c r="D35" s="59"/>
      <c r="E35" s="59"/>
      <c r="F35" s="59"/>
      <c r="G35" s="59"/>
      <c r="H35" s="59"/>
      <c r="I35" s="59"/>
      <c r="K35" s="59"/>
    </row>
    <row r="36" spans="2:11">
      <c r="B36" s="59"/>
      <c r="C36" s="59"/>
      <c r="D36" s="206">
        <f>+'Sch 1.1'!H26</f>
        <v>-86356165.511231437</v>
      </c>
      <c r="E36" s="206"/>
      <c r="F36" s="206">
        <f>+'Sch 1.1'!H49</f>
        <v>19881431.479127288</v>
      </c>
      <c r="G36" s="206"/>
      <c r="H36" s="206">
        <f>+'Sch 1.1'!H53</f>
        <v>-55819582.88140405</v>
      </c>
      <c r="I36" s="59"/>
    </row>
    <row r="37" spans="2:11">
      <c r="B37" s="59"/>
      <c r="C37" s="205" t="s">
        <v>76</v>
      </c>
      <c r="D37" s="206">
        <f>+D36-D34</f>
        <v>0</v>
      </c>
      <c r="E37" s="206"/>
      <c r="F37" s="206">
        <f>+F36-F34</f>
        <v>0</v>
      </c>
      <c r="G37" s="207"/>
      <c r="H37" s="206">
        <f>+H36-H34</f>
        <v>0.3393559455871582</v>
      </c>
      <c r="I37" s="59"/>
    </row>
    <row r="38" spans="2:11">
      <c r="B38" s="59"/>
      <c r="C38" s="205"/>
      <c r="D38" s="206"/>
      <c r="E38" s="206"/>
      <c r="F38" s="206"/>
      <c r="G38" s="207"/>
      <c r="H38" s="206"/>
      <c r="I38" s="59"/>
    </row>
    <row r="39" spans="2:11">
      <c r="B39" s="59"/>
      <c r="C39" s="205"/>
      <c r="D39" s="206"/>
      <c r="E39" s="206"/>
      <c r="F39" s="206"/>
      <c r="G39" s="207"/>
      <c r="H39" s="206"/>
      <c r="I39" s="59"/>
    </row>
    <row r="40" spans="2:11">
      <c r="D40" s="59"/>
      <c r="G40" s="59"/>
    </row>
    <row r="41" spans="2:11" ht="17" thickBot="1">
      <c r="C41" s="59"/>
      <c r="D41" s="252" t="s">
        <v>153</v>
      </c>
      <c r="G41" s="59"/>
    </row>
    <row r="42" spans="2:11">
      <c r="C42" s="59" t="s">
        <v>156</v>
      </c>
      <c r="D42" s="174">
        <f>+'Sch 1.1'!F55</f>
        <v>112459858.82110377</v>
      </c>
      <c r="G42" s="59"/>
    </row>
    <row r="43" spans="2:11">
      <c r="C43" s="59" t="s">
        <v>158</v>
      </c>
      <c r="D43" s="209">
        <f>+H34</f>
        <v>-55819583.220759995</v>
      </c>
      <c r="G43" s="59"/>
    </row>
    <row r="44" spans="2:11" ht="17" thickBot="1">
      <c r="C44" s="85" t="s">
        <v>342</v>
      </c>
      <c r="D44" s="175">
        <f>+D42+D43</f>
        <v>56640275.600343771</v>
      </c>
      <c r="G44" s="59"/>
      <c r="K44" s="59"/>
    </row>
    <row r="45" spans="2:11" ht="17" thickTop="1">
      <c r="K45" s="59"/>
    </row>
    <row r="47" spans="2:11">
      <c r="C47" s="253" t="s">
        <v>76</v>
      </c>
      <c r="D47" s="204">
        <f>+'Sch 1.1'!J55</f>
        <v>56640275.939699717</v>
      </c>
      <c r="G47" s="165"/>
      <c r="H47" s="165"/>
    </row>
    <row r="48" spans="2:11">
      <c r="C48" s="254"/>
      <c r="D48" s="204">
        <f>+D47-D44</f>
        <v>0.3393559455871582</v>
      </c>
    </row>
  </sheetData>
  <mergeCells count="1">
    <mergeCell ref="B1:H1"/>
  </mergeCells>
  <phoneticPr fontId="4" type="noConversion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43DA-713F-704E-A2C3-E82280EE09F3}">
  <sheetPr>
    <pageSetUpPr fitToPage="1"/>
  </sheetPr>
  <dimension ref="B1:K8"/>
  <sheetViews>
    <sheetView workbookViewId="0">
      <selection activeCell="D8" sqref="D8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330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/>
    </row>
    <row r="7" spans="2:11">
      <c r="B7" s="27"/>
    </row>
    <row r="8" spans="2:11" ht="14">
      <c r="C8" s="24"/>
      <c r="D8" s="24" t="s">
        <v>329</v>
      </c>
      <c r="E8" s="24"/>
      <c r="F8" s="24"/>
      <c r="G8" s="24"/>
      <c r="H8" s="24"/>
      <c r="I8" s="24"/>
      <c r="J8" s="2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8BFC-9F64-1C4C-AE7E-AE60659887F1}">
  <sheetPr>
    <pageSetUpPr fitToPage="1"/>
  </sheetPr>
  <dimension ref="B1:K8"/>
  <sheetViews>
    <sheetView workbookViewId="0">
      <selection activeCell="O43" sqref="O43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183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/>
    </row>
    <row r="7" spans="2:11">
      <c r="B7" s="27"/>
    </row>
    <row r="8" spans="2:11" ht="14">
      <c r="C8" s="24"/>
      <c r="D8" s="24" t="s">
        <v>329</v>
      </c>
      <c r="E8" s="24"/>
      <c r="F8" s="24"/>
      <c r="G8" s="24"/>
      <c r="H8" s="24"/>
      <c r="I8" s="24"/>
      <c r="J8" s="2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483D-A7D4-FF40-94E6-F275A2F3BCF4}">
  <sheetPr>
    <pageSetUpPr fitToPage="1"/>
  </sheetPr>
  <dimension ref="A1:K22"/>
  <sheetViews>
    <sheetView workbookViewId="0">
      <selection activeCell="D25" sqref="D2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1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1:11" ht="16">
      <c r="B2" s="159"/>
    </row>
    <row r="3" spans="1:11">
      <c r="B3" s="12" t="str">
        <f>+'Sch 1.1'!B3</f>
        <v>Kentucky Public Service Commission</v>
      </c>
      <c r="J3" s="183" t="str">
        <f>+'Sch 1.1'!J3</f>
        <v>Case No. 2018-00294</v>
      </c>
    </row>
    <row r="4" spans="1:11">
      <c r="I4" s="45"/>
      <c r="J4" s="36" t="s">
        <v>302</v>
      </c>
    </row>
    <row r="5" spans="1:11">
      <c r="B5" s="86" t="str">
        <f>+'Sch 1.1'!B5</f>
        <v>Kentucky Utilities Company</v>
      </c>
      <c r="I5" s="27"/>
      <c r="J5" s="36" t="s">
        <v>32</v>
      </c>
    </row>
    <row r="6" spans="1:11">
      <c r="B6" s="12" t="s">
        <v>42</v>
      </c>
    </row>
    <row r="7" spans="1:11">
      <c r="B7" s="27" t="s">
        <v>205</v>
      </c>
    </row>
    <row r="8" spans="1:11">
      <c r="B8" s="27"/>
    </row>
    <row r="9" spans="1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1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1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1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1:11" ht="14" thickBot="1">
      <c r="B13" s="148">
        <v>1</v>
      </c>
      <c r="C13" s="294"/>
      <c r="D13" s="54" t="s">
        <v>206</v>
      </c>
      <c r="E13" s="294"/>
      <c r="F13" s="343">
        <v>240853</v>
      </c>
      <c r="G13" s="293"/>
      <c r="H13" s="280">
        <f>-F13</f>
        <v>-240853</v>
      </c>
      <c r="I13" s="293"/>
      <c r="J13" s="343">
        <f>+F13+H13</f>
        <v>0</v>
      </c>
    </row>
    <row r="14" spans="1:11">
      <c r="B14" s="148"/>
      <c r="C14" s="294"/>
      <c r="D14" s="54"/>
      <c r="E14" s="294"/>
      <c r="F14" s="249"/>
      <c r="G14" s="293"/>
      <c r="H14" s="249"/>
      <c r="I14" s="293"/>
      <c r="J14" s="249"/>
    </row>
    <row r="15" spans="1:11" ht="14" thickBot="1">
      <c r="A15" s="35"/>
      <c r="B15" s="148">
        <v>2</v>
      </c>
      <c r="C15" s="35"/>
      <c r="D15" s="12" t="s">
        <v>61</v>
      </c>
      <c r="E15" s="12"/>
      <c r="F15" s="124">
        <f>+F13</f>
        <v>240853</v>
      </c>
      <c r="G15" s="12"/>
      <c r="H15" s="124">
        <f>+J15-F15</f>
        <v>-240853</v>
      </c>
      <c r="I15" s="12"/>
      <c r="J15" s="124">
        <f>+J13</f>
        <v>0</v>
      </c>
      <c r="K15" s="168"/>
    </row>
    <row r="16" spans="1:11" ht="14" thickTop="1">
      <c r="B16" s="148"/>
      <c r="C16" s="294"/>
      <c r="D16" s="12"/>
      <c r="E16" s="294"/>
      <c r="F16" s="294"/>
      <c r="G16" s="294"/>
      <c r="H16" s="294"/>
      <c r="I16" s="294"/>
      <c r="J16" s="294"/>
      <c r="K16" s="4"/>
    </row>
    <row r="18" spans="2:10">
      <c r="B18" s="110" t="s">
        <v>74</v>
      </c>
      <c r="C18" s="70"/>
      <c r="D18" s="70"/>
      <c r="E18" s="70"/>
      <c r="F18" s="70"/>
      <c r="G18" s="70"/>
      <c r="H18" s="70"/>
      <c r="I18" s="70"/>
      <c r="J18" s="70"/>
    </row>
    <row r="19" spans="2:10" s="35" customFormat="1">
      <c r="B19" s="64" t="s">
        <v>207</v>
      </c>
      <c r="F19" s="44"/>
      <c r="G19" s="44"/>
      <c r="H19" s="44"/>
      <c r="I19" s="44"/>
      <c r="J19" s="44"/>
    </row>
    <row r="20" spans="2:10" s="35" customFormat="1">
      <c r="B20" s="64" t="s">
        <v>208</v>
      </c>
      <c r="F20" s="44"/>
      <c r="G20" s="44"/>
      <c r="H20" s="44"/>
      <c r="I20" s="44"/>
      <c r="J20" s="44"/>
    </row>
    <row r="21" spans="2:10" s="35" customFormat="1">
      <c r="B21" s="64"/>
      <c r="F21" s="44"/>
      <c r="G21" s="44"/>
      <c r="H21" s="44"/>
      <c r="I21" s="44"/>
      <c r="J21" s="44"/>
    </row>
    <row r="22" spans="2:10">
      <c r="B22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3" tint="0.59999389629810485"/>
    <pageSetUpPr fitToPage="1"/>
  </sheetPr>
  <dimension ref="B1:U81"/>
  <sheetViews>
    <sheetView topLeftCell="A16" zoomScale="171" zoomScaleNormal="171" zoomScalePageLayoutView="171" workbookViewId="0">
      <selection activeCell="F30" sqref="F30:F35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6.5" style="33" customWidth="1"/>
    <col min="5" max="5" width="1.33203125" style="33" customWidth="1"/>
    <col min="6" max="6" width="13.1640625" style="33" bestFit="1" customWidth="1"/>
    <col min="7" max="7" width="1.33203125" style="33" customWidth="1"/>
    <col min="8" max="8" width="12.1640625" style="33" customWidth="1"/>
    <col min="9" max="9" width="1.33203125" style="33" customWidth="1"/>
    <col min="10" max="10" width="9.5" style="33" customWidth="1"/>
    <col min="11" max="11" width="1.33203125" style="33" customWidth="1"/>
    <col min="12" max="12" width="10" style="33" customWidth="1"/>
    <col min="13" max="13" width="1.33203125" style="33" customWidth="1"/>
    <col min="14" max="14" width="12.6640625" style="33" customWidth="1"/>
    <col min="15" max="15" width="1.33203125" style="33" customWidth="1"/>
    <col min="16" max="16" width="12.6640625" style="33" customWidth="1"/>
    <col min="17" max="17" width="2.83203125" style="33" customWidth="1"/>
    <col min="18" max="18" width="11.33203125" style="33" bestFit="1" customWidth="1"/>
    <col min="19" max="19" width="12.5" style="33" customWidth="1"/>
    <col min="20" max="20" width="8.83203125" style="33"/>
    <col min="21" max="21" width="12" style="33" customWidth="1"/>
    <col min="22" max="16384" width="8.83203125" style="33"/>
  </cols>
  <sheetData>
    <row r="1" spans="2:18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24"/>
      <c r="R1" s="24"/>
    </row>
    <row r="2" spans="2:18" ht="16">
      <c r="B2" s="159"/>
    </row>
    <row r="3" spans="2:18">
      <c r="B3" s="12" t="str">
        <f>+'Sch 1.1'!B3</f>
        <v>Kentucky Public Service Commission</v>
      </c>
      <c r="P3" s="183" t="str">
        <f>+'Sch 1.1'!J3</f>
        <v>Case No. 2018-00294</v>
      </c>
    </row>
    <row r="4" spans="2:18">
      <c r="P4" s="36" t="s">
        <v>303</v>
      </c>
    </row>
    <row r="5" spans="2:18">
      <c r="B5" s="86" t="str">
        <f>+'Sch 1.1'!B5</f>
        <v>Kentucky Utilities Company</v>
      </c>
      <c r="P5" s="184" t="s">
        <v>32</v>
      </c>
    </row>
    <row r="6" spans="2:18">
      <c r="B6" s="12" t="s">
        <v>43</v>
      </c>
    </row>
    <row r="7" spans="2:18">
      <c r="B7" s="45" t="s">
        <v>561</v>
      </c>
    </row>
    <row r="8" spans="2:18">
      <c r="B8" s="27"/>
    </row>
    <row r="9" spans="2:18">
      <c r="B9" s="12"/>
      <c r="C9" s="12"/>
      <c r="D9" s="12"/>
      <c r="E9" s="12"/>
      <c r="F9" s="294" t="s">
        <v>19</v>
      </c>
      <c r="G9" s="12"/>
      <c r="H9" s="294" t="s">
        <v>544</v>
      </c>
      <c r="I9" s="12"/>
      <c r="J9" s="294" t="s">
        <v>152</v>
      </c>
      <c r="K9" s="12"/>
      <c r="L9" s="294" t="s">
        <v>545</v>
      </c>
      <c r="M9" s="12"/>
      <c r="N9" s="294"/>
      <c r="O9" s="12"/>
      <c r="P9" s="294" t="s">
        <v>24</v>
      </c>
    </row>
    <row r="10" spans="2:18" ht="14" thickBot="1">
      <c r="B10" s="46" t="s">
        <v>18</v>
      </c>
      <c r="C10" s="13"/>
      <c r="D10" s="46" t="s">
        <v>17</v>
      </c>
      <c r="E10" s="13"/>
      <c r="F10" s="292" t="s">
        <v>60</v>
      </c>
      <c r="G10" s="294"/>
      <c r="H10" s="292" t="s">
        <v>94</v>
      </c>
      <c r="I10" s="294"/>
      <c r="J10" s="292" t="s">
        <v>547</v>
      </c>
      <c r="K10" s="294"/>
      <c r="L10" s="292" t="s">
        <v>546</v>
      </c>
      <c r="M10" s="294"/>
      <c r="N10" s="292" t="s">
        <v>20</v>
      </c>
      <c r="O10" s="294"/>
      <c r="P10" s="292" t="s">
        <v>25</v>
      </c>
    </row>
    <row r="11" spans="2:18">
      <c r="B11" s="13"/>
      <c r="C11" s="13"/>
      <c r="D11" s="12"/>
      <c r="E11" s="13"/>
      <c r="F11" s="294" t="s">
        <v>9</v>
      </c>
      <c r="G11" s="294"/>
      <c r="H11" s="294" t="s">
        <v>10</v>
      </c>
      <c r="I11" s="294"/>
      <c r="J11" s="5" t="s">
        <v>11</v>
      </c>
      <c r="K11" s="294"/>
      <c r="L11" s="5" t="s">
        <v>12</v>
      </c>
      <c r="N11" s="5" t="s">
        <v>13</v>
      </c>
      <c r="P11" s="5" t="s">
        <v>14</v>
      </c>
    </row>
    <row r="12" spans="2:18" s="35" customFormat="1"/>
    <row r="13" spans="2:18" s="35" customFormat="1">
      <c r="B13" s="112">
        <v>1</v>
      </c>
      <c r="D13" s="35" t="s">
        <v>92</v>
      </c>
      <c r="F13" s="436">
        <v>94636138</v>
      </c>
      <c r="N13" s="122">
        <f>+P13-F13</f>
        <v>-48909465.16569756</v>
      </c>
      <c r="P13" s="436">
        <f>+'3.5.1 CWC WP'!AJ82</f>
        <v>45726672.83430244</v>
      </c>
    </row>
    <row r="14" spans="2:18" s="35" customFormat="1">
      <c r="B14" s="112"/>
    </row>
    <row r="15" spans="2:18" s="35" customFormat="1">
      <c r="B15" s="112">
        <v>2</v>
      </c>
      <c r="D15" s="429" t="s">
        <v>537</v>
      </c>
      <c r="F15" s="429"/>
    </row>
    <row r="16" spans="2:18" s="35" customFormat="1">
      <c r="B16" s="112">
        <v>3</v>
      </c>
      <c r="D16" s="35" t="s">
        <v>538</v>
      </c>
      <c r="H16" s="431">
        <f>+'Sch 3'!AW43</f>
        <v>-24219629.042541921</v>
      </c>
      <c r="L16" s="434"/>
    </row>
    <row r="17" spans="2:21" s="35" customFormat="1">
      <c r="B17" s="112">
        <v>4</v>
      </c>
      <c r="D17" s="64" t="s">
        <v>539</v>
      </c>
      <c r="F17" s="64"/>
      <c r="H17" s="73">
        <f>+'Sch 3'!P43</f>
        <v>-2018838</v>
      </c>
      <c r="J17" s="73">
        <f>+H17/366</f>
        <v>-5515.9508196721308</v>
      </c>
      <c r="L17" s="434">
        <f>+'3.5.1 CWC WP'!AH21</f>
        <v>22.740077552977155</v>
      </c>
      <c r="N17" s="80">
        <f>+J17*L17</f>
        <v>-125433.14941775217</v>
      </c>
      <c r="P17" s="80">
        <f t="shared" ref="P17:P19" si="0">+F17+N17</f>
        <v>-125433.14941775217</v>
      </c>
    </row>
    <row r="18" spans="2:21" s="35" customFormat="1">
      <c r="B18" s="112">
        <v>5</v>
      </c>
      <c r="D18" s="64" t="s">
        <v>188</v>
      </c>
      <c r="F18" s="64"/>
      <c r="H18" s="73">
        <f>+'Sch 3'!R43</f>
        <v>-138798</v>
      </c>
      <c r="J18" s="73">
        <f t="shared" ref="J18:J27" si="1">+H18/366</f>
        <v>-379.22950819672133</v>
      </c>
      <c r="L18" s="434">
        <f>+'3.5.1 CWC WP'!AH25</f>
        <v>19.910284724427282</v>
      </c>
      <c r="N18" s="80">
        <f t="shared" ref="N18:N27" si="2">+J18*L18</f>
        <v>-7550.5674841012515</v>
      </c>
      <c r="P18" s="80">
        <f t="shared" si="0"/>
        <v>-7550.5674841012515</v>
      </c>
    </row>
    <row r="19" spans="2:21" s="35" customFormat="1">
      <c r="B19" s="112">
        <v>6</v>
      </c>
      <c r="D19" s="64" t="s">
        <v>211</v>
      </c>
      <c r="F19" s="64"/>
      <c r="H19" s="73">
        <f>+'Sch 3'!V43</f>
        <v>-442027.63018065883</v>
      </c>
      <c r="J19" s="73">
        <f t="shared" si="1"/>
        <v>-1207.7257655209257</v>
      </c>
      <c r="L19" s="434">
        <f>+'3.5.1 CWC WP'!AH25</f>
        <v>19.910284724427282</v>
      </c>
      <c r="N19" s="80">
        <f t="shared" si="2"/>
        <v>-24046.163860548531</v>
      </c>
      <c r="P19" s="80">
        <f t="shared" si="0"/>
        <v>-24046.163860548531</v>
      </c>
    </row>
    <row r="20" spans="2:21" s="35" customFormat="1">
      <c r="B20" s="112">
        <v>7</v>
      </c>
      <c r="D20" s="64" t="s">
        <v>540</v>
      </c>
      <c r="F20" s="64"/>
      <c r="H20" s="73">
        <f>+H16-H17-H18-H19</f>
        <v>-21619965.412361261</v>
      </c>
      <c r="J20" s="73">
        <f t="shared" si="1"/>
        <v>-59070.943749620928</v>
      </c>
      <c r="L20" s="434">
        <f>+'3.5.1 CWC WP'!AH26</f>
        <v>-6.6248677648787222</v>
      </c>
      <c r="N20" s="80">
        <f t="shared" si="2"/>
        <v>391337.1910878279</v>
      </c>
      <c r="P20" s="80"/>
    </row>
    <row r="21" spans="2:21" s="35" customFormat="1">
      <c r="B21" s="112"/>
      <c r="H21" s="73"/>
      <c r="J21" s="73"/>
      <c r="L21" s="434"/>
    </row>
    <row r="22" spans="2:21" s="35" customFormat="1">
      <c r="B22" s="112">
        <v>8</v>
      </c>
      <c r="D22" s="35" t="s">
        <v>142</v>
      </c>
      <c r="H22" s="73">
        <f>+'Sch 3'!AW44</f>
        <v>-2074087.4365853658</v>
      </c>
      <c r="J22" s="73">
        <f t="shared" si="1"/>
        <v>-5666.90556444089</v>
      </c>
      <c r="L22" s="434">
        <f>+'3.5.1 CWC WP'!AH30</f>
        <v>0</v>
      </c>
      <c r="N22" s="80">
        <f t="shared" si="2"/>
        <v>0</v>
      </c>
      <c r="P22" s="80">
        <f t="shared" ref="P22" si="3">+F22+N22</f>
        <v>0</v>
      </c>
    </row>
    <row r="23" spans="2:21" s="35" customFormat="1">
      <c r="B23" s="112"/>
      <c r="H23" s="73"/>
      <c r="J23" s="73"/>
      <c r="L23" s="434"/>
    </row>
    <row r="24" spans="2:21" s="35" customFormat="1">
      <c r="B24" s="112">
        <v>9</v>
      </c>
      <c r="D24" s="35" t="s">
        <v>165</v>
      </c>
      <c r="H24" s="73">
        <f>+'Sch 3'!AW46</f>
        <v>-112869</v>
      </c>
      <c r="J24" s="73">
        <f t="shared" si="1"/>
        <v>-308.38524590163934</v>
      </c>
      <c r="L24" s="434">
        <f>+'3.5.1 CWC WP'!AH43</f>
        <v>-112.26916205487534</v>
      </c>
      <c r="N24" s="80">
        <f t="shared" si="2"/>
        <v>34622.15314746373</v>
      </c>
      <c r="P24" s="80">
        <f t="shared" ref="P24" si="4">+F24+N24</f>
        <v>34622.15314746373</v>
      </c>
    </row>
    <row r="25" spans="2:21" s="35" customFormat="1">
      <c r="B25" s="112"/>
      <c r="H25" s="73"/>
      <c r="J25" s="73"/>
      <c r="L25" s="434"/>
    </row>
    <row r="26" spans="2:21" s="35" customFormat="1">
      <c r="B26" s="112">
        <v>10</v>
      </c>
      <c r="D26" s="35" t="s">
        <v>541</v>
      </c>
      <c r="H26" s="73">
        <f>+'Sch 3'!BA47</f>
        <v>6419976</v>
      </c>
      <c r="J26" s="73">
        <f t="shared" si="1"/>
        <v>17540.918032786885</v>
      </c>
      <c r="L26" s="434">
        <f>+'3.5.1 CWC WP'!AH37</f>
        <v>7.798333333333332</v>
      </c>
      <c r="N26" s="80">
        <f t="shared" si="2"/>
        <v>136789.92579234971</v>
      </c>
      <c r="P26" s="80">
        <f t="shared" ref="P26:P27" si="5">+F26+N26</f>
        <v>136789.92579234971</v>
      </c>
    </row>
    <row r="27" spans="2:21" s="35" customFormat="1">
      <c r="B27" s="112">
        <v>11</v>
      </c>
      <c r="D27" s="35" t="s">
        <v>542</v>
      </c>
      <c r="H27" s="433">
        <v>442319</v>
      </c>
      <c r="J27" s="73">
        <f t="shared" si="1"/>
        <v>1208.5218579234972</v>
      </c>
      <c r="L27" s="434">
        <f>+'3.5.1 CWC WP'!AH38</f>
        <v>7.798333333333332</v>
      </c>
      <c r="N27" s="80">
        <f t="shared" si="2"/>
        <v>9424.4562887067368</v>
      </c>
      <c r="P27" s="80">
        <f t="shared" si="5"/>
        <v>9424.4562887067368</v>
      </c>
    </row>
    <row r="28" spans="2:21" s="35" customFormat="1">
      <c r="B28" s="112"/>
      <c r="L28" s="434"/>
    </row>
    <row r="29" spans="2:21" s="35" customFormat="1">
      <c r="B29" s="112">
        <v>12</v>
      </c>
      <c r="D29" s="35" t="s">
        <v>33</v>
      </c>
      <c r="H29" s="79">
        <f>SUM(H17:H27)</f>
        <v>-19544290.479127288</v>
      </c>
    </row>
    <row r="30" spans="2:21" s="35" customFormat="1" ht="14" thickBot="1">
      <c r="B30" s="112"/>
      <c r="D30" s="92" t="s">
        <v>543</v>
      </c>
      <c r="F30" s="438"/>
      <c r="H30" s="432">
        <f>+'Sch 3'!AW49-H29</f>
        <v>0</v>
      </c>
      <c r="P30" s="438"/>
    </row>
    <row r="31" spans="2:21" s="35" customFormat="1" ht="14" thickBot="1">
      <c r="B31" s="112">
        <v>13</v>
      </c>
      <c r="D31" s="35" t="s">
        <v>92</v>
      </c>
      <c r="F31" s="436">
        <f>SUM(F13:F30)</f>
        <v>94636138</v>
      </c>
      <c r="N31" s="123">
        <f>+P31-F31</f>
        <v>-48885658.511231437</v>
      </c>
      <c r="P31" s="436">
        <f>SUM(P13:P30)</f>
        <v>45750479.488768563</v>
      </c>
      <c r="U31" s="80"/>
    </row>
    <row r="32" spans="2:21" s="35" customFormat="1" ht="14" thickBot="1">
      <c r="B32" s="112"/>
      <c r="F32" s="436"/>
      <c r="N32" s="437"/>
      <c r="P32" s="436"/>
      <c r="U32" s="80"/>
    </row>
    <row r="33" spans="2:21" s="35" customFormat="1" ht="14" thickBot="1">
      <c r="B33" s="112">
        <v>14</v>
      </c>
      <c r="D33" s="35" t="s">
        <v>562</v>
      </c>
      <c r="F33" s="431">
        <v>15605034</v>
      </c>
      <c r="N33" s="123">
        <f>-F33</f>
        <v>-15605034</v>
      </c>
      <c r="P33" s="431">
        <f>+F33+N33</f>
        <v>0</v>
      </c>
      <c r="U33" s="80"/>
    </row>
    <row r="34" spans="2:21" s="35" customFormat="1">
      <c r="B34" s="112"/>
      <c r="F34" s="436"/>
      <c r="N34" s="437"/>
      <c r="P34" s="436"/>
      <c r="U34" s="80"/>
    </row>
    <row r="35" spans="2:21" s="35" customFormat="1" ht="14" thickBot="1">
      <c r="B35" s="112">
        <v>15</v>
      </c>
      <c r="D35" s="12" t="s">
        <v>61</v>
      </c>
      <c r="E35" s="12"/>
      <c r="F35" s="124">
        <f>+F31+F33</f>
        <v>110241172</v>
      </c>
      <c r="G35" s="12"/>
      <c r="H35" s="12"/>
      <c r="I35" s="12"/>
      <c r="J35" s="12"/>
      <c r="K35" s="12"/>
      <c r="L35" s="12"/>
      <c r="M35" s="12"/>
      <c r="N35" s="124">
        <f>+P35-F35</f>
        <v>-64490692.511231437</v>
      </c>
      <c r="O35" s="12"/>
      <c r="P35" s="124">
        <f>+P31</f>
        <v>45750479.488768563</v>
      </c>
    </row>
    <row r="36" spans="2:21" s="35" customFormat="1" ht="14" thickTop="1">
      <c r="B36" s="112"/>
      <c r="D36" s="54"/>
      <c r="F36" s="121"/>
    </row>
    <row r="37" spans="2:21" s="35" customFormat="1"/>
    <row r="38" spans="2:21" s="35" customFormat="1">
      <c r="B38" s="110" t="s">
        <v>74</v>
      </c>
      <c r="C38" s="114"/>
      <c r="D38" s="114"/>
      <c r="E38" s="114"/>
      <c r="F38" s="125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2:21" s="35" customFormat="1">
      <c r="B39" s="64" t="s">
        <v>563</v>
      </c>
    </row>
    <row r="40" spans="2:21" s="35" customFormat="1">
      <c r="B40" s="64" t="s">
        <v>524</v>
      </c>
    </row>
    <row r="41" spans="2:21" s="35" customFormat="1">
      <c r="B41" s="64" t="s">
        <v>525</v>
      </c>
    </row>
    <row r="42" spans="2:21" s="35" customFormat="1">
      <c r="B42" s="64" t="s">
        <v>527</v>
      </c>
    </row>
    <row r="43" spans="2:21" s="35" customFormat="1">
      <c r="B43" s="64"/>
    </row>
    <row r="44" spans="2:21" s="35" customFormat="1">
      <c r="B44" s="64"/>
      <c r="D44" s="184" t="s">
        <v>86</v>
      </c>
    </row>
    <row r="45" spans="2:21" s="35" customFormat="1">
      <c r="B45" s="64"/>
      <c r="D45" s="33"/>
      <c r="E45" s="33"/>
      <c r="F45" s="126" t="s">
        <v>67</v>
      </c>
      <c r="G45" s="127"/>
      <c r="H45" s="126" t="s">
        <v>65</v>
      </c>
      <c r="I45" s="127"/>
      <c r="J45" s="195" t="s">
        <v>66</v>
      </c>
      <c r="M45" s="127"/>
    </row>
    <row r="46" spans="2:21" s="35" customFormat="1">
      <c r="B46" s="64"/>
      <c r="D46" s="77" t="s">
        <v>77</v>
      </c>
      <c r="E46" s="33"/>
      <c r="F46" s="128">
        <f>+'Sch 3'!BA47</f>
        <v>6419976</v>
      </c>
      <c r="G46" s="127"/>
      <c r="H46" s="128">
        <f>+'Sch 3'!BC47</f>
        <v>6862295</v>
      </c>
      <c r="I46" s="127"/>
      <c r="J46" s="196">
        <f>+H46-F46</f>
        <v>442319</v>
      </c>
      <c r="L46" s="35" t="s">
        <v>105</v>
      </c>
      <c r="M46" s="127"/>
    </row>
    <row r="47" spans="2:21" s="35" customFormat="1">
      <c r="B47" s="64"/>
      <c r="D47" s="33"/>
      <c r="E47" s="33"/>
      <c r="F47" s="33"/>
      <c r="G47" s="33"/>
      <c r="H47" s="92" t="s">
        <v>76</v>
      </c>
      <c r="I47" s="129"/>
      <c r="J47" s="130">
        <f>+'3.18-Int Sychn'!H28</f>
        <v>442319</v>
      </c>
      <c r="M47" s="33"/>
    </row>
    <row r="48" spans="2:21" s="35" customFormat="1">
      <c r="B48" s="64"/>
    </row>
    <row r="49" spans="2:16" s="35" customFormat="1"/>
    <row r="50" spans="2:16" s="35" customFormat="1"/>
    <row r="51" spans="2:16" s="35" customFormat="1">
      <c r="D51" s="244" t="s">
        <v>76</v>
      </c>
      <c r="E51" s="291"/>
      <c r="F51" s="246">
        <f>+'Sch 1.1'!F20</f>
        <v>94636138</v>
      </c>
    </row>
    <row r="52" spans="2:16" s="35" customFormat="1"/>
    <row r="53" spans="2:16" s="35" customFormat="1">
      <c r="B53" s="112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s="35" customFormat="1">
      <c r="B54" s="11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s="35" customFormat="1">
      <c r="B55" s="112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s="35" customFormat="1">
      <c r="B56" s="112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 s="35" customFormat="1">
      <c r="B57" s="112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 s="35" customFormat="1">
      <c r="B58" s="112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2:16" s="35" customFormat="1">
      <c r="B59" s="11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2:16" s="35" customFormat="1">
      <c r="B60" s="11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2:16" s="35" customFormat="1">
      <c r="B61" s="11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2:16" s="35" customFormat="1">
      <c r="B62" s="11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2:16" s="35" customFormat="1">
      <c r="B63" s="11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s="35" customFormat="1">
      <c r="B64" s="11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6" s="35" customFormat="1">
      <c r="B65" s="11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2:16" s="35" customFormat="1">
      <c r="B66" s="11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6" s="35" customFormat="1">
      <c r="B67" s="11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2:16" s="35" customFormat="1">
      <c r="B68" s="11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2:16" s="35" customFormat="1">
      <c r="B69" s="11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s="35" customFormat="1">
      <c r="B70" s="11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s="35" customFormat="1">
      <c r="B71" s="11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2:16" s="35" customFormat="1">
      <c r="B72" s="11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2:16" s="35" customFormat="1">
      <c r="B73" s="11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2:16" s="35" customFormat="1">
      <c r="B74" s="11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2:16" s="35" customFormat="1">
      <c r="B75" s="11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2:16" s="35" customFormat="1">
      <c r="B76" s="11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2:16" s="35" customFormat="1">
      <c r="B77" s="11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2:16" s="35" customFormat="1">
      <c r="B78" s="11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2:16" s="35" customFormat="1"/>
    <row r="80" spans="2:16" s="35" customFormat="1"/>
    <row r="81" s="35" customFormat="1"/>
  </sheetData>
  <mergeCells count="1">
    <mergeCell ref="B1:P1"/>
  </mergeCells>
  <phoneticPr fontId="4" type="noConversion"/>
  <printOptions horizontalCentered="1"/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AE51-5B7C-034B-A57E-602BAD1BD6FC}">
  <sheetPr>
    <pageSetUpPr fitToPage="1"/>
  </sheetPr>
  <dimension ref="B1:AL92"/>
  <sheetViews>
    <sheetView workbookViewId="0">
      <selection activeCell="AL6" sqref="AL6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9.83203125" style="33" bestFit="1" customWidth="1"/>
    <col min="5" max="5" width="1.33203125" style="33" customWidth="1"/>
    <col min="6" max="6" width="14.6640625" style="33" bestFit="1" customWidth="1"/>
    <col min="7" max="7" width="1.33203125" style="33" customWidth="1"/>
    <col min="8" max="8" width="9.33203125" style="33" bestFit="1" customWidth="1"/>
    <col min="9" max="9" width="1.33203125" style="33" customWidth="1"/>
    <col min="10" max="10" width="14.6640625" style="33" bestFit="1" customWidth="1"/>
    <col min="11" max="11" width="1.33203125" style="33" customWidth="1"/>
    <col min="12" max="12" width="12.6640625" style="33" bestFit="1" customWidth="1"/>
    <col min="13" max="13" width="1.33203125" style="33" customWidth="1"/>
    <col min="14" max="14" width="8.83203125" style="33" bestFit="1" customWidth="1"/>
    <col min="15" max="15" width="1.33203125" style="33" customWidth="1"/>
    <col min="16" max="16" width="9.6640625" style="33" bestFit="1" customWidth="1"/>
    <col min="17" max="17" width="1.33203125" style="33" customWidth="1"/>
    <col min="18" max="18" width="9.6640625" style="33" bestFit="1" customWidth="1"/>
    <col min="19" max="19" width="1.33203125" style="33" customWidth="1"/>
    <col min="20" max="20" width="12.6640625" style="33" bestFit="1" customWidth="1"/>
    <col min="21" max="21" width="1.6640625" style="33" customWidth="1"/>
    <col min="22" max="22" width="14.6640625" style="33" bestFit="1" customWidth="1"/>
    <col min="23" max="23" width="1.33203125" style="33" customWidth="1"/>
    <col min="24" max="24" width="9.83203125" style="33" customWidth="1"/>
    <col min="25" max="25" width="1.33203125" style="33" customWidth="1"/>
    <col min="26" max="26" width="14.6640625" style="33" bestFit="1" customWidth="1"/>
    <col min="27" max="27" width="1.33203125" style="33" customWidth="1"/>
    <col min="28" max="28" width="11" style="33" customWidth="1"/>
    <col min="29" max="29" width="1.33203125" style="33" customWidth="1"/>
    <col min="30" max="30" width="10" style="33" bestFit="1" customWidth="1"/>
    <col min="31" max="31" width="1.33203125" style="33" customWidth="1"/>
    <col min="32" max="32" width="8.6640625" style="33" bestFit="1" customWidth="1"/>
    <col min="33" max="33" width="1.33203125" style="33" customWidth="1"/>
    <col min="34" max="34" width="9.6640625" style="33" customWidth="1"/>
    <col min="35" max="35" width="1.33203125" style="33" customWidth="1"/>
    <col min="36" max="36" width="12.6640625" style="33" bestFit="1" customWidth="1"/>
    <col min="37" max="37" width="1.33203125" style="33" customWidth="1"/>
    <col min="38" max="38" width="14.83203125" style="33" customWidth="1"/>
    <col min="39" max="16384" width="8.83203125" style="33"/>
  </cols>
  <sheetData>
    <row r="1" spans="2:38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24"/>
      <c r="N1" s="24"/>
    </row>
    <row r="2" spans="2:38" ht="16">
      <c r="B2" s="159"/>
    </row>
    <row r="3" spans="2:38">
      <c r="B3" s="12" t="str">
        <f>+'Sch 1.1'!B3</f>
        <v>Kentucky Public Service Commission</v>
      </c>
      <c r="AL3" s="183" t="str">
        <f>+'Sch 1.1'!J3</f>
        <v>Case No. 2018-00294</v>
      </c>
    </row>
    <row r="4" spans="2:38">
      <c r="AL4" s="36" t="s">
        <v>304</v>
      </c>
    </row>
    <row r="5" spans="2:38">
      <c r="B5" s="86" t="str">
        <f>+'Sch 1.1'!B5</f>
        <v>Kentucky Utilities Company</v>
      </c>
      <c r="AB5" s="430"/>
      <c r="AL5" s="184"/>
    </row>
    <row r="6" spans="2:38">
      <c r="B6" s="12" t="s">
        <v>43</v>
      </c>
    </row>
    <row r="7" spans="2:38">
      <c r="B7" s="27" t="s">
        <v>305</v>
      </c>
    </row>
    <row r="8" spans="2:38">
      <c r="B8" s="27"/>
    </row>
    <row r="9" spans="2:38" ht="14" thickBot="1">
      <c r="B9" s="27"/>
      <c r="F9" s="441" t="s">
        <v>523</v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V9" s="441" t="s">
        <v>24</v>
      </c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</row>
    <row r="10" spans="2:38" s="35" customFormat="1" ht="57" thickBot="1">
      <c r="B10" s="350" t="s">
        <v>18</v>
      </c>
      <c r="C10" s="299"/>
      <c r="D10" s="350" t="s">
        <v>17</v>
      </c>
      <c r="E10" s="349"/>
      <c r="F10" s="350" t="s">
        <v>237</v>
      </c>
      <c r="G10" s="349"/>
      <c r="H10" s="350" t="s">
        <v>238</v>
      </c>
      <c r="I10" s="349"/>
      <c r="J10" s="350" t="s">
        <v>239</v>
      </c>
      <c r="K10" s="349"/>
      <c r="L10" s="350" t="s">
        <v>240</v>
      </c>
      <c r="M10" s="349"/>
      <c r="N10" s="350" t="s">
        <v>241</v>
      </c>
      <c r="O10" s="349"/>
      <c r="P10" s="350" t="s">
        <v>242</v>
      </c>
      <c r="Q10" s="349"/>
      <c r="R10" s="350" t="s">
        <v>243</v>
      </c>
      <c r="S10" s="349"/>
      <c r="T10" s="350" t="s">
        <v>244</v>
      </c>
      <c r="V10" s="350" t="s">
        <v>237</v>
      </c>
      <c r="W10" s="349"/>
      <c r="X10" s="350" t="s">
        <v>238</v>
      </c>
      <c r="Y10" s="349"/>
      <c r="Z10" s="350" t="s">
        <v>239</v>
      </c>
      <c r="AA10" s="349"/>
      <c r="AB10" s="350" t="s">
        <v>240</v>
      </c>
      <c r="AC10" s="349"/>
      <c r="AD10" s="350" t="s">
        <v>241</v>
      </c>
      <c r="AE10" s="349"/>
      <c r="AF10" s="350" t="s">
        <v>242</v>
      </c>
      <c r="AG10" s="349"/>
      <c r="AH10" s="350" t="s">
        <v>243</v>
      </c>
      <c r="AI10" s="349"/>
      <c r="AJ10" s="350" t="s">
        <v>244</v>
      </c>
      <c r="AL10" s="350" t="s">
        <v>20</v>
      </c>
    </row>
    <row r="11" spans="2:38" s="35" customFormat="1">
      <c r="B11" s="305"/>
      <c r="D11" s="306" t="s">
        <v>245</v>
      </c>
      <c r="E11" s="307"/>
      <c r="F11" s="307"/>
      <c r="G11" s="307"/>
      <c r="H11" s="308"/>
      <c r="I11" s="308"/>
      <c r="J11" s="307"/>
      <c r="K11" s="307"/>
      <c r="L11" s="307"/>
      <c r="M11" s="307"/>
      <c r="N11" s="307"/>
      <c r="O11" s="307"/>
      <c r="P11" s="309"/>
      <c r="Q11" s="309"/>
      <c r="R11" s="307"/>
      <c r="S11" s="307"/>
      <c r="T11" s="307"/>
      <c r="V11" s="307"/>
      <c r="W11" s="307"/>
      <c r="X11" s="308"/>
      <c r="Y11" s="308"/>
      <c r="Z11" s="307"/>
      <c r="AA11" s="308"/>
      <c r="AB11" s="307"/>
      <c r="AC11" s="308"/>
      <c r="AD11" s="307"/>
      <c r="AE11" s="308"/>
      <c r="AF11" s="309"/>
      <c r="AG11" s="308"/>
      <c r="AH11" s="307"/>
      <c r="AI11" s="308"/>
      <c r="AJ11" s="307"/>
    </row>
    <row r="12" spans="2:38" s="35" customFormat="1">
      <c r="B12" s="305">
        <v>1</v>
      </c>
      <c r="D12" s="310" t="s">
        <v>246</v>
      </c>
      <c r="E12" s="312"/>
      <c r="F12" s="311">
        <v>295804201.68000001</v>
      </c>
      <c r="G12" s="312"/>
      <c r="H12" s="313">
        <v>0.9410091595713157</v>
      </c>
      <c r="I12" s="314"/>
      <c r="J12" s="311">
        <f t="shared" ref="J12:J26" si="0">+F12*H12</f>
        <v>278354463.22056079</v>
      </c>
      <c r="K12" s="315"/>
      <c r="L12" s="315">
        <v>760531.32027475629</v>
      </c>
      <c r="M12" s="307"/>
      <c r="N12" s="309">
        <v>45.298333333333332</v>
      </c>
      <c r="O12" s="309"/>
      <c r="P12" s="309">
        <v>-27.28</v>
      </c>
      <c r="Q12" s="309"/>
      <c r="R12" s="309">
        <f>N12+P12</f>
        <v>18.018333333333331</v>
      </c>
      <c r="S12" s="309"/>
      <c r="T12" s="315">
        <f t="shared" ref="T12:T26" si="1">L12*R12</f>
        <v>13703506.839150649</v>
      </c>
      <c r="V12" s="311">
        <v>295804201.68000001</v>
      </c>
      <c r="W12" s="312"/>
      <c r="X12" s="313">
        <v>0.9410091595713157</v>
      </c>
      <c r="Y12" s="314"/>
      <c r="Z12" s="311">
        <f>+V12*X12</f>
        <v>278354463.22056079</v>
      </c>
      <c r="AA12" s="314"/>
      <c r="AB12" s="315">
        <v>760531.32027475629</v>
      </c>
      <c r="AC12" s="314"/>
      <c r="AD12" s="309">
        <v>45.298333333333332</v>
      </c>
      <c r="AE12" s="314"/>
      <c r="AF12" s="309">
        <v>-27.28</v>
      </c>
      <c r="AG12" s="314"/>
      <c r="AH12" s="309">
        <f>AD12+AF12</f>
        <v>18.018333333333331</v>
      </c>
      <c r="AI12" s="314"/>
      <c r="AJ12" s="315">
        <f>AB12*AH12</f>
        <v>13703506.839150649</v>
      </c>
    </row>
    <row r="13" spans="2:38" s="35" customFormat="1">
      <c r="B13" s="305">
        <f>B12+1</f>
        <v>2</v>
      </c>
      <c r="D13" s="310" t="s">
        <v>247</v>
      </c>
      <c r="E13" s="312"/>
      <c r="F13" s="311">
        <v>127316246</v>
      </c>
      <c r="G13" s="312"/>
      <c r="H13" s="313">
        <v>0.9410091595713157</v>
      </c>
      <c r="I13" s="314"/>
      <c r="J13" s="311">
        <f t="shared" si="0"/>
        <v>119805753.64823489</v>
      </c>
      <c r="K13" s="315"/>
      <c r="L13" s="315">
        <v>327338.12472195324</v>
      </c>
      <c r="M13" s="307"/>
      <c r="N13" s="309">
        <v>45.298333333333332</v>
      </c>
      <c r="O13" s="309"/>
      <c r="P13" s="309">
        <v>-39.32</v>
      </c>
      <c r="Q13" s="309"/>
      <c r="R13" s="309">
        <f t="shared" ref="R13:R26" si="2">N13+P13</f>
        <v>5.9783333333333317</v>
      </c>
      <c r="S13" s="309"/>
      <c r="T13" s="315">
        <f t="shared" si="1"/>
        <v>1956936.4222960765</v>
      </c>
      <c r="V13" s="311">
        <v>127316246</v>
      </c>
      <c r="W13" s="312"/>
      <c r="X13" s="313">
        <v>0.9410091595713157</v>
      </c>
      <c r="Y13" s="314"/>
      <c r="Z13" s="311">
        <f t="shared" ref="Z13:Z26" si="3">+V13*X13</f>
        <v>119805753.64823489</v>
      </c>
      <c r="AA13" s="314"/>
      <c r="AB13" s="315">
        <v>327338.12472195324</v>
      </c>
      <c r="AC13" s="314"/>
      <c r="AD13" s="309">
        <v>45.298333333333332</v>
      </c>
      <c r="AE13" s="314"/>
      <c r="AF13" s="309">
        <v>-39.32</v>
      </c>
      <c r="AG13" s="314"/>
      <c r="AH13" s="309">
        <f t="shared" ref="AH13:AH26" si="4">AD13+AF13</f>
        <v>5.9783333333333317</v>
      </c>
      <c r="AI13" s="314"/>
      <c r="AJ13" s="315">
        <f t="shared" ref="AJ13:AJ26" si="5">AB13*AH13</f>
        <v>1956936.4222960765</v>
      </c>
    </row>
    <row r="14" spans="2:38" s="35" customFormat="1">
      <c r="B14" s="305">
        <f>B13+1</f>
        <v>3</v>
      </c>
      <c r="D14" s="310" t="s">
        <v>248</v>
      </c>
      <c r="E14" s="312"/>
      <c r="F14" s="311">
        <v>2965299.7</v>
      </c>
      <c r="G14" s="312"/>
      <c r="H14" s="313">
        <v>0.9410091595713157</v>
      </c>
      <c r="I14" s="314"/>
      <c r="J14" s="311">
        <f t="shared" si="0"/>
        <v>2790374.1785740745</v>
      </c>
      <c r="K14" s="315"/>
      <c r="L14" s="315">
        <v>7623.9731655029354</v>
      </c>
      <c r="M14" s="307"/>
      <c r="N14" s="309">
        <v>45.298333333333332</v>
      </c>
      <c r="O14" s="309"/>
      <c r="P14" s="309">
        <v>-17.32</v>
      </c>
      <c r="Q14" s="309"/>
      <c r="R14" s="309">
        <f t="shared" si="2"/>
        <v>27.978333333333332</v>
      </c>
      <c r="S14" s="309"/>
      <c r="T14" s="315">
        <f t="shared" si="1"/>
        <v>213306.06254882962</v>
      </c>
      <c r="V14" s="311">
        <v>2965299.7</v>
      </c>
      <c r="W14" s="312"/>
      <c r="X14" s="313">
        <v>0.9410091595713157</v>
      </c>
      <c r="Y14" s="314"/>
      <c r="Z14" s="311">
        <f t="shared" si="3"/>
        <v>2790374.1785740745</v>
      </c>
      <c r="AA14" s="314"/>
      <c r="AB14" s="315">
        <v>7623.9731655029354</v>
      </c>
      <c r="AC14" s="314"/>
      <c r="AD14" s="309">
        <v>45.298333333333332</v>
      </c>
      <c r="AE14" s="314"/>
      <c r="AF14" s="309">
        <v>-17.32</v>
      </c>
      <c r="AG14" s="314"/>
      <c r="AH14" s="309">
        <f t="shared" si="4"/>
        <v>27.978333333333332</v>
      </c>
      <c r="AI14" s="314"/>
      <c r="AJ14" s="315">
        <f t="shared" si="5"/>
        <v>213306.06254882962</v>
      </c>
    </row>
    <row r="15" spans="2:38" s="35" customFormat="1">
      <c r="B15" s="305">
        <f>B14+1</f>
        <v>4</v>
      </c>
      <c r="D15" s="310" t="s">
        <v>249</v>
      </c>
      <c r="E15" s="312"/>
      <c r="F15" s="311">
        <v>11163321</v>
      </c>
      <c r="G15" s="312"/>
      <c r="H15" s="313">
        <v>0.9410091595713157</v>
      </c>
      <c r="I15" s="314"/>
      <c r="J15" s="311">
        <f t="shared" si="0"/>
        <v>10504787.312234819</v>
      </c>
      <c r="K15" s="315"/>
      <c r="L15" s="315">
        <v>28701.60467823721</v>
      </c>
      <c r="M15" s="307"/>
      <c r="N15" s="309">
        <v>45.298333333333332</v>
      </c>
      <c r="O15" s="309"/>
      <c r="P15" s="309">
        <v>-27.76</v>
      </c>
      <c r="Q15" s="309"/>
      <c r="R15" s="309">
        <f t="shared" si="2"/>
        <v>17.53833333333333</v>
      </c>
      <c r="S15" s="309"/>
      <c r="T15" s="315">
        <f t="shared" si="1"/>
        <v>503378.31004848354</v>
      </c>
      <c r="V15" s="311">
        <v>11163321</v>
      </c>
      <c r="W15" s="312"/>
      <c r="X15" s="313">
        <v>0.9410091595713157</v>
      </c>
      <c r="Y15" s="314"/>
      <c r="Z15" s="311">
        <f t="shared" si="3"/>
        <v>10504787.312234819</v>
      </c>
      <c r="AA15" s="314"/>
      <c r="AB15" s="315">
        <v>28701.60467823721</v>
      </c>
      <c r="AC15" s="314"/>
      <c r="AD15" s="309">
        <v>45.298333333333332</v>
      </c>
      <c r="AE15" s="314"/>
      <c r="AF15" s="309">
        <v>-27.76</v>
      </c>
      <c r="AG15" s="314"/>
      <c r="AH15" s="309">
        <f t="shared" si="4"/>
        <v>17.53833333333333</v>
      </c>
      <c r="AI15" s="314"/>
      <c r="AJ15" s="315">
        <f t="shared" si="5"/>
        <v>503378.31004848354</v>
      </c>
    </row>
    <row r="16" spans="2:38" s="35" customFormat="1">
      <c r="B16" s="305">
        <f>B15+1</f>
        <v>5</v>
      </c>
      <c r="D16" s="310" t="s">
        <v>250</v>
      </c>
      <c r="E16" s="312"/>
      <c r="F16" s="316">
        <v>58036196.183791012</v>
      </c>
      <c r="G16" s="312"/>
      <c r="H16" s="313">
        <v>0.94025938944617093</v>
      </c>
      <c r="I16" s="314"/>
      <c r="J16" s="311">
        <f t="shared" si="0"/>
        <v>54569078.389549531</v>
      </c>
      <c r="K16" s="315"/>
      <c r="L16" s="315">
        <v>149095.84259439763</v>
      </c>
      <c r="M16" s="307"/>
      <c r="N16" s="309">
        <v>45.298333333333332</v>
      </c>
      <c r="O16" s="309"/>
      <c r="P16" s="309">
        <v>-23.664370061149086</v>
      </c>
      <c r="Q16" s="309"/>
      <c r="R16" s="309">
        <f t="shared" si="2"/>
        <v>21.633963272184246</v>
      </c>
      <c r="S16" s="309"/>
      <c r="T16" s="315">
        <f t="shared" si="1"/>
        <v>3225533.9827225618</v>
      </c>
      <c r="V16" s="316">
        <v>58036196.183791012</v>
      </c>
      <c r="W16" s="312"/>
      <c r="X16" s="313">
        <v>0.94025938944617093</v>
      </c>
      <c r="Y16" s="314"/>
      <c r="Z16" s="311">
        <f t="shared" si="3"/>
        <v>54569078.389549531</v>
      </c>
      <c r="AA16" s="314"/>
      <c r="AB16" s="315">
        <v>149095.84259439763</v>
      </c>
      <c r="AC16" s="314"/>
      <c r="AD16" s="309">
        <v>45.298333333333332</v>
      </c>
      <c r="AE16" s="314"/>
      <c r="AF16" s="309">
        <v>-23.664370061149086</v>
      </c>
      <c r="AG16" s="314"/>
      <c r="AH16" s="309">
        <f t="shared" si="4"/>
        <v>21.633963272184246</v>
      </c>
      <c r="AI16" s="314"/>
      <c r="AJ16" s="315">
        <f t="shared" si="5"/>
        <v>3225533.9827225618</v>
      </c>
    </row>
    <row r="17" spans="2:36" s="35" customFormat="1" ht="14" thickBot="1">
      <c r="B17" s="305">
        <f>B16+1</f>
        <v>6</v>
      </c>
      <c r="D17" s="310" t="s">
        <v>251</v>
      </c>
      <c r="E17" s="312"/>
      <c r="F17" s="311">
        <v>42880206</v>
      </c>
      <c r="G17" s="312"/>
      <c r="H17" s="313">
        <v>0.94069865484010706</v>
      </c>
      <c r="I17" s="314"/>
      <c r="J17" s="311">
        <f t="shared" si="0"/>
        <v>40337352.10346669</v>
      </c>
      <c r="K17" s="315"/>
      <c r="L17" s="315">
        <v>110211.34454499095</v>
      </c>
      <c r="M17" s="307"/>
      <c r="N17" s="309">
        <v>45.298333333333332</v>
      </c>
      <c r="O17" s="309"/>
      <c r="P17" s="309">
        <v>-13.010845763287058</v>
      </c>
      <c r="Q17" s="309"/>
      <c r="R17" s="309">
        <f t="shared" si="2"/>
        <v>32.287487570046274</v>
      </c>
      <c r="S17" s="309"/>
      <c r="T17" s="315">
        <f t="shared" si="1"/>
        <v>3558447.4170744824</v>
      </c>
      <c r="V17" s="311">
        <v>42880206</v>
      </c>
      <c r="W17" s="312"/>
      <c r="X17" s="313">
        <v>0.94069865484010706</v>
      </c>
      <c r="Y17" s="314"/>
      <c r="Z17" s="311">
        <f t="shared" si="3"/>
        <v>40337352.10346669</v>
      </c>
      <c r="AA17" s="314"/>
      <c r="AB17" s="315">
        <v>110211.34454499095</v>
      </c>
      <c r="AC17" s="314"/>
      <c r="AD17" s="309">
        <v>45.298333333333332</v>
      </c>
      <c r="AE17" s="314"/>
      <c r="AF17" s="309">
        <v>-13.010845763287058</v>
      </c>
      <c r="AG17" s="314"/>
      <c r="AH17" s="309">
        <f t="shared" si="4"/>
        <v>32.287487570046274</v>
      </c>
      <c r="AI17" s="314"/>
      <c r="AJ17" s="315">
        <f t="shared" si="5"/>
        <v>3558447.4170744824</v>
      </c>
    </row>
    <row r="18" spans="2:36" s="35" customFormat="1" ht="14" thickBot="1">
      <c r="B18" s="305">
        <f t="shared" ref="B18:B24" si="6">B17+1</f>
        <v>7</v>
      </c>
      <c r="D18" s="310" t="s">
        <v>252</v>
      </c>
      <c r="E18" s="312"/>
      <c r="F18" s="311">
        <v>-1845117</v>
      </c>
      <c r="G18" s="312"/>
      <c r="H18" s="313">
        <v>0.94069865484010706</v>
      </c>
      <c r="I18" s="314"/>
      <c r="J18" s="311">
        <f t="shared" si="0"/>
        <v>-1735699.0799226139</v>
      </c>
      <c r="K18" s="315"/>
      <c r="L18" s="315">
        <v>-4742.3472129033171</v>
      </c>
      <c r="M18" s="307"/>
      <c r="N18" s="309">
        <v>45.298333333333332</v>
      </c>
      <c r="O18" s="309"/>
      <c r="P18" s="309">
        <v>0</v>
      </c>
      <c r="Q18" s="309"/>
      <c r="R18" s="309">
        <f t="shared" si="2"/>
        <v>45.298333333333332</v>
      </c>
      <c r="S18" s="309"/>
      <c r="T18" s="315">
        <f t="shared" si="1"/>
        <v>-214820.42483249874</v>
      </c>
      <c r="V18" s="311">
        <v>-1845117</v>
      </c>
      <c r="W18" s="312"/>
      <c r="X18" s="313">
        <v>0.94069865484010706</v>
      </c>
      <c r="Y18" s="314"/>
      <c r="Z18" s="311">
        <f t="shared" si="3"/>
        <v>-1735699.0799226139</v>
      </c>
      <c r="AA18" s="314"/>
      <c r="AB18" s="315">
        <v>-4742.3472129033171</v>
      </c>
      <c r="AC18" s="314"/>
      <c r="AD18" s="351"/>
      <c r="AE18" s="314"/>
      <c r="AF18" s="309">
        <v>0</v>
      </c>
      <c r="AG18" s="314"/>
      <c r="AH18" s="309">
        <f t="shared" si="4"/>
        <v>0</v>
      </c>
      <c r="AI18" s="314"/>
      <c r="AJ18" s="315">
        <f t="shared" si="5"/>
        <v>0</v>
      </c>
    </row>
    <row r="19" spans="2:36" s="35" customFormat="1" ht="14" thickBot="1">
      <c r="B19" s="305">
        <f t="shared" si="6"/>
        <v>8</v>
      </c>
      <c r="D19" s="310" t="s">
        <v>253</v>
      </c>
      <c r="E19" s="312"/>
      <c r="F19" s="311">
        <v>425663</v>
      </c>
      <c r="G19" s="312"/>
      <c r="H19" s="313">
        <v>0.94069865484010706</v>
      </c>
      <c r="I19" s="314"/>
      <c r="J19" s="311">
        <f t="shared" si="0"/>
        <v>400420.61151520448</v>
      </c>
      <c r="K19" s="315"/>
      <c r="L19" s="315">
        <v>1094.0453866535643</v>
      </c>
      <c r="M19" s="307"/>
      <c r="N19" s="309">
        <v>45.298333333333332</v>
      </c>
      <c r="O19" s="309"/>
      <c r="P19" s="309">
        <v>0</v>
      </c>
      <c r="Q19" s="309"/>
      <c r="R19" s="309">
        <f t="shared" si="2"/>
        <v>45.298333333333332</v>
      </c>
      <c r="S19" s="309"/>
      <c r="T19" s="315">
        <f t="shared" si="1"/>
        <v>49558.432606428702</v>
      </c>
      <c r="V19" s="311">
        <v>425663</v>
      </c>
      <c r="W19" s="312"/>
      <c r="X19" s="313">
        <v>0.94069865484010706</v>
      </c>
      <c r="Y19" s="314"/>
      <c r="Z19" s="311">
        <f t="shared" si="3"/>
        <v>400420.61151520448</v>
      </c>
      <c r="AA19" s="314"/>
      <c r="AB19" s="315">
        <v>1094.0453866535643</v>
      </c>
      <c r="AC19" s="314"/>
      <c r="AD19" s="351"/>
      <c r="AE19" s="314"/>
      <c r="AF19" s="309">
        <v>0</v>
      </c>
      <c r="AG19" s="314"/>
      <c r="AH19" s="309">
        <f t="shared" si="4"/>
        <v>0</v>
      </c>
      <c r="AI19" s="314"/>
      <c r="AJ19" s="315">
        <f t="shared" si="5"/>
        <v>0</v>
      </c>
    </row>
    <row r="20" spans="2:36" s="35" customFormat="1">
      <c r="B20" s="305">
        <f>B19+1</f>
        <v>9</v>
      </c>
      <c r="D20" s="310" t="s">
        <v>254</v>
      </c>
      <c r="E20" s="312"/>
      <c r="F20" s="311">
        <v>3289813.4510399993</v>
      </c>
      <c r="G20" s="312"/>
      <c r="H20" s="313">
        <v>0.94069865484010706</v>
      </c>
      <c r="I20" s="314"/>
      <c r="J20" s="311">
        <f t="shared" si="0"/>
        <v>3094723.0880682175</v>
      </c>
      <c r="K20" s="315"/>
      <c r="L20" s="315">
        <v>8455.5275630279175</v>
      </c>
      <c r="M20" s="307"/>
      <c r="N20" s="309">
        <v>45.298333333333332</v>
      </c>
      <c r="O20" s="309"/>
      <c r="P20" s="309">
        <v>-244.79</v>
      </c>
      <c r="Q20" s="309"/>
      <c r="R20" s="309">
        <f t="shared" si="2"/>
        <v>-199.49166666666667</v>
      </c>
      <c r="S20" s="309"/>
      <c r="T20" s="315">
        <f t="shared" si="1"/>
        <v>-1686807.2860943777</v>
      </c>
      <c r="V20" s="311">
        <v>3289813.4510399993</v>
      </c>
      <c r="W20" s="312"/>
      <c r="X20" s="313">
        <v>0.94069865484010706</v>
      </c>
      <c r="Y20" s="314"/>
      <c r="Z20" s="311">
        <f t="shared" si="3"/>
        <v>3094723.0880682175</v>
      </c>
      <c r="AA20" s="314"/>
      <c r="AB20" s="315">
        <v>8455.5275630279175</v>
      </c>
      <c r="AC20" s="314"/>
      <c r="AD20" s="309">
        <v>45.298333333333332</v>
      </c>
      <c r="AE20" s="314"/>
      <c r="AF20" s="309">
        <v>-244.79</v>
      </c>
      <c r="AG20" s="314"/>
      <c r="AH20" s="309">
        <f t="shared" si="4"/>
        <v>-199.49166666666667</v>
      </c>
      <c r="AI20" s="314"/>
      <c r="AJ20" s="315">
        <f t="shared" si="5"/>
        <v>-1686807.2860943777</v>
      </c>
    </row>
    <row r="21" spans="2:36" s="35" customFormat="1">
      <c r="B21" s="305">
        <f>B20+1</f>
        <v>10</v>
      </c>
      <c r="D21" s="310" t="s">
        <v>255</v>
      </c>
      <c r="E21" s="312"/>
      <c r="F21" s="311">
        <v>2387490</v>
      </c>
      <c r="G21" s="312"/>
      <c r="H21" s="313">
        <v>0.94069865484010706</v>
      </c>
      <c r="I21" s="314"/>
      <c r="J21" s="311">
        <f t="shared" si="0"/>
        <v>2245908.6314442074</v>
      </c>
      <c r="K21" s="315"/>
      <c r="L21" s="315">
        <v>6136.3623809951023</v>
      </c>
      <c r="M21" s="307"/>
      <c r="N21" s="309">
        <v>45.298333333333332</v>
      </c>
      <c r="O21" s="309"/>
      <c r="P21" s="309">
        <v>-22.558255780356177</v>
      </c>
      <c r="Q21" s="309"/>
      <c r="R21" s="309">
        <f t="shared" si="2"/>
        <v>22.740077552977155</v>
      </c>
      <c r="S21" s="309"/>
      <c r="T21" s="315">
        <f t="shared" si="1"/>
        <v>139541.35643700018</v>
      </c>
      <c r="V21" s="311">
        <v>2387490</v>
      </c>
      <c r="W21" s="312"/>
      <c r="X21" s="313">
        <v>0.94069865484010706</v>
      </c>
      <c r="Y21" s="314"/>
      <c r="Z21" s="311">
        <f t="shared" si="3"/>
        <v>2245908.6314442074</v>
      </c>
      <c r="AA21" s="314"/>
      <c r="AB21" s="315">
        <v>6136.3623809951023</v>
      </c>
      <c r="AC21" s="314"/>
      <c r="AD21" s="309">
        <v>45.298333333333332</v>
      </c>
      <c r="AE21" s="314"/>
      <c r="AF21" s="309">
        <v>-22.558255780356177</v>
      </c>
      <c r="AG21" s="314"/>
      <c r="AH21" s="309">
        <f t="shared" si="4"/>
        <v>22.740077552977155</v>
      </c>
      <c r="AI21" s="314"/>
      <c r="AJ21" s="315">
        <f t="shared" si="5"/>
        <v>139541.35643700018</v>
      </c>
    </row>
    <row r="22" spans="2:36" s="35" customFormat="1">
      <c r="B22" s="305">
        <f t="shared" si="6"/>
        <v>11</v>
      </c>
      <c r="D22" s="310" t="s">
        <v>256</v>
      </c>
      <c r="E22" s="312"/>
      <c r="F22" s="311">
        <v>1020651</v>
      </c>
      <c r="G22" s="312"/>
      <c r="H22" s="313">
        <v>0.94069865484010706</v>
      </c>
      <c r="I22" s="314"/>
      <c r="J22" s="311">
        <f t="shared" si="0"/>
        <v>960125.0227612101</v>
      </c>
      <c r="K22" s="315"/>
      <c r="L22" s="315">
        <v>2623.2924119158747</v>
      </c>
      <c r="M22" s="307"/>
      <c r="N22" s="309">
        <v>45.298333333333332</v>
      </c>
      <c r="O22" s="309"/>
      <c r="P22" s="309">
        <v>-283.5</v>
      </c>
      <c r="Q22" s="309"/>
      <c r="R22" s="309">
        <f t="shared" si="2"/>
        <v>-238.20166666666665</v>
      </c>
      <c r="S22" s="309"/>
      <c r="T22" s="315">
        <f t="shared" si="1"/>
        <v>-624872.62467238121</v>
      </c>
      <c r="V22" s="311">
        <v>1020651</v>
      </c>
      <c r="W22" s="312"/>
      <c r="X22" s="313">
        <v>0.94069865484010706</v>
      </c>
      <c r="Y22" s="314"/>
      <c r="Z22" s="311">
        <f t="shared" si="3"/>
        <v>960125.0227612101</v>
      </c>
      <c r="AA22" s="314"/>
      <c r="AB22" s="315">
        <v>2623.2924119158747</v>
      </c>
      <c r="AC22" s="314"/>
      <c r="AD22" s="309">
        <v>45.298333333333332</v>
      </c>
      <c r="AE22" s="314"/>
      <c r="AF22" s="309">
        <v>-283.5</v>
      </c>
      <c r="AG22" s="314"/>
      <c r="AH22" s="309">
        <f t="shared" si="4"/>
        <v>-238.20166666666665</v>
      </c>
      <c r="AI22" s="314"/>
      <c r="AJ22" s="315">
        <f t="shared" si="5"/>
        <v>-624872.62467238121</v>
      </c>
    </row>
    <row r="23" spans="2:36" s="35" customFormat="1">
      <c r="B23" s="305">
        <f t="shared" si="6"/>
        <v>12</v>
      </c>
      <c r="D23" s="310" t="s">
        <v>257</v>
      </c>
      <c r="E23" s="307"/>
      <c r="F23" s="316">
        <v>5155113.129999999</v>
      </c>
      <c r="G23" s="307"/>
      <c r="H23" s="313">
        <v>0.95003195393362805</v>
      </c>
      <c r="I23" s="314"/>
      <c r="J23" s="311">
        <f t="shared" si="0"/>
        <v>4897522.1996427998</v>
      </c>
      <c r="K23" s="315"/>
      <c r="L23" s="315">
        <v>13381.208195745354</v>
      </c>
      <c r="M23" s="307"/>
      <c r="N23" s="309">
        <v>45.298333333333332</v>
      </c>
      <c r="O23" s="309"/>
      <c r="P23" s="309">
        <v>-131.69914670445385</v>
      </c>
      <c r="Q23" s="309"/>
      <c r="R23" s="309">
        <f t="shared" si="2"/>
        <v>-86.40081337112052</v>
      </c>
      <c r="S23" s="309"/>
      <c r="T23" s="315">
        <f t="shared" si="1"/>
        <v>-1156147.2720007026</v>
      </c>
      <c r="V23" s="316">
        <v>5155113.129999999</v>
      </c>
      <c r="W23" s="307"/>
      <c r="X23" s="313">
        <v>0.95003195393362805</v>
      </c>
      <c r="Y23" s="314"/>
      <c r="Z23" s="311">
        <f t="shared" si="3"/>
        <v>4897522.1996427998</v>
      </c>
      <c r="AA23" s="314"/>
      <c r="AB23" s="315">
        <v>13381.208195745354</v>
      </c>
      <c r="AC23" s="314"/>
      <c r="AD23" s="309">
        <v>45.298333333333332</v>
      </c>
      <c r="AE23" s="314"/>
      <c r="AF23" s="309">
        <v>-131.69914670445385</v>
      </c>
      <c r="AG23" s="314"/>
      <c r="AH23" s="309">
        <f t="shared" si="4"/>
        <v>-86.40081337112052</v>
      </c>
      <c r="AI23" s="314"/>
      <c r="AJ23" s="315">
        <f t="shared" si="5"/>
        <v>-1156147.2720007026</v>
      </c>
    </row>
    <row r="24" spans="2:36" s="35" customFormat="1">
      <c r="B24" s="305">
        <f t="shared" si="6"/>
        <v>13</v>
      </c>
      <c r="D24" s="310" t="s">
        <v>258</v>
      </c>
      <c r="E24" s="307"/>
      <c r="F24" s="311">
        <v>3189917</v>
      </c>
      <c r="G24" s="307"/>
      <c r="H24" s="313">
        <v>0.9406762052542389</v>
      </c>
      <c r="I24" s="314"/>
      <c r="J24" s="311">
        <f t="shared" si="0"/>
        <v>3000679.0186359859</v>
      </c>
      <c r="K24" s="315"/>
      <c r="L24" s="315">
        <v>8198.5765536502349</v>
      </c>
      <c r="M24" s="307"/>
      <c r="N24" s="309">
        <v>45.298333333333332</v>
      </c>
      <c r="O24" s="309"/>
      <c r="P24" s="309">
        <v>-41.741641520962055</v>
      </c>
      <c r="Q24" s="309"/>
      <c r="R24" s="309">
        <f t="shared" si="2"/>
        <v>3.5566918123712767</v>
      </c>
      <c r="S24" s="309"/>
      <c r="T24" s="315">
        <f t="shared" si="1"/>
        <v>29159.810101466908</v>
      </c>
      <c r="V24" s="311">
        <v>3189917</v>
      </c>
      <c r="W24" s="307"/>
      <c r="X24" s="313">
        <v>0.9406762052542389</v>
      </c>
      <c r="Y24" s="314"/>
      <c r="Z24" s="311">
        <f t="shared" si="3"/>
        <v>3000679.0186359859</v>
      </c>
      <c r="AA24" s="314"/>
      <c r="AB24" s="315">
        <v>8198.5765536502349</v>
      </c>
      <c r="AC24" s="314"/>
      <c r="AD24" s="309">
        <v>45.298333333333332</v>
      </c>
      <c r="AE24" s="314"/>
      <c r="AF24" s="309">
        <v>-41.741641520962055</v>
      </c>
      <c r="AG24" s="314"/>
      <c r="AH24" s="309">
        <f t="shared" si="4"/>
        <v>3.5566918123712767</v>
      </c>
      <c r="AI24" s="314"/>
      <c r="AJ24" s="315">
        <f t="shared" si="5"/>
        <v>29159.810101466908</v>
      </c>
    </row>
    <row r="25" spans="2:36" s="35" customFormat="1" ht="14" thickBot="1">
      <c r="B25" s="305">
        <f>B24+1</f>
        <v>14</v>
      </c>
      <c r="D25" s="310" t="s">
        <v>259</v>
      </c>
      <c r="E25" s="307"/>
      <c r="F25" s="311">
        <v>194926535.69999999</v>
      </c>
      <c r="G25" s="307"/>
      <c r="H25" s="313">
        <v>0.93817600093634479</v>
      </c>
      <c r="I25" s="314"/>
      <c r="J25" s="311">
        <f t="shared" si="0"/>
        <v>182875397.73940164</v>
      </c>
      <c r="K25" s="315"/>
      <c r="L25" s="315">
        <v>499659.55666503182</v>
      </c>
      <c r="M25" s="307"/>
      <c r="N25" s="309">
        <v>45.298333333333332</v>
      </c>
      <c r="O25" s="309"/>
      <c r="P25" s="309">
        <v>-25.38804860890605</v>
      </c>
      <c r="Q25" s="309"/>
      <c r="R25" s="309">
        <f t="shared" si="2"/>
        <v>19.910284724427282</v>
      </c>
      <c r="S25" s="309"/>
      <c r="T25" s="315">
        <f t="shared" si="1"/>
        <v>9948364.0384818912</v>
      </c>
      <c r="V25" s="311">
        <v>194926535.69999999</v>
      </c>
      <c r="W25" s="307"/>
      <c r="X25" s="313">
        <v>0.93817600093634479</v>
      </c>
      <c r="Y25" s="314"/>
      <c r="Z25" s="311">
        <f t="shared" si="3"/>
        <v>182875397.73940164</v>
      </c>
      <c r="AA25" s="314"/>
      <c r="AB25" s="315">
        <v>499659.55666503182</v>
      </c>
      <c r="AC25" s="314"/>
      <c r="AD25" s="309">
        <v>45.298333333333332</v>
      </c>
      <c r="AE25" s="314"/>
      <c r="AF25" s="309">
        <v>-25.38804860890605</v>
      </c>
      <c r="AG25" s="314"/>
      <c r="AH25" s="309">
        <f t="shared" si="4"/>
        <v>19.910284724427282</v>
      </c>
      <c r="AI25" s="314"/>
      <c r="AJ25" s="315">
        <f t="shared" si="5"/>
        <v>9948364.0384818912</v>
      </c>
    </row>
    <row r="26" spans="2:36" s="35" customFormat="1" ht="14" thickBot="1">
      <c r="B26" s="305">
        <f>B25+1</f>
        <v>15</v>
      </c>
      <c r="D26" s="310" t="s">
        <v>260</v>
      </c>
      <c r="E26" s="318"/>
      <c r="F26" s="317">
        <v>188803771.28689563</v>
      </c>
      <c r="G26" s="318"/>
      <c r="H26" s="313">
        <v>0.92882960641465739</v>
      </c>
      <c r="I26" s="314"/>
      <c r="J26" s="317">
        <f t="shared" si="0"/>
        <v>175366532.57401025</v>
      </c>
      <c r="K26" s="319"/>
      <c r="L26" s="315">
        <v>479143.53162297886</v>
      </c>
      <c r="M26" s="307"/>
      <c r="N26" s="309">
        <v>45.298333333333332</v>
      </c>
      <c r="O26" s="309"/>
      <c r="P26" s="309">
        <v>-48.047788467578023</v>
      </c>
      <c r="Q26" s="309"/>
      <c r="R26" s="309">
        <f t="shared" si="2"/>
        <v>-2.7494551342446911</v>
      </c>
      <c r="S26" s="309"/>
      <c r="T26" s="320">
        <f t="shared" si="1"/>
        <v>-1317383.6430609326</v>
      </c>
      <c r="V26" s="317">
        <v>188803771.28689563</v>
      </c>
      <c r="W26" s="318"/>
      <c r="X26" s="313">
        <v>0.92882960641465739</v>
      </c>
      <c r="Y26" s="314"/>
      <c r="Z26" s="317">
        <f t="shared" si="3"/>
        <v>175366532.57401025</v>
      </c>
      <c r="AA26" s="314"/>
      <c r="AB26" s="315">
        <v>479143.53162297886</v>
      </c>
      <c r="AC26" s="314"/>
      <c r="AD26" s="309">
        <v>45.298333333333332</v>
      </c>
      <c r="AE26" s="314"/>
      <c r="AF26" s="351">
        <f>-'3.5.1 WP Other O&amp;M Lead '!Q397</f>
        <v>-51.923201098212054</v>
      </c>
      <c r="AG26" s="314"/>
      <c r="AH26" s="309">
        <f t="shared" si="4"/>
        <v>-6.6248677648787222</v>
      </c>
      <c r="AI26" s="314"/>
      <c r="AJ26" s="320">
        <f t="shared" si="5"/>
        <v>-3174262.5373992212</v>
      </c>
    </row>
    <row r="27" spans="2:36" s="35" customFormat="1">
      <c r="B27" s="305">
        <f>B26+1</f>
        <v>16</v>
      </c>
      <c r="D27" s="321" t="s">
        <v>261</v>
      </c>
      <c r="E27" s="322"/>
      <c r="F27" s="311">
        <f>SUM(F12:F26)</f>
        <v>935519308.13172662</v>
      </c>
      <c r="G27" s="322"/>
      <c r="H27" s="313"/>
      <c r="I27" s="314"/>
      <c r="J27" s="311">
        <f>SUM(J12:J26)</f>
        <v>877467418.65817773</v>
      </c>
      <c r="K27" s="315"/>
      <c r="L27" s="315"/>
      <c r="M27" s="307"/>
      <c r="N27" s="309"/>
      <c r="O27" s="309"/>
      <c r="P27" s="309"/>
      <c r="Q27" s="309"/>
      <c r="R27" s="309"/>
      <c r="S27" s="309"/>
      <c r="T27" s="315">
        <f>SUM(T12:T26)</f>
        <v>28327701.420806978</v>
      </c>
      <c r="V27" s="311">
        <f>SUM(V12:V26)</f>
        <v>935519308.13172662</v>
      </c>
      <c r="W27" s="322"/>
      <c r="X27" s="313"/>
      <c r="Y27" s="314"/>
      <c r="Z27" s="311">
        <f>SUM(Z12:Z26)</f>
        <v>877467418.65817773</v>
      </c>
      <c r="AA27" s="314"/>
      <c r="AB27" s="315"/>
      <c r="AC27" s="314"/>
      <c r="AD27" s="309"/>
      <c r="AE27" s="314"/>
      <c r="AF27" s="309"/>
      <c r="AG27" s="314"/>
      <c r="AH27" s="309"/>
      <c r="AI27" s="314"/>
      <c r="AJ27" s="315">
        <f>SUM(AJ12:AJ26)</f>
        <v>26636084.518694762</v>
      </c>
    </row>
    <row r="28" spans="2:36" s="35" customFormat="1">
      <c r="B28" s="305"/>
      <c r="D28" s="321"/>
      <c r="E28" s="322"/>
      <c r="F28" s="323">
        <v>0</v>
      </c>
      <c r="G28" s="322"/>
      <c r="H28" s="313"/>
      <c r="I28" s="314"/>
      <c r="J28" s="311">
        <v>0</v>
      </c>
      <c r="K28" s="307"/>
      <c r="L28" s="324"/>
      <c r="M28" s="307"/>
      <c r="N28" s="309"/>
      <c r="O28" s="309"/>
      <c r="P28" s="309"/>
      <c r="Q28" s="309"/>
      <c r="R28" s="309"/>
      <c r="S28" s="309"/>
      <c r="T28" s="307"/>
      <c r="V28" s="323">
        <v>0</v>
      </c>
      <c r="W28" s="322"/>
      <c r="X28" s="313"/>
      <c r="Y28" s="314"/>
      <c r="Z28" s="311">
        <v>0</v>
      </c>
      <c r="AA28" s="314"/>
      <c r="AB28" s="324"/>
      <c r="AC28" s="314"/>
      <c r="AD28" s="309"/>
      <c r="AE28" s="314"/>
      <c r="AF28" s="309"/>
      <c r="AG28" s="314"/>
      <c r="AH28" s="309"/>
      <c r="AI28" s="314"/>
      <c r="AJ28" s="307"/>
    </row>
    <row r="29" spans="2:36" s="35" customFormat="1" ht="14" thickBot="1">
      <c r="B29" s="305">
        <f>B27+1</f>
        <v>17</v>
      </c>
      <c r="D29" s="306" t="s">
        <v>262</v>
      </c>
      <c r="E29" s="307"/>
      <c r="F29" s="325"/>
      <c r="G29" s="307"/>
      <c r="H29" s="313"/>
      <c r="I29" s="314"/>
      <c r="J29" s="325"/>
      <c r="K29" s="307"/>
      <c r="L29" s="315"/>
      <c r="M29" s="307"/>
      <c r="N29" s="309"/>
      <c r="O29" s="309"/>
      <c r="P29" s="309"/>
      <c r="Q29" s="309"/>
      <c r="R29" s="309"/>
      <c r="S29" s="309"/>
      <c r="T29" s="315"/>
      <c r="V29" s="325"/>
      <c r="W29" s="307"/>
      <c r="X29" s="313"/>
      <c r="Y29" s="314"/>
      <c r="Z29" s="325"/>
      <c r="AA29" s="314"/>
      <c r="AB29" s="315"/>
      <c r="AC29" s="314"/>
      <c r="AD29" s="309"/>
      <c r="AE29" s="314"/>
      <c r="AF29" s="309"/>
      <c r="AG29" s="314"/>
      <c r="AH29" s="309"/>
      <c r="AI29" s="314"/>
      <c r="AJ29" s="315"/>
    </row>
    <row r="30" spans="2:36" s="35" customFormat="1" ht="14" thickBot="1">
      <c r="B30" s="305">
        <f>B29+1</f>
        <v>18</v>
      </c>
      <c r="D30" s="310" t="s">
        <v>142</v>
      </c>
      <c r="E30" s="307"/>
      <c r="F30" s="311">
        <v>358688938.99594986</v>
      </c>
      <c r="G30" s="307"/>
      <c r="H30" s="313">
        <v>0.93593342927844025</v>
      </c>
      <c r="I30" s="314"/>
      <c r="J30" s="311">
        <v>335708968.71872461</v>
      </c>
      <c r="K30" s="307"/>
      <c r="L30" s="315">
        <v>917237.61945006729</v>
      </c>
      <c r="M30" s="307"/>
      <c r="N30" s="309">
        <v>45.298333333333332</v>
      </c>
      <c r="O30" s="309"/>
      <c r="P30" s="309">
        <v>0</v>
      </c>
      <c r="Q30" s="309"/>
      <c r="R30" s="309">
        <f>N30+P30</f>
        <v>45.298333333333332</v>
      </c>
      <c r="S30" s="309"/>
      <c r="T30" s="315">
        <f>L30*R30</f>
        <v>41549335.431722298</v>
      </c>
      <c r="V30" s="311">
        <v>358688938.99594986</v>
      </c>
      <c r="W30" s="307"/>
      <c r="X30" s="313">
        <v>0.93593342927844025</v>
      </c>
      <c r="Y30" s="314"/>
      <c r="Z30" s="311">
        <v>335708968.71872461</v>
      </c>
      <c r="AA30" s="314"/>
      <c r="AB30" s="315">
        <v>917237.61945006729</v>
      </c>
      <c r="AC30" s="314"/>
      <c r="AD30" s="351"/>
      <c r="AE30" s="314"/>
      <c r="AF30" s="309">
        <v>0</v>
      </c>
      <c r="AG30" s="314"/>
      <c r="AH30" s="309">
        <f>AD30+AF30</f>
        <v>0</v>
      </c>
      <c r="AI30" s="314"/>
      <c r="AJ30" s="315">
        <f>AB30*AH30</f>
        <v>0</v>
      </c>
    </row>
    <row r="31" spans="2:36" s="35" customFormat="1" ht="14" thickBot="1">
      <c r="B31" s="305">
        <f>B30+1</f>
        <v>19</v>
      </c>
      <c r="D31" s="310" t="s">
        <v>143</v>
      </c>
      <c r="E31" s="307"/>
      <c r="F31" s="311">
        <v>9627285.11531399</v>
      </c>
      <c r="G31" s="307"/>
      <c r="H31" s="313">
        <v>0.8822812676236983</v>
      </c>
      <c r="I31" s="314"/>
      <c r="J31" s="311">
        <v>8493973.3153139893</v>
      </c>
      <c r="K31" s="307"/>
      <c r="L31" s="315">
        <v>23207.577364245873</v>
      </c>
      <c r="M31" s="307"/>
      <c r="N31" s="309">
        <v>45.298333333333332</v>
      </c>
      <c r="O31" s="309"/>
      <c r="P31" s="309">
        <v>0</v>
      </c>
      <c r="Q31" s="309"/>
      <c r="R31" s="309">
        <f>N31+P31</f>
        <v>45.298333333333332</v>
      </c>
      <c r="S31" s="309"/>
      <c r="T31" s="315">
        <f>L31*R31</f>
        <v>1051264.575304731</v>
      </c>
      <c r="V31" s="311">
        <v>9627285.11531399</v>
      </c>
      <c r="W31" s="307"/>
      <c r="X31" s="313">
        <v>0.8822812676236983</v>
      </c>
      <c r="Y31" s="314"/>
      <c r="Z31" s="311">
        <v>8493973.3153139893</v>
      </c>
      <c r="AA31" s="314"/>
      <c r="AB31" s="315">
        <v>23207.577364245873</v>
      </c>
      <c r="AC31" s="314"/>
      <c r="AD31" s="351"/>
      <c r="AE31" s="314"/>
      <c r="AF31" s="309">
        <v>0</v>
      </c>
      <c r="AG31" s="314"/>
      <c r="AH31" s="309">
        <f>AD31+AF31</f>
        <v>0</v>
      </c>
      <c r="AI31" s="314"/>
      <c r="AJ31" s="315">
        <f>AB31*AH31</f>
        <v>0</v>
      </c>
    </row>
    <row r="32" spans="2:36" s="35" customFormat="1" ht="14" thickBot="1">
      <c r="B32" s="305">
        <f>B31+1</f>
        <v>20</v>
      </c>
      <c r="D32" s="310" t="s">
        <v>263</v>
      </c>
      <c r="E32" s="307"/>
      <c r="F32" s="311">
        <v>6650186.4000000004</v>
      </c>
      <c r="G32" s="307"/>
      <c r="H32" s="313">
        <v>1</v>
      </c>
      <c r="I32" s="314"/>
      <c r="J32" s="311">
        <v>6650186.4000000004</v>
      </c>
      <c r="K32" s="307"/>
      <c r="L32" s="315">
        <v>18169.908196721313</v>
      </c>
      <c r="M32" s="307"/>
      <c r="N32" s="309">
        <v>45.298333333333332</v>
      </c>
      <c r="O32" s="309"/>
      <c r="P32" s="309">
        <v>0</v>
      </c>
      <c r="Q32" s="309"/>
      <c r="R32" s="309">
        <f>N32+P32</f>
        <v>45.298333333333332</v>
      </c>
      <c r="S32" s="309"/>
      <c r="T32" s="315">
        <f>L32*R32</f>
        <v>823066.55813114764</v>
      </c>
      <c r="V32" s="311">
        <v>6650186.4000000004</v>
      </c>
      <c r="W32" s="307"/>
      <c r="X32" s="313">
        <v>1</v>
      </c>
      <c r="Y32" s="314"/>
      <c r="Z32" s="311">
        <v>6650186.4000000004</v>
      </c>
      <c r="AA32" s="314"/>
      <c r="AB32" s="315">
        <v>18169.908196721313</v>
      </c>
      <c r="AC32" s="314"/>
      <c r="AD32" s="351"/>
      <c r="AE32" s="314"/>
      <c r="AF32" s="309">
        <v>0</v>
      </c>
      <c r="AG32" s="314"/>
      <c r="AH32" s="309">
        <f>AD32+AF32</f>
        <v>0</v>
      </c>
      <c r="AI32" s="314"/>
      <c r="AJ32" s="315">
        <f>AB32*AH32</f>
        <v>0</v>
      </c>
    </row>
    <row r="33" spans="2:36" s="35" customFormat="1" ht="14" thickBot="1">
      <c r="B33" s="305">
        <f>B32+1</f>
        <v>21</v>
      </c>
      <c r="D33" s="310" t="s">
        <v>264</v>
      </c>
      <c r="E33" s="307"/>
      <c r="F33" s="311">
        <v>-3183172.832000385</v>
      </c>
      <c r="G33" s="307"/>
      <c r="H33" s="313">
        <v>1</v>
      </c>
      <c r="I33" s="314"/>
      <c r="J33" s="311">
        <v>-3183172.832000385</v>
      </c>
      <c r="K33" s="307"/>
      <c r="L33" s="315">
        <v>-8697.1935300556961</v>
      </c>
      <c r="M33" s="307"/>
      <c r="N33" s="309">
        <v>45.298333333333332</v>
      </c>
      <c r="O33" s="309"/>
      <c r="P33" s="309">
        <v>0</v>
      </c>
      <c r="Q33" s="309"/>
      <c r="R33" s="309">
        <f>N33+P33</f>
        <v>45.298333333333332</v>
      </c>
      <c r="S33" s="309"/>
      <c r="T33" s="315">
        <f>L33*R33</f>
        <v>-393968.37158897292</v>
      </c>
      <c r="V33" s="311">
        <v>-3183172.832000385</v>
      </c>
      <c r="W33" s="307"/>
      <c r="X33" s="313">
        <v>1</v>
      </c>
      <c r="Y33" s="314"/>
      <c r="Z33" s="311">
        <v>-3183172.832000385</v>
      </c>
      <c r="AA33" s="314"/>
      <c r="AB33" s="315">
        <v>-8697.1935300556961</v>
      </c>
      <c r="AC33" s="314"/>
      <c r="AD33" s="351"/>
      <c r="AE33" s="314"/>
      <c r="AF33" s="309">
        <v>0</v>
      </c>
      <c r="AG33" s="314"/>
      <c r="AH33" s="309">
        <f>AD33+AF33</f>
        <v>0</v>
      </c>
      <c r="AI33" s="314"/>
      <c r="AJ33" s="315">
        <f>AB33*AH33</f>
        <v>0</v>
      </c>
    </row>
    <row r="34" spans="2:36" s="35" customFormat="1">
      <c r="B34" s="305">
        <f>B33+1</f>
        <v>22</v>
      </c>
      <c r="D34" s="321" t="s">
        <v>265</v>
      </c>
      <c r="E34" s="322"/>
      <c r="F34" s="326">
        <v>371783237.67926347</v>
      </c>
      <c r="G34" s="322"/>
      <c r="H34" s="313"/>
      <c r="I34" s="314"/>
      <c r="J34" s="326">
        <v>347669955.6020382</v>
      </c>
      <c r="K34" s="315"/>
      <c r="L34" s="315"/>
      <c r="M34" s="307"/>
      <c r="N34" s="309"/>
      <c r="O34" s="309"/>
      <c r="P34" s="309"/>
      <c r="Q34" s="309"/>
      <c r="R34" s="309"/>
      <c r="S34" s="309"/>
      <c r="T34" s="326">
        <f>SUM(T30:T33)</f>
        <v>43029698.193569206</v>
      </c>
      <c r="V34" s="326">
        <v>371783237.67926347</v>
      </c>
      <c r="W34" s="322"/>
      <c r="X34" s="313"/>
      <c r="Y34" s="314"/>
      <c r="Z34" s="326">
        <v>347669955.6020382</v>
      </c>
      <c r="AA34" s="314"/>
      <c r="AB34" s="315"/>
      <c r="AC34" s="314"/>
      <c r="AD34" s="309"/>
      <c r="AE34" s="314"/>
      <c r="AF34" s="309"/>
      <c r="AG34" s="314"/>
      <c r="AH34" s="309"/>
      <c r="AI34" s="314"/>
      <c r="AJ34" s="326">
        <f>SUM(AJ30:AJ33)</f>
        <v>0</v>
      </c>
    </row>
    <row r="35" spans="2:36" s="35" customFormat="1">
      <c r="B35" s="305"/>
      <c r="D35" s="306"/>
      <c r="E35" s="307"/>
      <c r="F35" s="327"/>
      <c r="G35" s="307"/>
      <c r="H35" s="313"/>
      <c r="I35" s="314"/>
      <c r="J35" s="307"/>
      <c r="K35" s="307"/>
      <c r="L35" s="324"/>
      <c r="M35" s="307"/>
      <c r="N35" s="309"/>
      <c r="O35" s="309"/>
      <c r="P35" s="309"/>
      <c r="Q35" s="309"/>
      <c r="R35" s="309"/>
      <c r="S35" s="309"/>
      <c r="T35" s="307"/>
      <c r="V35" s="327"/>
      <c r="W35" s="307"/>
      <c r="X35" s="313"/>
      <c r="Y35" s="314"/>
      <c r="Z35" s="307"/>
      <c r="AA35" s="314"/>
      <c r="AB35" s="324"/>
      <c r="AC35" s="314"/>
      <c r="AD35" s="309"/>
      <c r="AE35" s="314"/>
      <c r="AF35" s="309"/>
      <c r="AG35" s="314"/>
      <c r="AH35" s="309"/>
      <c r="AI35" s="314"/>
      <c r="AJ35" s="307"/>
    </row>
    <row r="36" spans="2:36">
      <c r="B36" s="305">
        <f>B34+1</f>
        <v>23</v>
      </c>
      <c r="D36" s="306" t="s">
        <v>266</v>
      </c>
      <c r="E36" s="307"/>
      <c r="F36" s="327"/>
      <c r="G36" s="307"/>
      <c r="H36" s="313"/>
      <c r="I36" s="314"/>
      <c r="J36" s="307"/>
      <c r="K36" s="307"/>
      <c r="L36" s="324"/>
      <c r="M36" s="307"/>
      <c r="N36" s="309"/>
      <c r="O36" s="309"/>
      <c r="P36" s="309"/>
      <c r="Q36" s="309"/>
      <c r="R36" s="309"/>
      <c r="S36" s="309"/>
      <c r="T36" s="307"/>
      <c r="V36" s="327"/>
      <c r="W36" s="307"/>
      <c r="X36" s="313"/>
      <c r="Y36" s="314"/>
      <c r="Z36" s="307"/>
      <c r="AA36" s="314"/>
      <c r="AB36" s="324"/>
      <c r="AC36" s="314"/>
      <c r="AD36" s="309"/>
      <c r="AE36" s="314"/>
      <c r="AF36" s="309"/>
      <c r="AG36" s="314"/>
      <c r="AH36" s="309"/>
      <c r="AI36" s="314"/>
      <c r="AJ36" s="307"/>
    </row>
    <row r="37" spans="2:36">
      <c r="B37" s="305">
        <f>B36+1</f>
        <v>24</v>
      </c>
      <c r="D37" s="310" t="s">
        <v>267</v>
      </c>
      <c r="E37" s="312"/>
      <c r="F37" s="311">
        <v>13364717.785626812</v>
      </c>
      <c r="G37" s="312"/>
      <c r="H37" s="313">
        <v>0.98532473640519058</v>
      </c>
      <c r="I37" s="314"/>
      <c r="J37" s="311">
        <v>13168587.029252501</v>
      </c>
      <c r="K37" s="315"/>
      <c r="L37" s="315">
        <v>35979.745981564214</v>
      </c>
      <c r="M37" s="307"/>
      <c r="N37" s="309">
        <v>45.298333333333332</v>
      </c>
      <c r="O37" s="309"/>
      <c r="P37" s="309">
        <v>-37.5</v>
      </c>
      <c r="Q37" s="309"/>
      <c r="R37" s="309">
        <f>N37+P37</f>
        <v>7.798333333333332</v>
      </c>
      <c r="S37" s="309"/>
      <c r="T37" s="315">
        <f>L37*R37</f>
        <v>280582.05241289822</v>
      </c>
      <c r="V37" s="311">
        <v>13364717.785626812</v>
      </c>
      <c r="W37" s="312"/>
      <c r="X37" s="313">
        <v>0.98532473640519058</v>
      </c>
      <c r="Y37" s="314"/>
      <c r="Z37" s="311">
        <v>13168587.029252501</v>
      </c>
      <c r="AA37" s="314"/>
      <c r="AB37" s="315">
        <v>35979.745981564214</v>
      </c>
      <c r="AC37" s="314"/>
      <c r="AD37" s="309">
        <v>45.298333333333332</v>
      </c>
      <c r="AE37" s="314"/>
      <c r="AF37" s="309">
        <v>-37.5</v>
      </c>
      <c r="AG37" s="314"/>
      <c r="AH37" s="309">
        <f>AD37+AF37</f>
        <v>7.798333333333332</v>
      </c>
      <c r="AI37" s="314"/>
      <c r="AJ37" s="315">
        <f>AB37*AH37</f>
        <v>280582.05241289822</v>
      </c>
    </row>
    <row r="38" spans="2:36" ht="14" thickBot="1">
      <c r="B38" s="305">
        <f>B37+1</f>
        <v>25</v>
      </c>
      <c r="D38" s="310" t="s">
        <v>268</v>
      </c>
      <c r="E38" s="312"/>
      <c r="F38" s="311">
        <v>-265338.0264236331</v>
      </c>
      <c r="G38" s="312"/>
      <c r="H38" s="313">
        <v>0.98532473640519069</v>
      </c>
      <c r="I38" s="314"/>
      <c r="J38" s="311">
        <v>-261444.12094413981</v>
      </c>
      <c r="K38" s="315"/>
      <c r="L38" s="315">
        <v>-714.32819930092842</v>
      </c>
      <c r="M38" s="307"/>
      <c r="N38" s="309">
        <v>45.298333333333332</v>
      </c>
      <c r="O38" s="309"/>
      <c r="P38" s="309">
        <v>-37.5</v>
      </c>
      <c r="Q38" s="309"/>
      <c r="R38" s="309">
        <f>N38+P38</f>
        <v>7.798333333333332</v>
      </c>
      <c r="S38" s="309"/>
      <c r="T38" s="315">
        <f>L38*R38</f>
        <v>-5570.5694075484062</v>
      </c>
      <c r="V38" s="311">
        <v>-265338.0264236331</v>
      </c>
      <c r="W38" s="312"/>
      <c r="X38" s="313">
        <v>0.98532473640519069</v>
      </c>
      <c r="Y38" s="314"/>
      <c r="Z38" s="311">
        <v>-261444.12094413981</v>
      </c>
      <c r="AA38" s="314"/>
      <c r="AB38" s="315">
        <v>-714.32819930092842</v>
      </c>
      <c r="AC38" s="314"/>
      <c r="AD38" s="309">
        <v>45.298333333333332</v>
      </c>
      <c r="AE38" s="314"/>
      <c r="AF38" s="309">
        <v>-37.5</v>
      </c>
      <c r="AG38" s="314"/>
      <c r="AH38" s="309">
        <f>AD38+AF38</f>
        <v>7.798333333333332</v>
      </c>
      <c r="AI38" s="314"/>
      <c r="AJ38" s="315">
        <f>AB38*AH38</f>
        <v>-5570.5694075484062</v>
      </c>
    </row>
    <row r="39" spans="2:36" ht="14" thickBot="1">
      <c r="B39" s="305">
        <f>B38+1</f>
        <v>26</v>
      </c>
      <c r="D39" s="310" t="s">
        <v>269</v>
      </c>
      <c r="E39" s="328"/>
      <c r="F39" s="317">
        <v>34343273.930316225</v>
      </c>
      <c r="G39" s="328"/>
      <c r="H39" s="313">
        <v>0.98532473640519069</v>
      </c>
      <c r="I39" s="314"/>
      <c r="J39" s="317">
        <v>33839277.332680091</v>
      </c>
      <c r="K39" s="319"/>
      <c r="L39" s="315">
        <v>92457.041892568552</v>
      </c>
      <c r="M39" s="307"/>
      <c r="N39" s="309">
        <v>45.298333333333332</v>
      </c>
      <c r="O39" s="309"/>
      <c r="P39" s="309">
        <v>0</v>
      </c>
      <c r="Q39" s="309"/>
      <c r="R39" s="309">
        <f>N39+P39</f>
        <v>45.298333333333332</v>
      </c>
      <c r="S39" s="309"/>
      <c r="T39" s="320">
        <f>L39*R39</f>
        <v>4188149.9026635345</v>
      </c>
      <c r="V39" s="317">
        <v>34343273.930316225</v>
      </c>
      <c r="W39" s="328"/>
      <c r="X39" s="313">
        <v>0.98532473640519069</v>
      </c>
      <c r="Y39" s="314"/>
      <c r="Z39" s="317">
        <v>33839277.332680091</v>
      </c>
      <c r="AA39" s="314"/>
      <c r="AB39" s="315">
        <v>92457.041892568552</v>
      </c>
      <c r="AC39" s="314"/>
      <c r="AD39" s="351"/>
      <c r="AE39" s="314"/>
      <c r="AF39" s="309">
        <v>0</v>
      </c>
      <c r="AG39" s="314"/>
      <c r="AH39" s="309">
        <f>AD39+AF39</f>
        <v>0</v>
      </c>
      <c r="AI39" s="314"/>
      <c r="AJ39" s="320">
        <f>AB39*AH39</f>
        <v>0</v>
      </c>
    </row>
    <row r="40" spans="2:36">
      <c r="B40" s="305">
        <f>B39+1</f>
        <v>27</v>
      </c>
      <c r="D40" s="321" t="s">
        <v>270</v>
      </c>
      <c r="E40" s="322"/>
      <c r="F40" s="326">
        <v>47442653.850000001</v>
      </c>
      <c r="G40" s="322"/>
      <c r="H40" s="313"/>
      <c r="I40" s="314"/>
      <c r="J40" s="326">
        <v>46746420.399113953</v>
      </c>
      <c r="K40" s="315"/>
      <c r="L40" s="315"/>
      <c r="M40" s="307"/>
      <c r="N40" s="309"/>
      <c r="O40" s="309"/>
      <c r="P40" s="309"/>
      <c r="Q40" s="309"/>
      <c r="R40" s="309"/>
      <c r="S40" s="309"/>
      <c r="T40" s="315">
        <f>SUM(T37:T39)</f>
        <v>4463161.385668884</v>
      </c>
      <c r="V40" s="326">
        <v>47442653.850000001</v>
      </c>
      <c r="W40" s="322"/>
      <c r="X40" s="313"/>
      <c r="Y40" s="314"/>
      <c r="Z40" s="326">
        <v>46746420.399113953</v>
      </c>
      <c r="AA40" s="314"/>
      <c r="AB40" s="315"/>
      <c r="AC40" s="314"/>
      <c r="AD40" s="309"/>
      <c r="AE40" s="314"/>
      <c r="AF40" s="309"/>
      <c r="AG40" s="314"/>
      <c r="AH40" s="309"/>
      <c r="AI40" s="314"/>
      <c r="AJ40" s="315">
        <f>SUM(AJ37:AJ39)</f>
        <v>275011.48300534982</v>
      </c>
    </row>
    <row r="41" spans="2:36">
      <c r="B41" s="305"/>
      <c r="D41" s="321"/>
      <c r="E41" s="322"/>
      <c r="F41" s="322"/>
      <c r="G41" s="322"/>
      <c r="H41" s="313"/>
      <c r="I41" s="314"/>
      <c r="J41" s="322">
        <v>-0.15812550485134125</v>
      </c>
      <c r="K41" s="307"/>
      <c r="L41" s="324"/>
      <c r="M41" s="307"/>
      <c r="N41" s="309"/>
      <c r="O41" s="309"/>
      <c r="P41" s="309"/>
      <c r="Q41" s="309"/>
      <c r="R41" s="309"/>
      <c r="S41" s="309"/>
      <c r="T41" s="307"/>
      <c r="V41" s="322"/>
      <c r="W41" s="322"/>
      <c r="X41" s="313"/>
      <c r="Y41" s="314"/>
      <c r="Z41" s="322">
        <v>-0.15812550485134125</v>
      </c>
      <c r="AA41" s="314"/>
      <c r="AB41" s="324"/>
      <c r="AC41" s="314"/>
      <c r="AD41" s="309"/>
      <c r="AE41" s="314"/>
      <c r="AF41" s="309"/>
      <c r="AG41" s="314"/>
      <c r="AH41" s="309"/>
      <c r="AI41" s="314"/>
      <c r="AJ41" s="307"/>
    </row>
    <row r="42" spans="2:36">
      <c r="B42" s="305">
        <f>B40+1</f>
        <v>28</v>
      </c>
      <c r="D42" s="306" t="s">
        <v>271</v>
      </c>
      <c r="E42" s="307"/>
      <c r="F42" s="327"/>
      <c r="G42" s="307"/>
      <c r="H42" s="313"/>
      <c r="I42" s="314"/>
      <c r="J42" s="307"/>
      <c r="K42" s="307"/>
      <c r="L42" s="324"/>
      <c r="M42" s="307"/>
      <c r="N42" s="309"/>
      <c r="O42" s="309"/>
      <c r="P42" s="309"/>
      <c r="Q42" s="309"/>
      <c r="R42" s="309"/>
      <c r="S42" s="309"/>
      <c r="T42" s="307"/>
      <c r="V42" s="327"/>
      <c r="W42" s="307"/>
      <c r="X42" s="313"/>
      <c r="Y42" s="314"/>
      <c r="Z42" s="307"/>
      <c r="AA42" s="314"/>
      <c r="AB42" s="324"/>
      <c r="AC42" s="314"/>
      <c r="AD42" s="309"/>
      <c r="AE42" s="314"/>
      <c r="AF42" s="309"/>
      <c r="AG42" s="314"/>
      <c r="AH42" s="309"/>
      <c r="AI42" s="314"/>
      <c r="AJ42" s="307"/>
    </row>
    <row r="43" spans="2:36">
      <c r="B43" s="305">
        <f>B42+1</f>
        <v>29</v>
      </c>
      <c r="D43" s="310" t="s">
        <v>272</v>
      </c>
      <c r="E43" s="312"/>
      <c r="F43" s="311">
        <v>34311578.519000001</v>
      </c>
      <c r="G43" s="312"/>
      <c r="H43" s="313">
        <v>0.93811409830939052</v>
      </c>
      <c r="I43" s="314"/>
      <c r="J43" s="311">
        <v>32188175.543923538</v>
      </c>
      <c r="K43" s="315"/>
      <c r="L43" s="315">
        <v>87945.834819463213</v>
      </c>
      <c r="M43" s="307"/>
      <c r="N43" s="309">
        <v>45.298333333333332</v>
      </c>
      <c r="O43" s="309"/>
      <c r="P43" s="309">
        <v>-157.56749538820867</v>
      </c>
      <c r="Q43" s="309"/>
      <c r="R43" s="309">
        <f>N43+P43</f>
        <v>-112.26916205487534</v>
      </c>
      <c r="S43" s="309"/>
      <c r="T43" s="315">
        <f>L43*R43</f>
        <v>-9873605.1813976131</v>
      </c>
      <c r="V43" s="311">
        <v>34311578.519000001</v>
      </c>
      <c r="W43" s="312"/>
      <c r="X43" s="313">
        <v>0.93811409830939052</v>
      </c>
      <c r="Y43" s="314"/>
      <c r="Z43" s="311">
        <v>32188175.543923538</v>
      </c>
      <c r="AA43" s="314"/>
      <c r="AB43" s="315">
        <v>87945.834819463213</v>
      </c>
      <c r="AC43" s="314"/>
      <c r="AD43" s="309">
        <v>45.298333333333332</v>
      </c>
      <c r="AE43" s="314"/>
      <c r="AF43" s="309">
        <v>-157.56749538820867</v>
      </c>
      <c r="AG43" s="314"/>
      <c r="AH43" s="309">
        <f>AD43+AF43</f>
        <v>-112.26916205487534</v>
      </c>
      <c r="AI43" s="314"/>
      <c r="AJ43" s="315">
        <f>AB43*AH43</f>
        <v>-9873605.1813976131</v>
      </c>
    </row>
    <row r="44" spans="2:36">
      <c r="B44" s="305">
        <f>B43+1</f>
        <v>30</v>
      </c>
      <c r="D44" s="310" t="s">
        <v>273</v>
      </c>
      <c r="E44" s="312"/>
      <c r="F44" s="311">
        <v>10653785.999999998</v>
      </c>
      <c r="G44" s="312"/>
      <c r="H44" s="313">
        <v>0.94069865484010717</v>
      </c>
      <c r="I44" s="314"/>
      <c r="J44" s="311">
        <v>10022002.159154365</v>
      </c>
      <c r="K44" s="315"/>
      <c r="L44" s="315">
        <v>27382.519560531051</v>
      </c>
      <c r="M44" s="307"/>
      <c r="N44" s="309">
        <v>45.298333333333332</v>
      </c>
      <c r="O44" s="309"/>
      <c r="P44" s="309">
        <v>-35.635795614897127</v>
      </c>
      <c r="Q44" s="309"/>
      <c r="R44" s="309">
        <f>N44+P44</f>
        <v>9.6625377184362051</v>
      </c>
      <c r="S44" s="309"/>
      <c r="T44" s="315">
        <f>L44*R44</f>
        <v>264584.62807944848</v>
      </c>
      <c r="V44" s="311">
        <v>10653785.999999998</v>
      </c>
      <c r="W44" s="312"/>
      <c r="X44" s="313">
        <v>0.94069865484010717</v>
      </c>
      <c r="Y44" s="314"/>
      <c r="Z44" s="311">
        <v>10022002.159154365</v>
      </c>
      <c r="AA44" s="314"/>
      <c r="AB44" s="315">
        <v>27382.519560531051</v>
      </c>
      <c r="AC44" s="314"/>
      <c r="AD44" s="309">
        <v>45.298333333333332</v>
      </c>
      <c r="AE44" s="314"/>
      <c r="AF44" s="309">
        <v>-35.635795614897127</v>
      </c>
      <c r="AG44" s="314"/>
      <c r="AH44" s="309">
        <f>AD44+AF44</f>
        <v>9.6625377184362051</v>
      </c>
      <c r="AI44" s="314"/>
      <c r="AJ44" s="315">
        <f>AB44*AH44</f>
        <v>264584.62807944848</v>
      </c>
    </row>
    <row r="45" spans="2:36">
      <c r="B45" s="305">
        <f>B44+1</f>
        <v>31</v>
      </c>
      <c r="D45" s="310" t="s">
        <v>274</v>
      </c>
      <c r="E45" s="328"/>
      <c r="F45" s="317">
        <v>3406958</v>
      </c>
      <c r="G45" s="328"/>
      <c r="H45" s="313">
        <v>1</v>
      </c>
      <c r="I45" s="314"/>
      <c r="J45" s="317">
        <v>3406958</v>
      </c>
      <c r="K45" s="319"/>
      <c r="L45" s="315">
        <v>9308.6284153005472</v>
      </c>
      <c r="M45" s="307"/>
      <c r="N45" s="309">
        <v>45.298333333333332</v>
      </c>
      <c r="O45" s="309"/>
      <c r="P45" s="309">
        <v>152.00463677122599</v>
      </c>
      <c r="Q45" s="309"/>
      <c r="R45" s="309">
        <f>N45+P45</f>
        <v>197.30297010455934</v>
      </c>
      <c r="S45" s="309"/>
      <c r="T45" s="320">
        <f>L45*R45</f>
        <v>1836620.0339384954</v>
      </c>
      <c r="V45" s="317">
        <v>3406958</v>
      </c>
      <c r="W45" s="328"/>
      <c r="X45" s="313">
        <v>1</v>
      </c>
      <c r="Y45" s="314"/>
      <c r="Z45" s="317">
        <v>3406958</v>
      </c>
      <c r="AA45" s="314"/>
      <c r="AB45" s="315">
        <v>9308.6284153005472</v>
      </c>
      <c r="AC45" s="314"/>
      <c r="AD45" s="309">
        <v>45.298333333333332</v>
      </c>
      <c r="AE45" s="314"/>
      <c r="AF45" s="309">
        <v>152.00463677122599</v>
      </c>
      <c r="AG45" s="314"/>
      <c r="AH45" s="309">
        <f>AD45+AF45</f>
        <v>197.30297010455934</v>
      </c>
      <c r="AI45" s="314"/>
      <c r="AJ45" s="320">
        <f>AB45*AH45</f>
        <v>1836620.0339384954</v>
      </c>
    </row>
    <row r="46" spans="2:36">
      <c r="B46" s="305">
        <f>B45+1</f>
        <v>32</v>
      </c>
      <c r="D46" s="321" t="s">
        <v>275</v>
      </c>
      <c r="E46" s="322"/>
      <c r="F46" s="311">
        <v>48372322.519000001</v>
      </c>
      <c r="G46" s="322"/>
      <c r="H46" s="313"/>
      <c r="I46" s="314"/>
      <c r="J46" s="326">
        <v>45617135.703077905</v>
      </c>
      <c r="K46" s="315"/>
      <c r="L46" s="315"/>
      <c r="M46" s="307"/>
      <c r="N46" s="309"/>
      <c r="O46" s="309"/>
      <c r="P46" s="309"/>
      <c r="Q46" s="309"/>
      <c r="R46" s="309"/>
      <c r="S46" s="309"/>
      <c r="T46" s="315">
        <f>SUM(T43:T45)</f>
        <v>-7772400.5193796698</v>
      </c>
      <c r="V46" s="311">
        <v>48372322.519000001</v>
      </c>
      <c r="W46" s="322"/>
      <c r="X46" s="313"/>
      <c r="Y46" s="314"/>
      <c r="Z46" s="326">
        <v>45617135.703077905</v>
      </c>
      <c r="AA46" s="314"/>
      <c r="AB46" s="315"/>
      <c r="AC46" s="314"/>
      <c r="AD46" s="309"/>
      <c r="AE46" s="314"/>
      <c r="AF46" s="309"/>
      <c r="AG46" s="314"/>
      <c r="AH46" s="309"/>
      <c r="AI46" s="314"/>
      <c r="AJ46" s="315">
        <f>SUM(AJ43:AJ45)</f>
        <v>-7772400.5193796698</v>
      </c>
    </row>
    <row r="47" spans="2:36">
      <c r="B47" s="305"/>
      <c r="D47" s="306"/>
      <c r="E47" s="307"/>
      <c r="F47" s="327"/>
      <c r="G47" s="307"/>
      <c r="H47" s="313"/>
      <c r="I47" s="314"/>
      <c r="J47" s="307"/>
      <c r="K47" s="307"/>
      <c r="L47" s="324"/>
      <c r="M47" s="307"/>
      <c r="N47" s="309"/>
      <c r="O47" s="309"/>
      <c r="P47" s="309"/>
      <c r="Q47" s="309"/>
      <c r="R47" s="309"/>
      <c r="S47" s="309"/>
      <c r="T47" s="307"/>
      <c r="V47" s="327"/>
      <c r="W47" s="307"/>
      <c r="X47" s="313"/>
      <c r="Y47" s="314"/>
      <c r="Z47" s="307"/>
      <c r="AA47" s="314"/>
      <c r="AB47" s="324"/>
      <c r="AC47" s="314"/>
      <c r="AD47" s="309"/>
      <c r="AE47" s="314"/>
      <c r="AF47" s="309"/>
      <c r="AG47" s="314"/>
      <c r="AH47" s="309"/>
      <c r="AI47" s="314"/>
      <c r="AJ47" s="307"/>
    </row>
    <row r="48" spans="2:36">
      <c r="B48" s="305">
        <f>B46+1</f>
        <v>33</v>
      </c>
      <c r="D48" s="306" t="s">
        <v>276</v>
      </c>
      <c r="E48" s="307"/>
      <c r="F48" s="311">
        <v>-2364.2750347616302</v>
      </c>
      <c r="G48" s="307"/>
      <c r="H48" s="313">
        <v>0</v>
      </c>
      <c r="I48" s="314"/>
      <c r="J48" s="311">
        <v>0</v>
      </c>
      <c r="K48" s="315"/>
      <c r="L48" s="329">
        <v>0</v>
      </c>
      <c r="M48" s="307"/>
      <c r="N48" s="309">
        <v>45.298333333333332</v>
      </c>
      <c r="O48" s="309"/>
      <c r="P48" s="309">
        <v>-45.298333333333332</v>
      </c>
      <c r="Q48" s="309"/>
      <c r="R48" s="309">
        <f>N48+P48</f>
        <v>0</v>
      </c>
      <c r="S48" s="309"/>
      <c r="T48" s="315">
        <f>L48*R48</f>
        <v>0</v>
      </c>
      <c r="V48" s="311">
        <v>-2364.2750347616302</v>
      </c>
      <c r="W48" s="307"/>
      <c r="X48" s="313">
        <v>0</v>
      </c>
      <c r="Y48" s="314"/>
      <c r="Z48" s="311">
        <v>0</v>
      </c>
      <c r="AA48" s="314"/>
      <c r="AB48" s="329">
        <v>0</v>
      </c>
      <c r="AC48" s="314"/>
      <c r="AD48" s="309">
        <v>45.298333333333332</v>
      </c>
      <c r="AE48" s="314"/>
      <c r="AF48" s="309">
        <v>-45.298333333333332</v>
      </c>
      <c r="AG48" s="314"/>
      <c r="AH48" s="309">
        <f>AD48+AF48</f>
        <v>0</v>
      </c>
      <c r="AI48" s="314"/>
      <c r="AJ48" s="315">
        <f>AB48*AH48</f>
        <v>0</v>
      </c>
    </row>
    <row r="49" spans="2:36">
      <c r="B49" s="305"/>
      <c r="D49" s="306"/>
      <c r="E49" s="307"/>
      <c r="F49" s="327"/>
      <c r="G49" s="307"/>
      <c r="H49" s="313"/>
      <c r="I49" s="314"/>
      <c r="J49" s="307"/>
      <c r="K49" s="307"/>
      <c r="L49" s="324"/>
      <c r="M49" s="307"/>
      <c r="N49" s="309"/>
      <c r="O49" s="309"/>
      <c r="P49" s="309"/>
      <c r="Q49" s="309"/>
      <c r="R49" s="309"/>
      <c r="S49" s="309"/>
      <c r="T49" s="307"/>
      <c r="V49" s="327"/>
      <c r="W49" s="307"/>
      <c r="X49" s="313"/>
      <c r="Y49" s="314"/>
      <c r="Z49" s="307"/>
      <c r="AA49" s="314"/>
      <c r="AB49" s="324"/>
      <c r="AC49" s="314"/>
      <c r="AD49" s="309"/>
      <c r="AE49" s="314"/>
      <c r="AF49" s="309"/>
      <c r="AG49" s="314"/>
      <c r="AH49" s="309"/>
      <c r="AI49" s="314"/>
      <c r="AJ49" s="307"/>
    </row>
    <row r="50" spans="2:36">
      <c r="B50" s="305">
        <f>B48+1</f>
        <v>34</v>
      </c>
      <c r="D50" s="306" t="s">
        <v>277</v>
      </c>
      <c r="E50" s="307"/>
      <c r="F50" s="311">
        <v>0</v>
      </c>
      <c r="G50" s="307"/>
      <c r="H50" s="313">
        <v>0</v>
      </c>
      <c r="I50" s="314"/>
      <c r="J50" s="311">
        <v>0</v>
      </c>
      <c r="K50" s="315"/>
      <c r="L50" s="329">
        <v>0</v>
      </c>
      <c r="M50" s="307"/>
      <c r="N50" s="309">
        <v>45.298333333333332</v>
      </c>
      <c r="O50" s="309"/>
      <c r="P50" s="309">
        <v>-45.298333333333332</v>
      </c>
      <c r="Q50" s="309"/>
      <c r="R50" s="309">
        <f>N50+P50</f>
        <v>0</v>
      </c>
      <c r="S50" s="309"/>
      <c r="T50" s="315">
        <f>L50*R50</f>
        <v>0</v>
      </c>
      <c r="V50" s="311">
        <v>0</v>
      </c>
      <c r="W50" s="307"/>
      <c r="X50" s="313">
        <v>0</v>
      </c>
      <c r="Y50" s="314"/>
      <c r="Z50" s="311">
        <v>0</v>
      </c>
      <c r="AA50" s="314"/>
      <c r="AB50" s="329">
        <v>0</v>
      </c>
      <c r="AC50" s="314"/>
      <c r="AD50" s="309">
        <v>45.298333333333332</v>
      </c>
      <c r="AE50" s="314"/>
      <c r="AF50" s="309">
        <v>-45.298333333333332</v>
      </c>
      <c r="AG50" s="314"/>
      <c r="AH50" s="309">
        <f>AD50+AF50</f>
        <v>0</v>
      </c>
      <c r="AI50" s="314"/>
      <c r="AJ50" s="315">
        <f>AB50*AH50</f>
        <v>0</v>
      </c>
    </row>
    <row r="51" spans="2:36">
      <c r="B51" s="305"/>
      <c r="D51" s="306"/>
      <c r="E51" s="307"/>
      <c r="F51" s="327"/>
      <c r="G51" s="307"/>
      <c r="H51" s="313"/>
      <c r="I51" s="314"/>
      <c r="J51" s="315"/>
      <c r="K51" s="315"/>
      <c r="L51" s="315"/>
      <c r="M51" s="307"/>
      <c r="N51" s="309"/>
      <c r="O51" s="309"/>
      <c r="P51" s="309"/>
      <c r="Q51" s="309"/>
      <c r="R51" s="309"/>
      <c r="S51" s="309"/>
      <c r="T51" s="315"/>
      <c r="V51" s="327"/>
      <c r="W51" s="307"/>
      <c r="X51" s="313"/>
      <c r="Y51" s="314"/>
      <c r="Z51" s="315"/>
      <c r="AA51" s="314"/>
      <c r="AB51" s="315"/>
      <c r="AC51" s="314"/>
      <c r="AD51" s="309"/>
      <c r="AE51" s="314"/>
      <c r="AF51" s="309"/>
      <c r="AG51" s="314"/>
      <c r="AH51" s="309"/>
      <c r="AI51" s="314"/>
      <c r="AJ51" s="315"/>
    </row>
    <row r="52" spans="2:36">
      <c r="B52" s="305">
        <f>B50+1</f>
        <v>35</v>
      </c>
      <c r="D52" s="306" t="s">
        <v>278</v>
      </c>
      <c r="E52" s="307"/>
      <c r="F52" s="311">
        <v>0</v>
      </c>
      <c r="G52" s="307"/>
      <c r="H52" s="313">
        <v>0</v>
      </c>
      <c r="I52" s="314"/>
      <c r="J52" s="311">
        <v>0</v>
      </c>
      <c r="K52" s="315"/>
      <c r="L52" s="329">
        <v>0</v>
      </c>
      <c r="M52" s="307"/>
      <c r="N52" s="309">
        <v>45.298333333333332</v>
      </c>
      <c r="O52" s="309"/>
      <c r="P52" s="309">
        <v>-45.298333333333332</v>
      </c>
      <c r="Q52" s="309"/>
      <c r="R52" s="309">
        <f>N52+P52</f>
        <v>0</v>
      </c>
      <c r="S52" s="309"/>
      <c r="T52" s="315">
        <f>L52*R52</f>
        <v>0</v>
      </c>
      <c r="V52" s="311">
        <v>0</v>
      </c>
      <c r="W52" s="307"/>
      <c r="X52" s="313">
        <v>0</v>
      </c>
      <c r="Y52" s="314"/>
      <c r="Z52" s="311">
        <v>0</v>
      </c>
      <c r="AA52" s="314"/>
      <c r="AB52" s="329">
        <v>0</v>
      </c>
      <c r="AC52" s="314"/>
      <c r="AD52" s="309">
        <v>45.298333333333332</v>
      </c>
      <c r="AE52" s="314"/>
      <c r="AF52" s="309">
        <v>-45.298333333333332</v>
      </c>
      <c r="AG52" s="314"/>
      <c r="AH52" s="309">
        <f>AD52+AF52</f>
        <v>0</v>
      </c>
      <c r="AI52" s="314"/>
      <c r="AJ52" s="315">
        <f>AB52*AH52</f>
        <v>0</v>
      </c>
    </row>
    <row r="53" spans="2:36">
      <c r="B53" s="305"/>
      <c r="D53" s="306"/>
      <c r="E53" s="307"/>
      <c r="F53" s="327"/>
      <c r="G53" s="307"/>
      <c r="H53" s="313"/>
      <c r="I53" s="314"/>
      <c r="J53" s="315"/>
      <c r="K53" s="315"/>
      <c r="L53" s="315"/>
      <c r="M53" s="307"/>
      <c r="N53" s="309"/>
      <c r="O53" s="309"/>
      <c r="P53" s="309"/>
      <c r="Q53" s="309"/>
      <c r="R53" s="309"/>
      <c r="S53" s="309"/>
      <c r="T53" s="315"/>
      <c r="V53" s="327"/>
      <c r="W53" s="307"/>
      <c r="X53" s="313"/>
      <c r="Y53" s="314"/>
      <c r="Z53" s="315"/>
      <c r="AA53" s="314"/>
      <c r="AB53" s="315"/>
      <c r="AC53" s="314"/>
      <c r="AD53" s="309"/>
      <c r="AE53" s="314"/>
      <c r="AF53" s="309"/>
      <c r="AG53" s="314"/>
      <c r="AH53" s="309"/>
      <c r="AI53" s="314"/>
      <c r="AJ53" s="315"/>
    </row>
    <row r="54" spans="2:36">
      <c r="B54" s="305">
        <f>B52+1</f>
        <v>36</v>
      </c>
      <c r="D54" s="306" t="s">
        <v>279</v>
      </c>
      <c r="E54" s="307"/>
      <c r="F54" s="311">
        <v>1513100</v>
      </c>
      <c r="G54" s="307"/>
      <c r="H54" s="313">
        <v>0</v>
      </c>
      <c r="I54" s="314"/>
      <c r="J54" s="311">
        <v>0</v>
      </c>
      <c r="K54" s="315"/>
      <c r="L54" s="329">
        <v>0</v>
      </c>
      <c r="M54" s="307"/>
      <c r="N54" s="309">
        <v>45.298333333333332</v>
      </c>
      <c r="O54" s="309"/>
      <c r="P54" s="309">
        <v>-45.298333333333332</v>
      </c>
      <c r="Q54" s="309"/>
      <c r="R54" s="309">
        <f>N54+P54</f>
        <v>0</v>
      </c>
      <c r="S54" s="309"/>
      <c r="T54" s="315">
        <f>L54*R54</f>
        <v>0</v>
      </c>
      <c r="V54" s="311">
        <v>1513100</v>
      </c>
      <c r="W54" s="307"/>
      <c r="X54" s="313">
        <v>0</v>
      </c>
      <c r="Y54" s="314"/>
      <c r="Z54" s="311">
        <v>0</v>
      </c>
      <c r="AA54" s="314"/>
      <c r="AB54" s="329">
        <v>0</v>
      </c>
      <c r="AC54" s="314"/>
      <c r="AD54" s="309">
        <v>45.298333333333332</v>
      </c>
      <c r="AE54" s="314"/>
      <c r="AF54" s="309">
        <v>-45.298333333333332</v>
      </c>
      <c r="AG54" s="314"/>
      <c r="AH54" s="309">
        <f>AD54+AF54</f>
        <v>0</v>
      </c>
      <c r="AI54" s="314"/>
      <c r="AJ54" s="315">
        <f>AB54*AH54</f>
        <v>0</v>
      </c>
    </row>
    <row r="55" spans="2:36">
      <c r="B55" s="305"/>
      <c r="D55" s="306"/>
      <c r="E55" s="307"/>
      <c r="F55" s="327"/>
      <c r="G55" s="307"/>
      <c r="H55" s="313"/>
      <c r="I55" s="314"/>
      <c r="J55" s="315"/>
      <c r="K55" s="315"/>
      <c r="L55" s="315"/>
      <c r="M55" s="307"/>
      <c r="N55" s="309"/>
      <c r="O55" s="309"/>
      <c r="P55" s="309"/>
      <c r="Q55" s="309"/>
      <c r="R55" s="309"/>
      <c r="S55" s="309"/>
      <c r="T55" s="315"/>
      <c r="V55" s="327"/>
      <c r="W55" s="307"/>
      <c r="X55" s="313"/>
      <c r="Y55" s="314"/>
      <c r="Z55" s="315"/>
      <c r="AA55" s="314"/>
      <c r="AB55" s="315"/>
      <c r="AC55" s="314"/>
      <c r="AD55" s="309"/>
      <c r="AE55" s="314"/>
      <c r="AF55" s="309"/>
      <c r="AG55" s="314"/>
      <c r="AH55" s="309"/>
      <c r="AI55" s="314"/>
      <c r="AJ55" s="315"/>
    </row>
    <row r="56" spans="2:36">
      <c r="B56" s="305">
        <f>B54+1</f>
        <v>37</v>
      </c>
      <c r="D56" s="306" t="s">
        <v>280</v>
      </c>
      <c r="E56" s="307"/>
      <c r="F56" s="311">
        <v>435510.9</v>
      </c>
      <c r="G56" s="307"/>
      <c r="H56" s="313">
        <v>0</v>
      </c>
      <c r="I56" s="314"/>
      <c r="J56" s="311">
        <v>0</v>
      </c>
      <c r="K56" s="315"/>
      <c r="L56" s="329">
        <v>0</v>
      </c>
      <c r="M56" s="307"/>
      <c r="N56" s="309">
        <v>0</v>
      </c>
      <c r="O56" s="309"/>
      <c r="P56" s="309">
        <v>0</v>
      </c>
      <c r="Q56" s="309"/>
      <c r="R56" s="309">
        <f>N56+P56</f>
        <v>0</v>
      </c>
      <c r="S56" s="309"/>
      <c r="T56" s="315">
        <f>L56*R56</f>
        <v>0</v>
      </c>
      <c r="V56" s="311">
        <v>435510.9</v>
      </c>
      <c r="W56" s="307"/>
      <c r="X56" s="313">
        <v>0</v>
      </c>
      <c r="Y56" s="314"/>
      <c r="Z56" s="311">
        <v>0</v>
      </c>
      <c r="AA56" s="314"/>
      <c r="AB56" s="329">
        <v>0</v>
      </c>
      <c r="AC56" s="314"/>
      <c r="AD56" s="309">
        <v>0</v>
      </c>
      <c r="AE56" s="314"/>
      <c r="AF56" s="309">
        <v>0</v>
      </c>
      <c r="AG56" s="314"/>
      <c r="AH56" s="309">
        <f>AD56+AF56</f>
        <v>0</v>
      </c>
      <c r="AI56" s="314"/>
      <c r="AJ56" s="315">
        <f>AB56*AH56</f>
        <v>0</v>
      </c>
    </row>
    <row r="57" spans="2:36">
      <c r="B57" s="305"/>
      <c r="D57" s="306"/>
      <c r="E57" s="307"/>
      <c r="F57" s="327"/>
      <c r="G57" s="307"/>
      <c r="H57" s="313"/>
      <c r="I57" s="314"/>
      <c r="J57" s="315"/>
      <c r="K57" s="315"/>
      <c r="L57" s="315"/>
      <c r="M57" s="307"/>
      <c r="N57" s="309"/>
      <c r="O57" s="309"/>
      <c r="P57" s="309"/>
      <c r="Q57" s="309"/>
      <c r="R57" s="309"/>
      <c r="S57" s="309"/>
      <c r="T57" s="315"/>
      <c r="V57" s="327"/>
      <c r="W57" s="307"/>
      <c r="X57" s="313"/>
      <c r="Y57" s="314"/>
      <c r="Z57" s="315"/>
      <c r="AA57" s="314"/>
      <c r="AB57" s="315"/>
      <c r="AC57" s="314"/>
      <c r="AD57" s="309"/>
      <c r="AE57" s="314"/>
      <c r="AF57" s="309"/>
      <c r="AG57" s="314"/>
      <c r="AH57" s="309"/>
      <c r="AI57" s="314"/>
      <c r="AJ57" s="315"/>
    </row>
    <row r="58" spans="2:36">
      <c r="B58" s="305">
        <f>B56+1</f>
        <v>38</v>
      </c>
      <c r="D58" s="306" t="s">
        <v>281</v>
      </c>
      <c r="E58" s="307"/>
      <c r="F58" s="311">
        <v>-2455452.1116974447</v>
      </c>
      <c r="G58" s="307"/>
      <c r="H58" s="313">
        <v>0</v>
      </c>
      <c r="I58" s="314"/>
      <c r="J58" s="311">
        <v>0</v>
      </c>
      <c r="K58" s="315"/>
      <c r="L58" s="329">
        <v>0</v>
      </c>
      <c r="M58" s="307"/>
      <c r="N58" s="309">
        <v>45.298333333333332</v>
      </c>
      <c r="O58" s="309"/>
      <c r="P58" s="309">
        <v>-45.298333333333332</v>
      </c>
      <c r="Q58" s="309"/>
      <c r="R58" s="309">
        <f>N58+P58</f>
        <v>0</v>
      </c>
      <c r="S58" s="309"/>
      <c r="T58" s="315">
        <f>L58*R58</f>
        <v>0</v>
      </c>
      <c r="V58" s="311">
        <v>-2455452.1116974447</v>
      </c>
      <c r="W58" s="307"/>
      <c r="X58" s="313">
        <v>0</v>
      </c>
      <c r="Y58" s="314"/>
      <c r="Z58" s="311">
        <v>0</v>
      </c>
      <c r="AA58" s="314"/>
      <c r="AB58" s="329">
        <v>0</v>
      </c>
      <c r="AC58" s="314"/>
      <c r="AD58" s="309">
        <v>45.298333333333332</v>
      </c>
      <c r="AE58" s="314"/>
      <c r="AF58" s="309">
        <v>-45.298333333333332</v>
      </c>
      <c r="AG58" s="314"/>
      <c r="AH58" s="309">
        <f>AD58+AF58</f>
        <v>0</v>
      </c>
      <c r="AI58" s="314"/>
      <c r="AJ58" s="315">
        <f>AB58*AH58</f>
        <v>0</v>
      </c>
    </row>
    <row r="59" spans="2:36">
      <c r="B59" s="305"/>
      <c r="D59" s="306"/>
      <c r="E59" s="307"/>
      <c r="F59" s="327"/>
      <c r="G59" s="307"/>
      <c r="H59" s="313"/>
      <c r="I59" s="314"/>
      <c r="J59" s="315"/>
      <c r="K59" s="315"/>
      <c r="L59" s="315"/>
      <c r="M59" s="307"/>
      <c r="N59" s="309"/>
      <c r="O59" s="309"/>
      <c r="P59" s="309"/>
      <c r="Q59" s="309"/>
      <c r="R59" s="309"/>
      <c r="S59" s="309"/>
      <c r="T59" s="315"/>
      <c r="V59" s="327"/>
      <c r="W59" s="307"/>
      <c r="X59" s="313"/>
      <c r="Y59" s="314"/>
      <c r="Z59" s="315"/>
      <c r="AA59" s="314"/>
      <c r="AB59" s="315"/>
      <c r="AC59" s="314"/>
      <c r="AD59" s="309"/>
      <c r="AE59" s="314"/>
      <c r="AF59" s="309"/>
      <c r="AG59" s="314"/>
      <c r="AH59" s="309"/>
      <c r="AI59" s="314"/>
      <c r="AJ59" s="315"/>
    </row>
    <row r="60" spans="2:36">
      <c r="B60" s="305">
        <f>B58+1</f>
        <v>39</v>
      </c>
      <c r="D60" s="306" t="s">
        <v>282</v>
      </c>
      <c r="E60" s="307"/>
      <c r="F60" s="311">
        <v>-153487.43652066868</v>
      </c>
      <c r="G60" s="307"/>
      <c r="H60" s="313">
        <v>0</v>
      </c>
      <c r="I60" s="314"/>
      <c r="J60" s="311">
        <v>0</v>
      </c>
      <c r="K60" s="315"/>
      <c r="L60" s="329">
        <v>0</v>
      </c>
      <c r="M60" s="307"/>
      <c r="N60" s="309">
        <v>45.298333333333332</v>
      </c>
      <c r="O60" s="309"/>
      <c r="P60" s="309">
        <v>-45.298333333333332</v>
      </c>
      <c r="Q60" s="309"/>
      <c r="R60" s="309">
        <f>N60+P60</f>
        <v>0</v>
      </c>
      <c r="S60" s="309"/>
      <c r="T60" s="315">
        <f>L60*R60</f>
        <v>0</v>
      </c>
      <c r="V60" s="311">
        <v>-153487.43652066868</v>
      </c>
      <c r="W60" s="307"/>
      <c r="X60" s="313">
        <v>0</v>
      </c>
      <c r="Y60" s="314"/>
      <c r="Z60" s="311">
        <v>0</v>
      </c>
      <c r="AA60" s="314"/>
      <c r="AB60" s="329">
        <v>0</v>
      </c>
      <c r="AC60" s="314"/>
      <c r="AD60" s="309">
        <v>45.298333333333332</v>
      </c>
      <c r="AE60" s="314"/>
      <c r="AF60" s="309">
        <v>-45.298333333333332</v>
      </c>
      <c r="AG60" s="314"/>
      <c r="AH60" s="309">
        <f>AD60+AF60</f>
        <v>0</v>
      </c>
      <c r="AI60" s="314"/>
      <c r="AJ60" s="315">
        <f>AB60*AH60</f>
        <v>0</v>
      </c>
    </row>
    <row r="61" spans="2:36">
      <c r="B61" s="305"/>
      <c r="D61" s="306"/>
      <c r="E61" s="307"/>
      <c r="F61" s="327"/>
      <c r="G61" s="307"/>
      <c r="H61" s="313"/>
      <c r="I61" s="314"/>
      <c r="J61" s="315"/>
      <c r="K61" s="315"/>
      <c r="L61" s="315"/>
      <c r="M61" s="307"/>
      <c r="N61" s="309"/>
      <c r="O61" s="309"/>
      <c r="P61" s="309"/>
      <c r="Q61" s="309"/>
      <c r="R61" s="309"/>
      <c r="S61" s="309"/>
      <c r="T61" s="315"/>
      <c r="V61" s="327"/>
      <c r="W61" s="307"/>
      <c r="X61" s="313"/>
      <c r="Y61" s="314"/>
      <c r="Z61" s="315"/>
      <c r="AA61" s="314"/>
      <c r="AB61" s="315"/>
      <c r="AC61" s="314"/>
      <c r="AD61" s="309"/>
      <c r="AE61" s="314"/>
      <c r="AF61" s="309"/>
      <c r="AG61" s="314"/>
      <c r="AH61" s="309"/>
      <c r="AI61" s="314"/>
      <c r="AJ61" s="315"/>
    </row>
    <row r="62" spans="2:36">
      <c r="B62" s="305">
        <f>B60+1</f>
        <v>40</v>
      </c>
      <c r="D62" s="306" t="s">
        <v>283</v>
      </c>
      <c r="E62" s="307"/>
      <c r="F62" s="311">
        <v>116394856.27503476</v>
      </c>
      <c r="G62" s="307"/>
      <c r="H62" s="313">
        <v>0.93818723051555686</v>
      </c>
      <c r="I62" s="314"/>
      <c r="J62" s="311">
        <v>109200167.85493115</v>
      </c>
      <c r="K62" s="315"/>
      <c r="L62" s="315">
        <v>298361.11435773538</v>
      </c>
      <c r="M62" s="307"/>
      <c r="N62" s="309">
        <v>45.298333333333332</v>
      </c>
      <c r="O62" s="309"/>
      <c r="P62" s="309">
        <v>-88.649999999999991</v>
      </c>
      <c r="Q62" s="309"/>
      <c r="R62" s="309">
        <f>N62+P62</f>
        <v>-43.351666666666659</v>
      </c>
      <c r="S62" s="309"/>
      <c r="T62" s="315">
        <f>L62*R62</f>
        <v>-12934451.575931756</v>
      </c>
      <c r="V62" s="311">
        <v>116394856.27503476</v>
      </c>
      <c r="W62" s="307"/>
      <c r="X62" s="313">
        <v>0.93818723051555686</v>
      </c>
      <c r="Y62" s="314"/>
      <c r="Z62" s="311">
        <v>109200167.85493115</v>
      </c>
      <c r="AA62" s="314"/>
      <c r="AB62" s="315">
        <v>298361.11435773538</v>
      </c>
      <c r="AC62" s="314"/>
      <c r="AD62" s="309">
        <v>45.298333333333332</v>
      </c>
      <c r="AE62" s="314"/>
      <c r="AF62" s="309">
        <v>-88.649999999999991</v>
      </c>
      <c r="AG62" s="314"/>
      <c r="AH62" s="309">
        <f>AD62+AF62</f>
        <v>-43.351666666666659</v>
      </c>
      <c r="AI62" s="314"/>
      <c r="AJ62" s="315">
        <f>AB62*AH62</f>
        <v>-12934451.575931756</v>
      </c>
    </row>
    <row r="63" spans="2:36">
      <c r="B63" s="305"/>
      <c r="D63" s="306"/>
      <c r="E63" s="307"/>
      <c r="F63" s="327"/>
      <c r="G63" s="307"/>
      <c r="H63" s="313"/>
      <c r="I63" s="314"/>
      <c r="J63" s="315"/>
      <c r="K63" s="315"/>
      <c r="L63" s="315"/>
      <c r="M63" s="307"/>
      <c r="N63" s="309"/>
      <c r="O63" s="309"/>
      <c r="P63" s="309"/>
      <c r="Q63" s="309"/>
      <c r="R63" s="309"/>
      <c r="S63" s="309"/>
      <c r="T63" s="315"/>
      <c r="V63" s="327"/>
      <c r="W63" s="307"/>
      <c r="X63" s="313"/>
      <c r="Y63" s="314"/>
      <c r="Z63" s="315"/>
      <c r="AA63" s="314"/>
      <c r="AB63" s="315"/>
      <c r="AC63" s="314"/>
      <c r="AD63" s="309"/>
      <c r="AE63" s="314"/>
      <c r="AF63" s="309"/>
      <c r="AG63" s="314"/>
      <c r="AH63" s="309"/>
      <c r="AI63" s="314"/>
      <c r="AJ63" s="315"/>
    </row>
    <row r="64" spans="2:36">
      <c r="B64" s="305">
        <f>B62+1</f>
        <v>41</v>
      </c>
      <c r="D64" s="306" t="s">
        <v>284</v>
      </c>
      <c r="E64" s="318"/>
      <c r="F64" s="317">
        <v>217238011.45394555</v>
      </c>
      <c r="G64" s="318"/>
      <c r="H64" s="313"/>
      <c r="I64" s="314"/>
      <c r="J64" s="317">
        <v>210335403.81357762</v>
      </c>
      <c r="K64" s="319"/>
      <c r="L64" s="315">
        <v>574686.89566551265</v>
      </c>
      <c r="M64" s="318"/>
      <c r="N64" s="309">
        <v>45.298333333333332</v>
      </c>
      <c r="O64" s="309"/>
      <c r="P64" s="309">
        <v>-45.298333333333332</v>
      </c>
      <c r="Q64" s="309"/>
      <c r="R64" s="309">
        <f>N64+P64</f>
        <v>0</v>
      </c>
      <c r="S64" s="309"/>
      <c r="T64" s="320">
        <f>L64*R64</f>
        <v>0</v>
      </c>
      <c r="V64" s="317">
        <v>217238011.45394555</v>
      </c>
      <c r="W64" s="318"/>
      <c r="X64" s="313"/>
      <c r="Y64" s="314"/>
      <c r="Z64" s="317">
        <v>210335403.81357762</v>
      </c>
      <c r="AA64" s="314"/>
      <c r="AB64" s="315">
        <v>574686.89566551265</v>
      </c>
      <c r="AC64" s="314"/>
      <c r="AD64" s="309">
        <v>45.298333333333332</v>
      </c>
      <c r="AE64" s="314"/>
      <c r="AF64" s="309">
        <v>-45.298333333333332</v>
      </c>
      <c r="AG64" s="314"/>
      <c r="AH64" s="309">
        <f>AD64+AF64</f>
        <v>0</v>
      </c>
      <c r="AI64" s="314"/>
      <c r="AJ64" s="320">
        <f>AB64*AH64</f>
        <v>0</v>
      </c>
    </row>
    <row r="65" spans="2:36">
      <c r="B65" s="305"/>
      <c r="D65" s="306"/>
      <c r="E65" s="307"/>
      <c r="F65" s="327"/>
      <c r="G65" s="307"/>
      <c r="H65" s="313"/>
      <c r="I65" s="314"/>
      <c r="J65" s="315"/>
      <c r="K65" s="315"/>
      <c r="L65" s="315"/>
      <c r="M65" s="307"/>
      <c r="N65" s="309"/>
      <c r="O65" s="309"/>
      <c r="P65" s="309"/>
      <c r="Q65" s="309"/>
      <c r="R65" s="309"/>
      <c r="S65" s="309"/>
      <c r="T65" s="315"/>
      <c r="V65" s="327"/>
      <c r="W65" s="307"/>
      <c r="X65" s="313"/>
      <c r="Y65" s="314"/>
      <c r="Z65" s="315"/>
      <c r="AA65" s="314"/>
      <c r="AB65" s="315"/>
      <c r="AC65" s="314"/>
      <c r="AD65" s="309"/>
      <c r="AE65" s="314"/>
      <c r="AF65" s="309"/>
      <c r="AG65" s="314"/>
      <c r="AH65" s="309"/>
      <c r="AI65" s="314"/>
      <c r="AJ65" s="315"/>
    </row>
    <row r="66" spans="2:36">
      <c r="B66" s="305">
        <f>B64+1</f>
        <v>42</v>
      </c>
      <c r="D66" s="306" t="s">
        <v>15</v>
      </c>
      <c r="E66" s="307"/>
      <c r="F66" s="315">
        <v>1736087696.9857178</v>
      </c>
      <c r="G66" s="307"/>
      <c r="H66" s="313"/>
      <c r="I66" s="314"/>
      <c r="J66" s="315">
        <v>1637036502.0309165</v>
      </c>
      <c r="K66" s="307"/>
      <c r="L66" s="315">
        <v>873048.01002324803</v>
      </c>
      <c r="M66" s="307"/>
      <c r="N66" s="307"/>
      <c r="O66" s="307"/>
      <c r="P66" s="309"/>
      <c r="Q66" s="309"/>
      <c r="R66" s="309"/>
      <c r="S66" s="309"/>
      <c r="T66" s="315">
        <f>T27+T34+T40+T46+T48+T50+T52+T54+T56+T58+T60+T62+T64</f>
        <v>55113708.904733643</v>
      </c>
      <c r="V66" s="315">
        <v>1736087696.9857178</v>
      </c>
      <c r="W66" s="307"/>
      <c r="X66" s="313"/>
      <c r="Y66" s="314"/>
      <c r="Z66" s="315">
        <v>1637036502.0309165</v>
      </c>
      <c r="AA66" s="314"/>
      <c r="AB66" s="315">
        <v>873048.01002324803</v>
      </c>
      <c r="AC66" s="314"/>
      <c r="AD66" s="307"/>
      <c r="AE66" s="314"/>
      <c r="AF66" s="309"/>
      <c r="AG66" s="314"/>
      <c r="AH66" s="309"/>
      <c r="AI66" s="314"/>
      <c r="AJ66" s="315">
        <f>AJ27+AJ34+AJ40+AJ46+AJ48+AJ50+AJ52+AJ54+AJ56+AJ58+AJ60+AJ62+AJ64</f>
        <v>6204243.906388687</v>
      </c>
    </row>
    <row r="67" spans="2:36">
      <c r="B67" s="305"/>
      <c r="D67" s="306"/>
      <c r="E67" s="307"/>
      <c r="F67" s="327"/>
      <c r="G67" s="307"/>
      <c r="H67" s="313"/>
      <c r="I67" s="314"/>
      <c r="J67" s="307"/>
      <c r="K67" s="307"/>
      <c r="L67" s="307"/>
      <c r="M67" s="307"/>
      <c r="N67" s="307"/>
      <c r="O67" s="307"/>
      <c r="P67" s="309"/>
      <c r="Q67" s="309"/>
      <c r="R67" s="309"/>
      <c r="S67" s="309"/>
      <c r="T67" s="315"/>
      <c r="V67" s="327"/>
      <c r="W67" s="307"/>
      <c r="X67" s="313"/>
      <c r="Y67" s="314"/>
      <c r="Z67" s="307"/>
      <c r="AA67" s="314"/>
      <c r="AB67" s="307"/>
      <c r="AC67" s="314"/>
      <c r="AD67" s="307"/>
      <c r="AE67" s="314"/>
      <c r="AF67" s="309"/>
      <c r="AG67" s="314"/>
      <c r="AH67" s="309"/>
      <c r="AI67" s="314"/>
      <c r="AJ67" s="315"/>
    </row>
    <row r="68" spans="2:36">
      <c r="B68" s="305">
        <f>B66+1</f>
        <v>43</v>
      </c>
      <c r="D68" s="306" t="s">
        <v>285</v>
      </c>
      <c r="E68" s="307"/>
      <c r="F68" s="311">
        <v>35572411.769999996</v>
      </c>
      <c r="G68" s="307"/>
      <c r="H68" s="313">
        <v>1</v>
      </c>
      <c r="I68" s="314"/>
      <c r="J68" s="311">
        <v>35572411.769999996</v>
      </c>
      <c r="K68" s="307"/>
      <c r="L68" s="315">
        <v>97192.381885245893</v>
      </c>
      <c r="M68" s="307"/>
      <c r="N68" s="309">
        <v>45.298333333333332</v>
      </c>
      <c r="O68" s="309"/>
      <c r="P68" s="309">
        <v>-39.803821524307487</v>
      </c>
      <c r="Q68" s="309"/>
      <c r="R68" s="309">
        <f>N68+P68</f>
        <v>5.4945118090258447</v>
      </c>
      <c r="S68" s="309"/>
      <c r="T68" s="315">
        <f>L68*R68</f>
        <v>534024.69001583313</v>
      </c>
      <c r="V68" s="311">
        <v>35572411.769999996</v>
      </c>
      <c r="W68" s="307"/>
      <c r="X68" s="313">
        <v>1</v>
      </c>
      <c r="Y68" s="314"/>
      <c r="Z68" s="311">
        <v>35572411.769999996</v>
      </c>
      <c r="AA68" s="314"/>
      <c r="AB68" s="315">
        <v>97192.381885245893</v>
      </c>
      <c r="AC68" s="314"/>
      <c r="AD68" s="309">
        <v>45.298333333333332</v>
      </c>
      <c r="AE68" s="314"/>
      <c r="AF68" s="309">
        <v>-39.803821524307487</v>
      </c>
      <c r="AG68" s="314"/>
      <c r="AH68" s="309">
        <f>AD68+AF68</f>
        <v>5.4945118090258447</v>
      </c>
      <c r="AI68" s="314"/>
      <c r="AJ68" s="315">
        <f>AB68*AH68</f>
        <v>534024.69001583313</v>
      </c>
    </row>
    <row r="69" spans="2:36">
      <c r="B69" s="305"/>
      <c r="D69" s="306"/>
      <c r="E69" s="307"/>
      <c r="F69" s="327"/>
      <c r="G69" s="307"/>
      <c r="H69" s="313"/>
      <c r="I69" s="314"/>
      <c r="J69" s="307"/>
      <c r="K69" s="307"/>
      <c r="L69" s="307"/>
      <c r="M69" s="307"/>
      <c r="N69" s="307"/>
      <c r="O69" s="307"/>
      <c r="P69" s="309"/>
      <c r="Q69" s="309"/>
      <c r="R69" s="309"/>
      <c r="S69" s="309"/>
      <c r="T69" s="315"/>
      <c r="V69" s="327"/>
      <c r="W69" s="307"/>
      <c r="X69" s="313"/>
      <c r="Y69" s="314"/>
      <c r="Z69" s="307"/>
      <c r="AA69" s="314"/>
      <c r="AB69" s="307"/>
      <c r="AC69" s="314"/>
      <c r="AD69" s="307"/>
      <c r="AE69" s="314"/>
      <c r="AF69" s="309"/>
      <c r="AG69" s="314"/>
      <c r="AH69" s="309"/>
      <c r="AI69" s="314"/>
      <c r="AJ69" s="315"/>
    </row>
    <row r="70" spans="2:36">
      <c r="B70" s="305">
        <f>B68+1</f>
        <v>44</v>
      </c>
      <c r="D70" s="306" t="s">
        <v>286</v>
      </c>
      <c r="E70" s="307"/>
      <c r="F70" s="311">
        <v>39016853.540000007</v>
      </c>
      <c r="G70" s="307"/>
      <c r="H70" s="313">
        <v>1</v>
      </c>
      <c r="I70" s="314"/>
      <c r="J70" s="311">
        <v>39016853.540000007</v>
      </c>
      <c r="K70" s="307"/>
      <c r="L70" s="315">
        <v>106603.42497267762</v>
      </c>
      <c r="M70" s="307"/>
      <c r="N70" s="309">
        <v>45.298333333333332</v>
      </c>
      <c r="O70" s="309"/>
      <c r="P70" s="309">
        <v>-34.949170045269938</v>
      </c>
      <c r="Q70" s="309"/>
      <c r="R70" s="309">
        <f>N70+P70</f>
        <v>10.349163288063394</v>
      </c>
      <c r="S70" s="309"/>
      <c r="T70" s="315">
        <f>L70*R70</f>
        <v>1103256.2521090556</v>
      </c>
      <c r="V70" s="311">
        <v>39016853.540000007</v>
      </c>
      <c r="W70" s="307"/>
      <c r="X70" s="313">
        <v>1</v>
      </c>
      <c r="Y70" s="314"/>
      <c r="Z70" s="311">
        <v>39016853.540000007</v>
      </c>
      <c r="AA70" s="314"/>
      <c r="AB70" s="315">
        <v>106603.42497267762</v>
      </c>
      <c r="AC70" s="314"/>
      <c r="AD70" s="309">
        <v>45.298333333333332</v>
      </c>
      <c r="AE70" s="314"/>
      <c r="AF70" s="309">
        <v>-34.949170045269938</v>
      </c>
      <c r="AG70" s="314"/>
      <c r="AH70" s="309">
        <f>AD70+AF70</f>
        <v>10.349163288063394</v>
      </c>
      <c r="AI70" s="314"/>
      <c r="AJ70" s="315">
        <f>AB70*AH70</f>
        <v>1103256.2521090556</v>
      </c>
    </row>
    <row r="71" spans="2:36">
      <c r="B71" s="305"/>
      <c r="D71" s="306"/>
      <c r="E71" s="307"/>
      <c r="F71" s="327"/>
      <c r="G71" s="307"/>
      <c r="H71" s="313"/>
      <c r="I71" s="314"/>
      <c r="J71" s="307"/>
      <c r="K71" s="307"/>
      <c r="L71" s="307"/>
      <c r="M71" s="307"/>
      <c r="N71" s="309"/>
      <c r="O71" s="309"/>
      <c r="P71" s="309"/>
      <c r="Q71" s="309"/>
      <c r="R71" s="309"/>
      <c r="S71" s="309"/>
      <c r="T71" s="315"/>
      <c r="V71" s="327"/>
      <c r="W71" s="307"/>
      <c r="X71" s="313"/>
      <c r="Y71" s="314"/>
      <c r="Z71" s="307"/>
      <c r="AA71" s="314"/>
      <c r="AB71" s="307"/>
      <c r="AC71" s="314"/>
      <c r="AD71" s="309"/>
      <c r="AE71" s="314"/>
      <c r="AF71" s="309"/>
      <c r="AG71" s="314"/>
      <c r="AH71" s="309"/>
      <c r="AI71" s="314"/>
      <c r="AJ71" s="315"/>
    </row>
    <row r="72" spans="2:36">
      <c r="B72" s="305">
        <f>B70+1</f>
        <v>45</v>
      </c>
      <c r="D72" s="306" t="s">
        <v>287</v>
      </c>
      <c r="E72" s="307"/>
      <c r="F72" s="311">
        <v>28463762.329999998</v>
      </c>
      <c r="G72" s="307"/>
      <c r="H72" s="313">
        <v>1</v>
      </c>
      <c r="I72" s="314"/>
      <c r="J72" s="311">
        <v>28463762.329999998</v>
      </c>
      <c r="K72" s="307"/>
      <c r="L72" s="315">
        <v>77769.842431693978</v>
      </c>
      <c r="M72" s="307"/>
      <c r="N72" s="309">
        <v>45.298333333333332</v>
      </c>
      <c r="O72" s="309"/>
      <c r="P72" s="309">
        <v>-67.158413809956485</v>
      </c>
      <c r="Q72" s="309"/>
      <c r="R72" s="309">
        <f>N72+P72</f>
        <v>-21.860080476623153</v>
      </c>
      <c r="S72" s="309"/>
      <c r="T72" s="320">
        <f>L72*R72</f>
        <v>-1700055.0142111324</v>
      </c>
      <c r="V72" s="311">
        <v>28463762.329999998</v>
      </c>
      <c r="W72" s="307"/>
      <c r="X72" s="313">
        <v>1</v>
      </c>
      <c r="Y72" s="314"/>
      <c r="Z72" s="311">
        <v>28463762.329999998</v>
      </c>
      <c r="AA72" s="314"/>
      <c r="AB72" s="315">
        <v>77769.842431693978</v>
      </c>
      <c r="AC72" s="314"/>
      <c r="AD72" s="309">
        <v>45.298333333333332</v>
      </c>
      <c r="AE72" s="314"/>
      <c r="AF72" s="309">
        <v>-67.158413809956485</v>
      </c>
      <c r="AG72" s="314"/>
      <c r="AH72" s="309">
        <f>AD72+AF72</f>
        <v>-21.860080476623153</v>
      </c>
      <c r="AI72" s="314"/>
      <c r="AJ72" s="320">
        <f>AB72*AH72</f>
        <v>-1700055.0142111324</v>
      </c>
    </row>
    <row r="73" spans="2:36">
      <c r="B73" s="305"/>
      <c r="D73" s="306"/>
      <c r="E73" s="307"/>
      <c r="F73" s="307"/>
      <c r="G73" s="307"/>
      <c r="H73" s="314"/>
      <c r="I73" s="314"/>
      <c r="J73" s="307"/>
      <c r="K73" s="307"/>
      <c r="L73" s="307"/>
      <c r="M73" s="307"/>
      <c r="N73" s="307"/>
      <c r="O73" s="307"/>
      <c r="P73" s="309"/>
      <c r="Q73" s="309"/>
      <c r="R73" s="307"/>
      <c r="S73" s="307"/>
      <c r="T73" s="315"/>
      <c r="V73" s="307"/>
      <c r="W73" s="307"/>
      <c r="X73" s="314"/>
      <c r="Y73" s="314"/>
      <c r="Z73" s="307"/>
      <c r="AA73" s="314"/>
      <c r="AB73" s="307"/>
      <c r="AC73" s="314"/>
      <c r="AD73" s="307"/>
      <c r="AE73" s="314"/>
      <c r="AF73" s="309"/>
      <c r="AG73" s="314"/>
      <c r="AH73" s="307"/>
      <c r="AI73" s="314"/>
      <c r="AJ73" s="315"/>
    </row>
    <row r="74" spans="2:36">
      <c r="B74" s="305">
        <f>B72+1</f>
        <v>46</v>
      </c>
      <c r="D74" s="306" t="s">
        <v>288</v>
      </c>
      <c r="E74" s="307"/>
      <c r="F74" s="307"/>
      <c r="G74" s="307"/>
      <c r="H74" s="314"/>
      <c r="I74" s="314"/>
      <c r="J74" s="307"/>
      <c r="K74" s="307"/>
      <c r="L74" s="307"/>
      <c r="M74" s="307"/>
      <c r="N74" s="307"/>
      <c r="O74" s="307"/>
      <c r="P74" s="309"/>
      <c r="Q74" s="309"/>
      <c r="R74" s="307"/>
      <c r="S74" s="307"/>
      <c r="T74" s="319">
        <f>SUM(T66:T72)</f>
        <v>55050934.832647398</v>
      </c>
      <c r="V74" s="307"/>
      <c r="W74" s="307"/>
      <c r="X74" s="314"/>
      <c r="Y74" s="314"/>
      <c r="Z74" s="307"/>
      <c r="AA74" s="314"/>
      <c r="AB74" s="307"/>
      <c r="AC74" s="314"/>
      <c r="AD74" s="307"/>
      <c r="AE74" s="314"/>
      <c r="AF74" s="309"/>
      <c r="AG74" s="314"/>
      <c r="AH74" s="307"/>
      <c r="AI74" s="314"/>
      <c r="AJ74" s="319">
        <f>SUM(AJ66:AJ72)</f>
        <v>6141469.8343024431</v>
      </c>
    </row>
    <row r="75" spans="2:36">
      <c r="B75" s="305"/>
      <c r="D75" s="306"/>
      <c r="E75" s="307"/>
      <c r="F75" s="307"/>
      <c r="G75" s="307"/>
      <c r="H75" s="314"/>
      <c r="I75" s="314"/>
      <c r="J75" s="307"/>
      <c r="K75" s="307"/>
      <c r="L75" s="307"/>
      <c r="M75" s="307"/>
      <c r="N75" s="307"/>
      <c r="O75" s="307"/>
      <c r="P75" s="309"/>
      <c r="Q75" s="309"/>
      <c r="R75" s="307"/>
      <c r="S75" s="307"/>
      <c r="T75" s="315"/>
      <c r="V75" s="307"/>
      <c r="W75" s="307"/>
      <c r="X75" s="314"/>
      <c r="Y75" s="314"/>
      <c r="Z75" s="307"/>
      <c r="AA75" s="314"/>
      <c r="AB75" s="307"/>
      <c r="AC75" s="314"/>
      <c r="AD75" s="307"/>
      <c r="AE75" s="314"/>
      <c r="AF75" s="309"/>
      <c r="AG75" s="314"/>
      <c r="AH75" s="307"/>
      <c r="AI75" s="314"/>
      <c r="AJ75" s="315"/>
    </row>
    <row r="76" spans="2:36">
      <c r="B76" s="305">
        <f>B74+1</f>
        <v>47</v>
      </c>
      <c r="D76" s="306" t="s">
        <v>289</v>
      </c>
      <c r="E76" s="307"/>
      <c r="F76" s="307"/>
      <c r="G76" s="307"/>
      <c r="H76" s="314"/>
      <c r="I76" s="314"/>
      <c r="J76" s="307"/>
      <c r="K76" s="307"/>
      <c r="L76" s="307"/>
      <c r="M76" s="307"/>
      <c r="N76" s="307"/>
      <c r="O76" s="307"/>
      <c r="P76" s="309"/>
      <c r="Q76" s="309"/>
      <c r="R76" s="307"/>
      <c r="S76" s="307"/>
      <c r="T76" s="320">
        <v>42083714</v>
      </c>
      <c r="V76" s="307"/>
      <c r="W76" s="307"/>
      <c r="X76" s="314"/>
      <c r="Y76" s="314"/>
      <c r="Z76" s="307"/>
      <c r="AA76" s="314"/>
      <c r="AB76" s="307"/>
      <c r="AC76" s="314"/>
      <c r="AD76" s="307"/>
      <c r="AE76" s="314"/>
      <c r="AF76" s="309"/>
      <c r="AG76" s="314"/>
      <c r="AH76" s="307"/>
      <c r="AI76" s="314"/>
      <c r="AJ76" s="320">
        <v>42083714</v>
      </c>
    </row>
    <row r="77" spans="2:36">
      <c r="B77" s="305"/>
      <c r="D77" s="306"/>
      <c r="E77" s="307"/>
      <c r="F77" s="307"/>
      <c r="G77" s="307"/>
      <c r="H77" s="314"/>
      <c r="I77" s="314"/>
      <c r="J77" s="307"/>
      <c r="K77" s="307"/>
      <c r="L77" s="307"/>
      <c r="M77" s="307"/>
      <c r="N77" s="307"/>
      <c r="O77" s="307"/>
      <c r="P77" s="309"/>
      <c r="Q77" s="309"/>
      <c r="R77" s="307"/>
      <c r="S77" s="307"/>
      <c r="T77" s="315"/>
      <c r="V77" s="307"/>
      <c r="W77" s="307"/>
      <c r="X77" s="314"/>
      <c r="Y77" s="314"/>
      <c r="Z77" s="307"/>
      <c r="AA77" s="314"/>
      <c r="AB77" s="307"/>
      <c r="AC77" s="314"/>
      <c r="AD77" s="307"/>
      <c r="AE77" s="314"/>
      <c r="AF77" s="309"/>
      <c r="AG77" s="314"/>
      <c r="AH77" s="307"/>
      <c r="AI77" s="314"/>
      <c r="AJ77" s="315"/>
    </row>
    <row r="78" spans="2:36" ht="14" thickBot="1">
      <c r="B78" s="305">
        <f>B76+1</f>
        <v>48</v>
      </c>
      <c r="D78" s="306" t="s">
        <v>87</v>
      </c>
      <c r="E78" s="307"/>
      <c r="F78" s="307"/>
      <c r="G78" s="307"/>
      <c r="H78" s="314"/>
      <c r="I78" s="314"/>
      <c r="J78" s="307"/>
      <c r="K78" s="307"/>
      <c r="L78" s="307"/>
      <c r="M78" s="307"/>
      <c r="N78" s="307"/>
      <c r="O78" s="307"/>
      <c r="P78" s="309"/>
      <c r="Q78" s="309"/>
      <c r="R78" s="307"/>
      <c r="S78" s="307"/>
      <c r="T78" s="330">
        <f>SUM(T74:T76)</f>
        <v>97134648.832647398</v>
      </c>
      <c r="V78" s="307"/>
      <c r="W78" s="307"/>
      <c r="X78" s="314"/>
      <c r="Y78" s="314"/>
      <c r="Z78" s="307"/>
      <c r="AA78" s="314"/>
      <c r="AB78" s="307"/>
      <c r="AC78" s="314"/>
      <c r="AD78" s="307"/>
      <c r="AE78" s="314"/>
      <c r="AF78" s="309"/>
      <c r="AG78" s="314"/>
      <c r="AH78" s="307"/>
      <c r="AI78" s="314"/>
      <c r="AJ78" s="330">
        <f>SUM(AJ74:AJ76)</f>
        <v>48225183.83430244</v>
      </c>
    </row>
    <row r="79" spans="2:36" ht="14" thickTop="1">
      <c r="B79" s="305"/>
      <c r="D79" s="306"/>
      <c r="E79" s="307"/>
      <c r="F79" s="307"/>
      <c r="G79" s="307"/>
      <c r="H79" s="314"/>
      <c r="I79" s="314"/>
      <c r="J79" s="307"/>
      <c r="K79" s="307"/>
      <c r="L79" s="307"/>
      <c r="M79" s="307"/>
      <c r="N79" s="307"/>
      <c r="O79" s="307"/>
      <c r="P79" s="309"/>
      <c r="Q79" s="309"/>
      <c r="R79" s="307"/>
      <c r="S79" s="307"/>
      <c r="T79" s="315"/>
      <c r="V79" s="307"/>
      <c r="W79" s="307"/>
      <c r="X79" s="314"/>
      <c r="Y79" s="314"/>
      <c r="Z79" s="307"/>
      <c r="AA79" s="314"/>
      <c r="AB79" s="307"/>
      <c r="AC79" s="314"/>
      <c r="AD79" s="307"/>
      <c r="AE79" s="314"/>
      <c r="AF79" s="309"/>
      <c r="AG79" s="314"/>
      <c r="AH79" s="307"/>
      <c r="AI79" s="314"/>
      <c r="AJ79" s="315"/>
    </row>
    <row r="80" spans="2:36" ht="14" thickBot="1">
      <c r="B80" s="305">
        <f>B78+1</f>
        <v>49</v>
      </c>
      <c r="D80" s="306" t="s">
        <v>290</v>
      </c>
      <c r="E80" s="307"/>
      <c r="F80" s="307"/>
      <c r="G80" s="307"/>
      <c r="H80" s="314"/>
      <c r="I80" s="314"/>
      <c r="J80" s="307"/>
      <c r="K80" s="307"/>
      <c r="L80" s="307"/>
      <c r="M80" s="307"/>
      <c r="N80" s="307"/>
      <c r="O80" s="307"/>
      <c r="P80" s="309"/>
      <c r="Q80" s="309"/>
      <c r="R80" s="307"/>
      <c r="S80" s="307"/>
      <c r="T80" s="330">
        <v>2498511</v>
      </c>
      <c r="V80" s="307"/>
      <c r="W80" s="307"/>
      <c r="X80" s="314"/>
      <c r="Y80" s="314"/>
      <c r="Z80" s="307"/>
      <c r="AA80" s="314"/>
      <c r="AB80" s="307"/>
      <c r="AC80" s="314"/>
      <c r="AD80" s="307"/>
      <c r="AE80" s="314"/>
      <c r="AF80" s="309"/>
      <c r="AG80" s="314"/>
      <c r="AH80" s="307"/>
      <c r="AI80" s="314"/>
      <c r="AJ80" s="330">
        <v>2498511</v>
      </c>
    </row>
    <row r="81" spans="2:38" ht="14" thickTop="1">
      <c r="B81" s="305"/>
      <c r="D81" s="306"/>
      <c r="E81" s="307"/>
      <c r="F81" s="307"/>
      <c r="G81" s="307"/>
      <c r="H81" s="314"/>
      <c r="I81" s="314"/>
      <c r="J81" s="307"/>
      <c r="K81" s="307"/>
      <c r="L81" s="307"/>
      <c r="M81" s="307"/>
      <c r="N81" s="307"/>
      <c r="O81" s="307"/>
      <c r="P81" s="309"/>
      <c r="Q81" s="309"/>
      <c r="R81" s="307"/>
      <c r="S81" s="307"/>
      <c r="T81" s="315"/>
      <c r="V81" s="307"/>
      <c r="W81" s="307"/>
      <c r="X81" s="314"/>
      <c r="Y81" s="314"/>
      <c r="Z81" s="307"/>
      <c r="AA81" s="314"/>
      <c r="AB81" s="307"/>
      <c r="AC81" s="314"/>
      <c r="AD81" s="307"/>
      <c r="AE81" s="314"/>
      <c r="AF81" s="309"/>
      <c r="AG81" s="314"/>
      <c r="AH81" s="307"/>
      <c r="AI81" s="314"/>
      <c r="AJ81" s="315"/>
    </row>
    <row r="82" spans="2:38" ht="14" thickBot="1">
      <c r="B82" s="305">
        <f>B80+1</f>
        <v>50</v>
      </c>
      <c r="D82" s="306" t="s">
        <v>291</v>
      </c>
      <c r="E82" s="307"/>
      <c r="F82" s="307"/>
      <c r="G82" s="307"/>
      <c r="H82" s="314"/>
      <c r="I82" s="314"/>
      <c r="J82" s="307"/>
      <c r="K82" s="307"/>
      <c r="L82" s="307"/>
      <c r="M82" s="307"/>
      <c r="N82" s="307"/>
      <c r="O82" s="307"/>
      <c r="P82" s="309"/>
      <c r="Q82" s="309"/>
      <c r="R82" s="307"/>
      <c r="S82" s="307"/>
      <c r="T82" s="330">
        <f>T78-T80</f>
        <v>94636137.832647398</v>
      </c>
      <c r="V82" s="307"/>
      <c r="W82" s="307"/>
      <c r="X82" s="314"/>
      <c r="Y82" s="314"/>
      <c r="Z82" s="307"/>
      <c r="AA82" s="314"/>
      <c r="AB82" s="307"/>
      <c r="AC82" s="314"/>
      <c r="AD82" s="307"/>
      <c r="AE82" s="314"/>
      <c r="AF82" s="309"/>
      <c r="AG82" s="314"/>
      <c r="AH82" s="307"/>
      <c r="AI82" s="314"/>
      <c r="AJ82" s="330">
        <f>AJ78-AJ80</f>
        <v>45726672.83430244</v>
      </c>
      <c r="AL82" s="9">
        <f>+AJ82-T82</f>
        <v>-48909464.998344958</v>
      </c>
    </row>
    <row r="83" spans="2:38" ht="14" thickTop="1">
      <c r="B83" s="305"/>
      <c r="D83" s="306"/>
      <c r="E83" s="307"/>
      <c r="F83" s="307"/>
      <c r="G83" s="307"/>
      <c r="H83" s="314"/>
      <c r="I83" s="314"/>
      <c r="J83" s="307"/>
      <c r="K83" s="307"/>
      <c r="L83" s="307"/>
      <c r="M83" s="307"/>
      <c r="N83" s="307"/>
      <c r="O83" s="307"/>
      <c r="P83" s="309"/>
      <c r="Q83" s="309"/>
      <c r="R83" s="307"/>
      <c r="S83" s="307"/>
      <c r="T83" s="319"/>
      <c r="V83" s="307"/>
      <c r="W83" s="307"/>
      <c r="X83" s="314"/>
      <c r="Y83" s="314"/>
      <c r="Z83" s="307"/>
      <c r="AA83" s="314"/>
      <c r="AB83" s="307"/>
      <c r="AC83" s="314"/>
      <c r="AD83" s="307"/>
      <c r="AE83" s="314"/>
      <c r="AF83" s="309"/>
      <c r="AG83" s="314"/>
      <c r="AH83" s="307"/>
      <c r="AI83" s="314"/>
      <c r="AJ83" s="319"/>
    </row>
    <row r="84" spans="2:38" s="35" customFormat="1">
      <c r="B84" s="110" t="s">
        <v>74</v>
      </c>
      <c r="C84" s="114"/>
      <c r="D84" s="114"/>
      <c r="E84" s="114"/>
      <c r="F84" s="114"/>
      <c r="G84" s="114"/>
      <c r="H84" s="125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</row>
    <row r="85" spans="2:38" s="35" customFormat="1">
      <c r="B85" s="64" t="s">
        <v>526</v>
      </c>
    </row>
    <row r="86" spans="2:38" s="35" customFormat="1">
      <c r="B86" s="64"/>
    </row>
    <row r="87" spans="2:38" s="35" customFormat="1">
      <c r="B87" s="64"/>
      <c r="V87" s="393"/>
      <c r="W87" s="180"/>
      <c r="X87" s="180"/>
      <c r="Y87" s="180"/>
      <c r="Z87" s="180"/>
      <c r="AA87" s="180"/>
      <c r="AB87" s="180"/>
      <c r="AC87" s="180"/>
      <c r="AD87" s="180"/>
    </row>
    <row r="88" spans="2:38" s="35" customFormat="1">
      <c r="D88" s="77"/>
      <c r="H88" s="180"/>
      <c r="I88" s="180"/>
      <c r="J88" s="180"/>
      <c r="K88" s="180"/>
      <c r="L88" s="180"/>
      <c r="M88" s="180"/>
      <c r="N88" s="180"/>
      <c r="V88" s="4"/>
      <c r="W88" s="4"/>
      <c r="X88" s="195"/>
      <c r="Y88" s="352"/>
      <c r="Z88" s="195"/>
      <c r="AA88" s="352"/>
      <c r="AB88" s="195"/>
      <c r="AC88" s="180"/>
      <c r="AD88" s="180"/>
    </row>
    <row r="89" spans="2:38" s="35" customFormat="1">
      <c r="D89" s="33"/>
      <c r="E89" s="33"/>
      <c r="F89" s="33"/>
      <c r="G89" s="33"/>
      <c r="H89" s="195"/>
      <c r="I89" s="352"/>
      <c r="J89" s="195"/>
      <c r="K89" s="352"/>
      <c r="L89" s="195"/>
      <c r="M89" s="180"/>
      <c r="N89" s="180"/>
      <c r="V89" s="394"/>
      <c r="W89" s="4"/>
      <c r="X89" s="353"/>
      <c r="Y89" s="352"/>
      <c r="Z89" s="354"/>
      <c r="AA89" s="352"/>
      <c r="AB89" s="355"/>
      <c r="AC89" s="180"/>
      <c r="AD89" s="180"/>
    </row>
    <row r="90" spans="2:38" s="35" customFormat="1">
      <c r="D90" s="77"/>
      <c r="E90" s="33"/>
      <c r="F90" s="33"/>
      <c r="G90" s="33"/>
      <c r="H90" s="353"/>
      <c r="I90" s="352"/>
      <c r="J90" s="354"/>
      <c r="K90" s="352"/>
      <c r="L90" s="355"/>
      <c r="M90" s="180"/>
      <c r="N90" s="180"/>
      <c r="V90" s="4"/>
      <c r="W90" s="4"/>
      <c r="X90" s="4"/>
      <c r="Y90" s="4"/>
      <c r="Z90" s="356"/>
      <c r="AA90" s="357"/>
      <c r="AB90" s="358"/>
      <c r="AC90" s="180"/>
      <c r="AD90" s="180"/>
    </row>
    <row r="91" spans="2:38" s="35" customFormat="1">
      <c r="D91" s="33"/>
      <c r="E91" s="33"/>
      <c r="F91" s="33"/>
      <c r="G91" s="33"/>
      <c r="H91" s="4"/>
      <c r="I91" s="4"/>
      <c r="J91" s="356"/>
      <c r="K91" s="357"/>
      <c r="L91" s="358"/>
      <c r="M91" s="180"/>
      <c r="N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 spans="2:38" s="35" customFormat="1">
      <c r="B92" s="112"/>
      <c r="H92" s="151"/>
      <c r="I92" s="151"/>
      <c r="J92" s="151"/>
      <c r="K92" s="151"/>
      <c r="L92" s="151"/>
      <c r="M92" s="180"/>
      <c r="N92" s="180"/>
    </row>
  </sheetData>
  <mergeCells count="3">
    <mergeCell ref="B1:L1"/>
    <mergeCell ref="F9:T9"/>
    <mergeCell ref="V9:AJ9"/>
  </mergeCells>
  <pageMargins left="0.7" right="0.7" top="0.75" bottom="0.75" header="0.3" footer="0.3"/>
  <pageSetup scale="42" orientation="landscape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C6DA-C29B-0F42-990D-4AF5E6A8DDAE}">
  <sheetPr>
    <tabColor rgb="FFFF0000"/>
    <pageSetUpPr fitToPage="1"/>
  </sheetPr>
  <dimension ref="A1:X403"/>
  <sheetViews>
    <sheetView tabSelected="1" zoomScale="95" zoomScaleNormal="95" workbookViewId="0">
      <selection activeCell="Q6" sqref="Q6"/>
    </sheetView>
  </sheetViews>
  <sheetFormatPr baseColWidth="10" defaultColWidth="10.33203125" defaultRowHeight="13"/>
  <cols>
    <col min="1" max="1" width="6.83203125" style="362" customWidth="1"/>
    <col min="2" max="2" width="50.33203125" style="362" customWidth="1"/>
    <col min="3" max="3" width="42.6640625" style="362" customWidth="1"/>
    <col min="4" max="4" width="14.83203125" style="362" customWidth="1"/>
    <col min="5" max="5" width="18.6640625" style="363" bestFit="1" customWidth="1"/>
    <col min="6" max="7" width="14.83203125" style="362" customWidth="1"/>
    <col min="8" max="8" width="14.83203125" style="362" bestFit="1" customWidth="1"/>
    <col min="9" max="9" width="14.83203125" style="362" customWidth="1"/>
    <col min="10" max="11" width="11.33203125" style="362" customWidth="1"/>
    <col min="12" max="12" width="18.33203125" style="363" customWidth="1"/>
    <col min="13" max="13" width="3" style="362" customWidth="1"/>
    <col min="14" max="16" width="10.33203125" style="362"/>
    <col min="17" max="17" width="18" style="362" bestFit="1" customWidth="1"/>
    <col min="18" max="16384" width="10.33203125" style="362"/>
  </cols>
  <sheetData>
    <row r="1" spans="1:17" s="27" customFormat="1">
      <c r="B1" s="447" t="str">
        <f>+'Sch 1'!B1:J1</f>
        <v>-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 s="27" customFormat="1">
      <c r="B2" s="359"/>
    </row>
    <row r="3" spans="1:17" s="27" customFormat="1">
      <c r="B3" s="12" t="str">
        <f>+'Sch 1.1'!B3</f>
        <v>Kentucky Public Service Commission</v>
      </c>
      <c r="Q3" s="36" t="str">
        <f>+'Sch 1.1'!J3</f>
        <v>Case No. 2018-00294</v>
      </c>
    </row>
    <row r="4" spans="1:17" s="27" customFormat="1">
      <c r="Q4" s="36" t="s">
        <v>304</v>
      </c>
    </row>
    <row r="5" spans="1:17" s="27" customFormat="1">
      <c r="B5" s="86" t="str">
        <f>+'Sch 1.1'!B5</f>
        <v>Kentucky Utilities Company</v>
      </c>
      <c r="Q5" s="36"/>
    </row>
    <row r="6" spans="1:17" s="27" customFormat="1">
      <c r="B6" s="12" t="s">
        <v>43</v>
      </c>
    </row>
    <row r="7" spans="1:17" s="27" customFormat="1">
      <c r="B7" s="27" t="s">
        <v>305</v>
      </c>
    </row>
    <row r="8" spans="1:17" s="27" customFormat="1">
      <c r="C8" s="360"/>
      <c r="E8" s="361"/>
      <c r="J8" s="360"/>
      <c r="L8" s="361"/>
    </row>
    <row r="9" spans="1:17">
      <c r="A9" s="444"/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</row>
    <row r="10" spans="1:17" ht="14" thickBot="1">
      <c r="A10" s="392"/>
      <c r="B10" s="446" t="s">
        <v>523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N10" s="445" t="s">
        <v>24</v>
      </c>
      <c r="O10" s="445"/>
      <c r="P10" s="445"/>
      <c r="Q10" s="445"/>
    </row>
    <row r="11" spans="1:17">
      <c r="N11" s="364"/>
      <c r="O11" s="364"/>
      <c r="P11" s="364"/>
      <c r="Q11" s="364"/>
    </row>
    <row r="12" spans="1:17" ht="51">
      <c r="A12" s="365" t="s">
        <v>347</v>
      </c>
      <c r="B12" s="365" t="s">
        <v>348</v>
      </c>
      <c r="C12" s="365" t="s">
        <v>349</v>
      </c>
      <c r="D12" s="365" t="s">
        <v>350</v>
      </c>
      <c r="E12" s="365" t="s">
        <v>351</v>
      </c>
      <c r="F12" s="366" t="s">
        <v>352</v>
      </c>
      <c r="G12" s="365" t="s">
        <v>353</v>
      </c>
      <c r="H12" s="365" t="s">
        <v>354</v>
      </c>
      <c r="I12" s="365" t="s">
        <v>355</v>
      </c>
      <c r="J12" s="365" t="s">
        <v>356</v>
      </c>
      <c r="K12" s="365" t="s">
        <v>357</v>
      </c>
      <c r="L12" s="365" t="s">
        <v>358</v>
      </c>
      <c r="N12" s="367" t="str">
        <f>H12</f>
        <v>Service Lead/
Mid-Point</v>
      </c>
      <c r="O12" s="367" t="str">
        <f>J12</f>
        <v>Payment Lead</v>
      </c>
      <c r="P12" s="367" t="str">
        <f>K12</f>
        <v>Total Lead</v>
      </c>
      <c r="Q12" s="367" t="str">
        <f>L12</f>
        <v>Weighted 
Lead</v>
      </c>
    </row>
    <row r="13" spans="1:17" ht="28">
      <c r="A13" s="368"/>
      <c r="B13" s="369" t="s">
        <v>359</v>
      </c>
      <c r="C13" s="369" t="s">
        <v>360</v>
      </c>
      <c r="D13" s="370" t="s">
        <v>361</v>
      </c>
      <c r="E13" s="370" t="s">
        <v>362</v>
      </c>
      <c r="F13" s="369" t="s">
        <v>363</v>
      </c>
      <c r="G13" s="369" t="s">
        <v>364</v>
      </c>
      <c r="H13" s="371" t="s">
        <v>365</v>
      </c>
      <c r="I13" s="369" t="s">
        <v>366</v>
      </c>
      <c r="J13" s="371" t="s">
        <v>367</v>
      </c>
      <c r="K13" s="372" t="s">
        <v>368</v>
      </c>
      <c r="L13" s="370" t="s">
        <v>369</v>
      </c>
      <c r="N13" s="364"/>
      <c r="O13" s="364"/>
      <c r="P13" s="364"/>
      <c r="Q13" s="364"/>
    </row>
    <row r="14" spans="1:17">
      <c r="A14" s="373"/>
      <c r="B14" s="374"/>
      <c r="C14" s="374"/>
      <c r="D14" s="374"/>
      <c r="E14" s="375"/>
      <c r="F14" s="376"/>
      <c r="G14" s="376"/>
      <c r="H14" s="374"/>
      <c r="I14" s="376"/>
      <c r="J14" s="374"/>
      <c r="K14" s="374"/>
      <c r="L14" s="375"/>
      <c r="N14" s="364"/>
      <c r="O14" s="364"/>
      <c r="P14" s="364"/>
      <c r="Q14" s="364"/>
    </row>
    <row r="15" spans="1:17">
      <c r="A15" s="377">
        <v>1</v>
      </c>
      <c r="B15" s="378" t="s">
        <v>370</v>
      </c>
      <c r="C15" s="378" t="s">
        <v>371</v>
      </c>
      <c r="D15" s="379">
        <v>43075</v>
      </c>
      <c r="E15" s="380">
        <v>120762.05</v>
      </c>
      <c r="F15" s="379">
        <v>43068</v>
      </c>
      <c r="G15" s="379">
        <v>43074</v>
      </c>
      <c r="H15" s="381">
        <f>IF(G15="",0,(G15-F15)/2)</f>
        <v>3</v>
      </c>
      <c r="I15" s="379">
        <v>43108</v>
      </c>
      <c r="J15" s="382">
        <f>IF(G15="",I15-F15,I15-G15)</f>
        <v>34</v>
      </c>
      <c r="K15" s="382">
        <f t="shared" ref="K15:K78" si="0">H15+J15</f>
        <v>37</v>
      </c>
      <c r="L15" s="315">
        <f t="shared" ref="L15:L78" si="1">ROUND(E15*K15,2)</f>
        <v>4468195.8499999996</v>
      </c>
      <c r="N15" s="383">
        <f>IF(G15="",30/2,H15)</f>
        <v>3</v>
      </c>
      <c r="O15" s="383">
        <f>J15</f>
        <v>34</v>
      </c>
      <c r="P15" s="383">
        <f>N15+O15</f>
        <v>37</v>
      </c>
      <c r="Q15" s="384">
        <f>E15*P15</f>
        <v>4468195.8500000006</v>
      </c>
    </row>
    <row r="16" spans="1:17">
      <c r="A16" s="377">
        <f t="shared" ref="A16:A79" si="2">A15+1</f>
        <v>2</v>
      </c>
      <c r="B16" s="378" t="s">
        <v>370</v>
      </c>
      <c r="C16" s="378" t="s">
        <v>371</v>
      </c>
      <c r="D16" s="379">
        <v>43081</v>
      </c>
      <c r="E16" s="380">
        <v>240980.35</v>
      </c>
      <c r="F16" s="379">
        <v>43075</v>
      </c>
      <c r="G16" s="379">
        <v>43088</v>
      </c>
      <c r="H16" s="381">
        <f t="shared" ref="H16:H79" si="3">IF(G16="",0,(G16-F16)/2)</f>
        <v>6.5</v>
      </c>
      <c r="I16" s="379">
        <v>43112</v>
      </c>
      <c r="J16" s="382">
        <f t="shared" ref="J16:J79" si="4">IF(G16="",I16-F16,I16-G16)</f>
        <v>24</v>
      </c>
      <c r="K16" s="382">
        <f t="shared" si="0"/>
        <v>30.5</v>
      </c>
      <c r="L16" s="315">
        <f t="shared" si="1"/>
        <v>7349900.6799999997</v>
      </c>
      <c r="N16" s="383">
        <f t="shared" ref="N16:N79" si="5">IF(G16="",30/2,H16)</f>
        <v>6.5</v>
      </c>
      <c r="O16" s="383">
        <f t="shared" ref="O16:O79" si="6">J16</f>
        <v>24</v>
      </c>
      <c r="P16" s="383">
        <f t="shared" ref="P16:P79" si="7">N16+O16</f>
        <v>30.5</v>
      </c>
      <c r="Q16" s="384">
        <f t="shared" ref="Q16:Q79" si="8">E16*P16</f>
        <v>7349900.6749999998</v>
      </c>
    </row>
    <row r="17" spans="1:18">
      <c r="A17" s="377">
        <f t="shared" si="2"/>
        <v>3</v>
      </c>
      <c r="B17" s="378" t="s">
        <v>372</v>
      </c>
      <c r="C17" s="378" t="s">
        <v>373</v>
      </c>
      <c r="D17" s="379">
        <v>42809</v>
      </c>
      <c r="E17" s="380">
        <v>52500</v>
      </c>
      <c r="F17" s="379">
        <v>42825</v>
      </c>
      <c r="G17" s="379"/>
      <c r="H17" s="381">
        <f t="shared" si="3"/>
        <v>0</v>
      </c>
      <c r="I17" s="379">
        <v>42828</v>
      </c>
      <c r="J17" s="382">
        <f t="shared" si="4"/>
        <v>3</v>
      </c>
      <c r="K17" s="382">
        <f t="shared" si="0"/>
        <v>3</v>
      </c>
      <c r="L17" s="315">
        <f t="shared" si="1"/>
        <v>157500</v>
      </c>
      <c r="M17" s="27"/>
      <c r="N17" s="383">
        <f t="shared" si="5"/>
        <v>15</v>
      </c>
      <c r="O17" s="383">
        <f t="shared" si="6"/>
        <v>3</v>
      </c>
      <c r="P17" s="383">
        <f t="shared" si="7"/>
        <v>18</v>
      </c>
      <c r="Q17" s="384">
        <f t="shared" si="8"/>
        <v>945000</v>
      </c>
    </row>
    <row r="18" spans="1:18">
      <c r="A18" s="377">
        <f>A17+1</f>
        <v>4</v>
      </c>
      <c r="B18" s="378" t="s">
        <v>374</v>
      </c>
      <c r="C18" s="378" t="s">
        <v>375</v>
      </c>
      <c r="D18" s="379">
        <v>42957</v>
      </c>
      <c r="E18" s="380">
        <v>46</v>
      </c>
      <c r="F18" s="379">
        <v>42957</v>
      </c>
      <c r="G18" s="379"/>
      <c r="H18" s="381">
        <f t="shared" si="3"/>
        <v>0</v>
      </c>
      <c r="I18" s="379">
        <v>42961</v>
      </c>
      <c r="J18" s="382">
        <f t="shared" si="4"/>
        <v>4</v>
      </c>
      <c r="K18" s="382">
        <f t="shared" si="0"/>
        <v>4</v>
      </c>
      <c r="L18" s="315">
        <f t="shared" si="1"/>
        <v>184</v>
      </c>
      <c r="N18" s="383">
        <f t="shared" si="5"/>
        <v>15</v>
      </c>
      <c r="O18" s="383">
        <f t="shared" si="6"/>
        <v>4</v>
      </c>
      <c r="P18" s="383">
        <f t="shared" si="7"/>
        <v>19</v>
      </c>
      <c r="Q18" s="384">
        <f t="shared" si="8"/>
        <v>874</v>
      </c>
    </row>
    <row r="19" spans="1:18">
      <c r="A19" s="377">
        <f t="shared" si="2"/>
        <v>5</v>
      </c>
      <c r="B19" s="378" t="s">
        <v>374</v>
      </c>
      <c r="C19" s="378" t="s">
        <v>375</v>
      </c>
      <c r="D19" s="379">
        <v>42957</v>
      </c>
      <c r="E19" s="380">
        <v>58</v>
      </c>
      <c r="F19" s="379">
        <v>42957</v>
      </c>
      <c r="G19" s="379"/>
      <c r="H19" s="381">
        <f t="shared" si="3"/>
        <v>0</v>
      </c>
      <c r="I19" s="379">
        <v>42961</v>
      </c>
      <c r="J19" s="382">
        <f t="shared" si="4"/>
        <v>4</v>
      </c>
      <c r="K19" s="382">
        <f t="shared" si="0"/>
        <v>4</v>
      </c>
      <c r="L19" s="315">
        <f t="shared" si="1"/>
        <v>232</v>
      </c>
      <c r="N19" s="383">
        <f t="shared" si="5"/>
        <v>15</v>
      </c>
      <c r="O19" s="383">
        <f t="shared" si="6"/>
        <v>4</v>
      </c>
      <c r="P19" s="383">
        <f t="shared" si="7"/>
        <v>19</v>
      </c>
      <c r="Q19" s="384">
        <f t="shared" si="8"/>
        <v>1102</v>
      </c>
    </row>
    <row r="20" spans="1:18">
      <c r="A20" s="377">
        <f t="shared" si="2"/>
        <v>6</v>
      </c>
      <c r="B20" s="378" t="s">
        <v>376</v>
      </c>
      <c r="C20" s="378" t="s">
        <v>375</v>
      </c>
      <c r="D20" s="379">
        <v>42947</v>
      </c>
      <c r="E20" s="380">
        <v>4.03</v>
      </c>
      <c r="F20" s="379">
        <v>42927</v>
      </c>
      <c r="G20" s="379"/>
      <c r="H20" s="381">
        <f t="shared" si="3"/>
        <v>0</v>
      </c>
      <c r="I20" s="379">
        <v>42972</v>
      </c>
      <c r="J20" s="382">
        <f t="shared" si="4"/>
        <v>45</v>
      </c>
      <c r="K20" s="382">
        <f t="shared" si="0"/>
        <v>45</v>
      </c>
      <c r="L20" s="315">
        <f t="shared" si="1"/>
        <v>181.35</v>
      </c>
      <c r="N20" s="383">
        <f t="shared" si="5"/>
        <v>15</v>
      </c>
      <c r="O20" s="383">
        <f t="shared" si="6"/>
        <v>45</v>
      </c>
      <c r="P20" s="383">
        <f t="shared" si="7"/>
        <v>60</v>
      </c>
      <c r="Q20" s="384">
        <f t="shared" si="8"/>
        <v>241.8</v>
      </c>
    </row>
    <row r="21" spans="1:18">
      <c r="A21" s="377">
        <f t="shared" si="2"/>
        <v>7</v>
      </c>
      <c r="B21" s="378" t="s">
        <v>377</v>
      </c>
      <c r="C21" s="378" t="s">
        <v>375</v>
      </c>
      <c r="D21" s="379">
        <v>42898</v>
      </c>
      <c r="E21" s="380">
        <v>348.87</v>
      </c>
      <c r="F21" s="379">
        <v>42898</v>
      </c>
      <c r="G21" s="379"/>
      <c r="H21" s="381">
        <f t="shared" si="3"/>
        <v>0</v>
      </c>
      <c r="I21" s="379">
        <v>42944</v>
      </c>
      <c r="J21" s="382">
        <f t="shared" si="4"/>
        <v>46</v>
      </c>
      <c r="K21" s="382">
        <f t="shared" si="0"/>
        <v>46</v>
      </c>
      <c r="L21" s="315">
        <f t="shared" si="1"/>
        <v>16048.02</v>
      </c>
      <c r="N21" s="383">
        <f t="shared" si="5"/>
        <v>15</v>
      </c>
      <c r="O21" s="383">
        <f t="shared" si="6"/>
        <v>46</v>
      </c>
      <c r="P21" s="383">
        <f t="shared" si="7"/>
        <v>61</v>
      </c>
      <c r="Q21" s="384">
        <f t="shared" si="8"/>
        <v>21281.07</v>
      </c>
    </row>
    <row r="22" spans="1:18">
      <c r="A22" s="377">
        <f t="shared" si="2"/>
        <v>8</v>
      </c>
      <c r="B22" s="378" t="s">
        <v>378</v>
      </c>
      <c r="C22" s="378" t="s">
        <v>379</v>
      </c>
      <c r="D22" s="379">
        <v>42956</v>
      </c>
      <c r="E22" s="380">
        <v>5637.04</v>
      </c>
      <c r="F22" s="379">
        <v>42956</v>
      </c>
      <c r="G22" s="379"/>
      <c r="H22" s="381">
        <f t="shared" si="3"/>
        <v>0</v>
      </c>
      <c r="I22" s="379">
        <v>42989</v>
      </c>
      <c r="J22" s="382">
        <f t="shared" si="4"/>
        <v>33</v>
      </c>
      <c r="K22" s="382">
        <f t="shared" si="0"/>
        <v>33</v>
      </c>
      <c r="L22" s="315">
        <f t="shared" si="1"/>
        <v>186022.32</v>
      </c>
      <c r="N22" s="383">
        <f t="shared" si="5"/>
        <v>15</v>
      </c>
      <c r="O22" s="383">
        <f t="shared" si="6"/>
        <v>33</v>
      </c>
      <c r="P22" s="383">
        <f t="shared" si="7"/>
        <v>48</v>
      </c>
      <c r="Q22" s="384">
        <f t="shared" si="8"/>
        <v>270577.91999999998</v>
      </c>
    </row>
    <row r="23" spans="1:18">
      <c r="A23" s="377">
        <f t="shared" si="2"/>
        <v>9</v>
      </c>
      <c r="B23" s="378" t="s">
        <v>380</v>
      </c>
      <c r="C23" s="378" t="s">
        <v>379</v>
      </c>
      <c r="D23" s="379">
        <v>42825</v>
      </c>
      <c r="E23" s="380">
        <v>57122.3</v>
      </c>
      <c r="F23" s="379">
        <v>42810</v>
      </c>
      <c r="G23" s="379"/>
      <c r="H23" s="381">
        <f t="shared" si="3"/>
        <v>0</v>
      </c>
      <c r="I23" s="379">
        <v>42858</v>
      </c>
      <c r="J23" s="382">
        <f t="shared" si="4"/>
        <v>48</v>
      </c>
      <c r="K23" s="382">
        <f t="shared" si="0"/>
        <v>48</v>
      </c>
      <c r="L23" s="315">
        <f t="shared" si="1"/>
        <v>2741870.4</v>
      </c>
      <c r="M23" s="27"/>
      <c r="N23" s="383">
        <f t="shared" si="5"/>
        <v>15</v>
      </c>
      <c r="O23" s="383">
        <f t="shared" si="6"/>
        <v>48</v>
      </c>
      <c r="P23" s="383">
        <f t="shared" si="7"/>
        <v>63</v>
      </c>
      <c r="Q23" s="384">
        <f t="shared" si="8"/>
        <v>3598704.9000000004</v>
      </c>
      <c r="R23" s="27"/>
    </row>
    <row r="24" spans="1:18">
      <c r="A24" s="377">
        <f t="shared" si="2"/>
        <v>10</v>
      </c>
      <c r="B24" s="378" t="s">
        <v>376</v>
      </c>
      <c r="C24" s="378" t="s">
        <v>379</v>
      </c>
      <c r="D24" s="379">
        <v>42916</v>
      </c>
      <c r="E24" s="380">
        <v>7.54</v>
      </c>
      <c r="F24" s="379">
        <v>42853</v>
      </c>
      <c r="G24" s="379"/>
      <c r="H24" s="381">
        <f t="shared" si="3"/>
        <v>0</v>
      </c>
      <c r="I24" s="379">
        <v>42941</v>
      </c>
      <c r="J24" s="382">
        <f t="shared" si="4"/>
        <v>88</v>
      </c>
      <c r="K24" s="382">
        <f t="shared" si="0"/>
        <v>88</v>
      </c>
      <c r="L24" s="315">
        <f t="shared" si="1"/>
        <v>663.52</v>
      </c>
      <c r="M24" s="27"/>
      <c r="N24" s="383">
        <f t="shared" si="5"/>
        <v>15</v>
      </c>
      <c r="O24" s="383">
        <f t="shared" si="6"/>
        <v>88</v>
      </c>
      <c r="P24" s="383">
        <f t="shared" si="7"/>
        <v>103</v>
      </c>
      <c r="Q24" s="384">
        <f t="shared" si="8"/>
        <v>776.62</v>
      </c>
      <c r="R24" s="27"/>
    </row>
    <row r="25" spans="1:18">
      <c r="A25" s="377">
        <f t="shared" si="2"/>
        <v>11</v>
      </c>
      <c r="B25" s="378" t="s">
        <v>376</v>
      </c>
      <c r="C25" s="378" t="s">
        <v>379</v>
      </c>
      <c r="D25" s="379">
        <v>42978</v>
      </c>
      <c r="E25" s="380">
        <v>33.18</v>
      </c>
      <c r="F25" s="379">
        <v>42958</v>
      </c>
      <c r="G25" s="379"/>
      <c r="H25" s="381">
        <f t="shared" si="3"/>
        <v>0</v>
      </c>
      <c r="I25" s="379">
        <v>43003</v>
      </c>
      <c r="J25" s="382">
        <f t="shared" si="4"/>
        <v>45</v>
      </c>
      <c r="K25" s="382">
        <f t="shared" si="0"/>
        <v>45</v>
      </c>
      <c r="L25" s="315">
        <f t="shared" si="1"/>
        <v>1493.1</v>
      </c>
      <c r="M25" s="27"/>
      <c r="N25" s="383">
        <f t="shared" si="5"/>
        <v>15</v>
      </c>
      <c r="O25" s="383">
        <f t="shared" si="6"/>
        <v>45</v>
      </c>
      <c r="P25" s="383">
        <f t="shared" si="7"/>
        <v>60</v>
      </c>
      <c r="Q25" s="384">
        <f t="shared" si="8"/>
        <v>1990.8</v>
      </c>
      <c r="R25" s="27"/>
    </row>
    <row r="26" spans="1:18">
      <c r="A26" s="377">
        <f t="shared" si="2"/>
        <v>12</v>
      </c>
      <c r="B26" s="378" t="s">
        <v>381</v>
      </c>
      <c r="C26" s="378" t="s">
        <v>379</v>
      </c>
      <c r="D26" s="379">
        <v>42507</v>
      </c>
      <c r="E26" s="380">
        <v>910.95</v>
      </c>
      <c r="F26" s="379">
        <v>42506</v>
      </c>
      <c r="G26" s="379"/>
      <c r="H26" s="381">
        <f t="shared" si="3"/>
        <v>0</v>
      </c>
      <c r="I26" s="379">
        <v>42961</v>
      </c>
      <c r="J26" s="382">
        <f t="shared" si="4"/>
        <v>455</v>
      </c>
      <c r="K26" s="382">
        <f t="shared" si="0"/>
        <v>455</v>
      </c>
      <c r="L26" s="315">
        <f t="shared" si="1"/>
        <v>414482.25</v>
      </c>
      <c r="M26" s="27"/>
      <c r="N26" s="383">
        <f t="shared" si="5"/>
        <v>15</v>
      </c>
      <c r="O26" s="383">
        <f t="shared" si="6"/>
        <v>455</v>
      </c>
      <c r="P26" s="383">
        <f t="shared" si="7"/>
        <v>470</v>
      </c>
      <c r="Q26" s="384">
        <f t="shared" si="8"/>
        <v>428146.5</v>
      </c>
      <c r="R26" s="27"/>
    </row>
    <row r="27" spans="1:18">
      <c r="A27" s="377">
        <f t="shared" si="2"/>
        <v>13</v>
      </c>
      <c r="B27" s="378" t="s">
        <v>382</v>
      </c>
      <c r="C27" s="378" t="s">
        <v>379</v>
      </c>
      <c r="D27" s="379">
        <v>42984</v>
      </c>
      <c r="E27" s="380">
        <v>235.82</v>
      </c>
      <c r="F27" s="379">
        <v>42984</v>
      </c>
      <c r="G27" s="379"/>
      <c r="H27" s="381">
        <f t="shared" si="3"/>
        <v>0</v>
      </c>
      <c r="I27" s="379">
        <v>42996</v>
      </c>
      <c r="J27" s="382">
        <f t="shared" si="4"/>
        <v>12</v>
      </c>
      <c r="K27" s="382">
        <f t="shared" si="0"/>
        <v>12</v>
      </c>
      <c r="L27" s="315">
        <f t="shared" si="1"/>
        <v>2829.84</v>
      </c>
      <c r="M27" s="27"/>
      <c r="N27" s="383">
        <f t="shared" si="5"/>
        <v>15</v>
      </c>
      <c r="O27" s="383">
        <f t="shared" si="6"/>
        <v>12</v>
      </c>
      <c r="P27" s="383">
        <f t="shared" si="7"/>
        <v>27</v>
      </c>
      <c r="Q27" s="384">
        <f t="shared" si="8"/>
        <v>6367.1399999999994</v>
      </c>
      <c r="R27" s="27"/>
    </row>
    <row r="28" spans="1:18">
      <c r="A28" s="377">
        <f t="shared" si="2"/>
        <v>14</v>
      </c>
      <c r="B28" s="378" t="s">
        <v>383</v>
      </c>
      <c r="C28" s="378" t="s">
        <v>379</v>
      </c>
      <c r="D28" s="379">
        <v>42885</v>
      </c>
      <c r="E28" s="380">
        <v>1874.74</v>
      </c>
      <c r="F28" s="379">
        <v>42859</v>
      </c>
      <c r="G28" s="379">
        <v>42879</v>
      </c>
      <c r="H28" s="381">
        <f t="shared" si="3"/>
        <v>10</v>
      </c>
      <c r="I28" s="379">
        <v>42891</v>
      </c>
      <c r="J28" s="382">
        <f t="shared" si="4"/>
        <v>12</v>
      </c>
      <c r="K28" s="382">
        <f t="shared" si="0"/>
        <v>22</v>
      </c>
      <c r="L28" s="315">
        <f t="shared" si="1"/>
        <v>41244.28</v>
      </c>
      <c r="M28" s="27"/>
      <c r="N28" s="383">
        <f t="shared" si="5"/>
        <v>10</v>
      </c>
      <c r="O28" s="383">
        <f t="shared" si="6"/>
        <v>12</v>
      </c>
      <c r="P28" s="383">
        <f t="shared" si="7"/>
        <v>22</v>
      </c>
      <c r="Q28" s="384">
        <f t="shared" si="8"/>
        <v>41244.28</v>
      </c>
      <c r="R28" s="27"/>
    </row>
    <row r="29" spans="1:18">
      <c r="A29" s="377">
        <f t="shared" si="2"/>
        <v>15</v>
      </c>
      <c r="B29" s="378" t="s">
        <v>376</v>
      </c>
      <c r="C29" s="378" t="s">
        <v>379</v>
      </c>
      <c r="D29" s="379">
        <v>42916</v>
      </c>
      <c r="E29" s="380">
        <v>241.16</v>
      </c>
      <c r="F29" s="379">
        <v>42856</v>
      </c>
      <c r="G29" s="379">
        <v>42909</v>
      </c>
      <c r="H29" s="381">
        <f t="shared" si="3"/>
        <v>26.5</v>
      </c>
      <c r="I29" s="379">
        <v>42941</v>
      </c>
      <c r="J29" s="382">
        <f t="shared" si="4"/>
        <v>32</v>
      </c>
      <c r="K29" s="382">
        <f t="shared" si="0"/>
        <v>58.5</v>
      </c>
      <c r="L29" s="315">
        <f t="shared" si="1"/>
        <v>14107.86</v>
      </c>
      <c r="M29" s="27"/>
      <c r="N29" s="383">
        <f t="shared" si="5"/>
        <v>26.5</v>
      </c>
      <c r="O29" s="383">
        <f t="shared" si="6"/>
        <v>32</v>
      </c>
      <c r="P29" s="383">
        <f t="shared" si="7"/>
        <v>58.5</v>
      </c>
      <c r="Q29" s="384">
        <f t="shared" si="8"/>
        <v>14107.86</v>
      </c>
      <c r="R29" s="27"/>
    </row>
    <row r="30" spans="1:18">
      <c r="A30" s="377">
        <f t="shared" si="2"/>
        <v>16</v>
      </c>
      <c r="B30" s="378" t="s">
        <v>384</v>
      </c>
      <c r="C30" s="378" t="s">
        <v>379</v>
      </c>
      <c r="D30" s="379">
        <v>42824</v>
      </c>
      <c r="E30" s="380">
        <v>56738.17</v>
      </c>
      <c r="F30" s="379">
        <v>42824</v>
      </c>
      <c r="G30" s="379"/>
      <c r="H30" s="381">
        <f t="shared" si="3"/>
        <v>0</v>
      </c>
      <c r="I30" s="379">
        <v>42856</v>
      </c>
      <c r="J30" s="382">
        <f t="shared" si="4"/>
        <v>32</v>
      </c>
      <c r="K30" s="382">
        <f t="shared" si="0"/>
        <v>32</v>
      </c>
      <c r="L30" s="315">
        <f t="shared" si="1"/>
        <v>1815621.44</v>
      </c>
      <c r="M30" s="27"/>
      <c r="N30" s="383">
        <f t="shared" si="5"/>
        <v>15</v>
      </c>
      <c r="O30" s="383">
        <f t="shared" si="6"/>
        <v>32</v>
      </c>
      <c r="P30" s="383">
        <f t="shared" si="7"/>
        <v>47</v>
      </c>
      <c r="Q30" s="384">
        <f t="shared" si="8"/>
        <v>2666693.9899999998</v>
      </c>
      <c r="R30" s="27"/>
    </row>
    <row r="31" spans="1:18">
      <c r="A31" s="377">
        <f t="shared" si="2"/>
        <v>17</v>
      </c>
      <c r="B31" s="378" t="s">
        <v>385</v>
      </c>
      <c r="C31" s="378" t="s">
        <v>379</v>
      </c>
      <c r="D31" s="379">
        <v>42734</v>
      </c>
      <c r="E31" s="380">
        <v>647.04999999999995</v>
      </c>
      <c r="F31" s="379">
        <v>42705</v>
      </c>
      <c r="G31" s="379">
        <v>42711</v>
      </c>
      <c r="H31" s="381">
        <f t="shared" si="3"/>
        <v>3</v>
      </c>
      <c r="I31" s="379">
        <v>42746</v>
      </c>
      <c r="J31" s="382">
        <f t="shared" si="4"/>
        <v>35</v>
      </c>
      <c r="K31" s="382">
        <f t="shared" si="0"/>
        <v>38</v>
      </c>
      <c r="L31" s="315">
        <f t="shared" si="1"/>
        <v>24587.9</v>
      </c>
      <c r="M31" s="27"/>
      <c r="N31" s="383">
        <f t="shared" si="5"/>
        <v>3</v>
      </c>
      <c r="O31" s="383">
        <f t="shared" si="6"/>
        <v>35</v>
      </c>
      <c r="P31" s="383">
        <f t="shared" si="7"/>
        <v>38</v>
      </c>
      <c r="Q31" s="384">
        <f t="shared" si="8"/>
        <v>24587.899999999998</v>
      </c>
      <c r="R31" s="27"/>
    </row>
    <row r="32" spans="1:18">
      <c r="A32" s="377">
        <f t="shared" si="2"/>
        <v>18</v>
      </c>
      <c r="B32" s="378" t="s">
        <v>386</v>
      </c>
      <c r="C32" s="378" t="s">
        <v>379</v>
      </c>
      <c r="D32" s="379">
        <v>42851</v>
      </c>
      <c r="E32" s="380">
        <v>52687.44</v>
      </c>
      <c r="F32" s="379">
        <v>42851</v>
      </c>
      <c r="G32" s="379"/>
      <c r="H32" s="381">
        <f t="shared" si="3"/>
        <v>0</v>
      </c>
      <c r="I32" s="379">
        <v>42885</v>
      </c>
      <c r="J32" s="382">
        <f t="shared" si="4"/>
        <v>34</v>
      </c>
      <c r="K32" s="382">
        <f t="shared" si="0"/>
        <v>34</v>
      </c>
      <c r="L32" s="315">
        <f t="shared" si="1"/>
        <v>1791372.96</v>
      </c>
      <c r="M32" s="27"/>
      <c r="N32" s="383">
        <f t="shared" si="5"/>
        <v>15</v>
      </c>
      <c r="O32" s="383">
        <f t="shared" si="6"/>
        <v>34</v>
      </c>
      <c r="P32" s="383">
        <f t="shared" si="7"/>
        <v>49</v>
      </c>
      <c r="Q32" s="384">
        <f t="shared" si="8"/>
        <v>2581684.56</v>
      </c>
      <c r="R32" s="27"/>
    </row>
    <row r="33" spans="1:18">
      <c r="A33" s="377">
        <f t="shared" si="2"/>
        <v>19</v>
      </c>
      <c r="B33" s="378" t="s">
        <v>387</v>
      </c>
      <c r="C33" s="378" t="s">
        <v>379</v>
      </c>
      <c r="D33" s="379">
        <v>42913</v>
      </c>
      <c r="E33" s="380">
        <v>56680</v>
      </c>
      <c r="F33" s="379">
        <v>42907</v>
      </c>
      <c r="G33" s="379"/>
      <c r="H33" s="381">
        <f t="shared" si="3"/>
        <v>0</v>
      </c>
      <c r="I33" s="379">
        <v>42944</v>
      </c>
      <c r="J33" s="382">
        <f t="shared" si="4"/>
        <v>37</v>
      </c>
      <c r="K33" s="382">
        <f t="shared" si="0"/>
        <v>37</v>
      </c>
      <c r="L33" s="315">
        <f t="shared" si="1"/>
        <v>2097160</v>
      </c>
      <c r="M33" s="27"/>
      <c r="N33" s="383">
        <f t="shared" si="5"/>
        <v>15</v>
      </c>
      <c r="O33" s="383">
        <f t="shared" si="6"/>
        <v>37</v>
      </c>
      <c r="P33" s="383">
        <f t="shared" si="7"/>
        <v>52</v>
      </c>
      <c r="Q33" s="384">
        <f t="shared" si="8"/>
        <v>2947360</v>
      </c>
      <c r="R33" s="27"/>
    </row>
    <row r="34" spans="1:18">
      <c r="A34" s="377">
        <f t="shared" si="2"/>
        <v>20</v>
      </c>
      <c r="B34" s="378" t="s">
        <v>388</v>
      </c>
      <c r="C34" s="378" t="s">
        <v>379</v>
      </c>
      <c r="D34" s="379">
        <v>43039</v>
      </c>
      <c r="E34" s="380">
        <v>399.6</v>
      </c>
      <c r="F34" s="379">
        <v>43039</v>
      </c>
      <c r="G34" s="379"/>
      <c r="H34" s="381">
        <f t="shared" si="3"/>
        <v>0</v>
      </c>
      <c r="I34" s="379">
        <v>43070</v>
      </c>
      <c r="J34" s="382">
        <f t="shared" si="4"/>
        <v>31</v>
      </c>
      <c r="K34" s="382">
        <f t="shared" si="0"/>
        <v>31</v>
      </c>
      <c r="L34" s="315">
        <f t="shared" si="1"/>
        <v>12387.6</v>
      </c>
      <c r="M34" s="27"/>
      <c r="N34" s="383">
        <f t="shared" si="5"/>
        <v>15</v>
      </c>
      <c r="O34" s="383">
        <f t="shared" si="6"/>
        <v>31</v>
      </c>
      <c r="P34" s="383">
        <f t="shared" si="7"/>
        <v>46</v>
      </c>
      <c r="Q34" s="384">
        <f t="shared" si="8"/>
        <v>18381.600000000002</v>
      </c>
      <c r="R34" s="27"/>
    </row>
    <row r="35" spans="1:18">
      <c r="A35" s="377">
        <f t="shared" si="2"/>
        <v>21</v>
      </c>
      <c r="B35" s="378" t="s">
        <v>389</v>
      </c>
      <c r="C35" s="378" t="s">
        <v>379</v>
      </c>
      <c r="D35" s="379">
        <v>42765</v>
      </c>
      <c r="E35" s="380">
        <v>52086.43</v>
      </c>
      <c r="F35" s="379">
        <v>42717</v>
      </c>
      <c r="G35" s="379">
        <v>42752</v>
      </c>
      <c r="H35" s="381">
        <f t="shared" si="3"/>
        <v>17.5</v>
      </c>
      <c r="I35" s="379">
        <v>42796</v>
      </c>
      <c r="J35" s="382">
        <f t="shared" si="4"/>
        <v>44</v>
      </c>
      <c r="K35" s="382">
        <f t="shared" si="0"/>
        <v>61.5</v>
      </c>
      <c r="L35" s="315">
        <f t="shared" si="1"/>
        <v>3203315.45</v>
      </c>
      <c r="M35" s="27"/>
      <c r="N35" s="383">
        <f t="shared" si="5"/>
        <v>17.5</v>
      </c>
      <c r="O35" s="383">
        <f t="shared" si="6"/>
        <v>44</v>
      </c>
      <c r="P35" s="383">
        <f t="shared" si="7"/>
        <v>61.5</v>
      </c>
      <c r="Q35" s="384">
        <f t="shared" si="8"/>
        <v>3203315.4449999998</v>
      </c>
      <c r="R35" s="27"/>
    </row>
    <row r="36" spans="1:18">
      <c r="A36" s="377">
        <f t="shared" si="2"/>
        <v>22</v>
      </c>
      <c r="B36" s="378" t="s">
        <v>386</v>
      </c>
      <c r="C36" s="378" t="s">
        <v>379</v>
      </c>
      <c r="D36" s="379">
        <v>42851</v>
      </c>
      <c r="E36" s="380">
        <v>85405.43</v>
      </c>
      <c r="F36" s="379">
        <v>42851</v>
      </c>
      <c r="G36" s="379"/>
      <c r="H36" s="381">
        <f t="shared" si="3"/>
        <v>0</v>
      </c>
      <c r="I36" s="379">
        <v>42885</v>
      </c>
      <c r="J36" s="382">
        <f t="shared" si="4"/>
        <v>34</v>
      </c>
      <c r="K36" s="382">
        <f t="shared" si="0"/>
        <v>34</v>
      </c>
      <c r="L36" s="315">
        <f t="shared" si="1"/>
        <v>2903784.62</v>
      </c>
      <c r="M36" s="27"/>
      <c r="N36" s="383">
        <f t="shared" si="5"/>
        <v>15</v>
      </c>
      <c r="O36" s="383">
        <f t="shared" si="6"/>
        <v>34</v>
      </c>
      <c r="P36" s="383">
        <f t="shared" si="7"/>
        <v>49</v>
      </c>
      <c r="Q36" s="384">
        <f t="shared" si="8"/>
        <v>4184866.07</v>
      </c>
      <c r="R36" s="27"/>
    </row>
    <row r="37" spans="1:18">
      <c r="A37" s="377">
        <f t="shared" si="2"/>
        <v>23</v>
      </c>
      <c r="B37" s="378" t="s">
        <v>390</v>
      </c>
      <c r="C37" s="378" t="s">
        <v>379</v>
      </c>
      <c r="D37" s="379">
        <v>42857</v>
      </c>
      <c r="E37" s="380">
        <v>4780</v>
      </c>
      <c r="F37" s="379">
        <v>42857</v>
      </c>
      <c r="G37" s="379"/>
      <c r="H37" s="381">
        <f t="shared" si="3"/>
        <v>0</v>
      </c>
      <c r="I37" s="379">
        <v>42888</v>
      </c>
      <c r="J37" s="382">
        <f t="shared" si="4"/>
        <v>31</v>
      </c>
      <c r="K37" s="382">
        <f t="shared" si="0"/>
        <v>31</v>
      </c>
      <c r="L37" s="315">
        <f t="shared" si="1"/>
        <v>148180</v>
      </c>
      <c r="M37" s="27"/>
      <c r="N37" s="383">
        <f t="shared" si="5"/>
        <v>15</v>
      </c>
      <c r="O37" s="383">
        <f t="shared" si="6"/>
        <v>31</v>
      </c>
      <c r="P37" s="383">
        <f t="shared" si="7"/>
        <v>46</v>
      </c>
      <c r="Q37" s="384">
        <f t="shared" si="8"/>
        <v>219880</v>
      </c>
      <c r="R37" s="27"/>
    </row>
    <row r="38" spans="1:18">
      <c r="A38" s="377">
        <f t="shared" si="2"/>
        <v>24</v>
      </c>
      <c r="B38" s="378" t="s">
        <v>391</v>
      </c>
      <c r="C38" s="378" t="s">
        <v>379</v>
      </c>
      <c r="D38" s="379">
        <v>42785</v>
      </c>
      <c r="E38" s="380">
        <v>220</v>
      </c>
      <c r="F38" s="379">
        <v>42758</v>
      </c>
      <c r="G38" s="379">
        <v>42759</v>
      </c>
      <c r="H38" s="381">
        <f t="shared" si="3"/>
        <v>0.5</v>
      </c>
      <c r="I38" s="379">
        <v>42849</v>
      </c>
      <c r="J38" s="382">
        <f t="shared" si="4"/>
        <v>90</v>
      </c>
      <c r="K38" s="382">
        <f t="shared" si="0"/>
        <v>90.5</v>
      </c>
      <c r="L38" s="315">
        <f t="shared" si="1"/>
        <v>19910</v>
      </c>
      <c r="M38" s="27"/>
      <c r="N38" s="383">
        <f t="shared" si="5"/>
        <v>0.5</v>
      </c>
      <c r="O38" s="383">
        <f t="shared" si="6"/>
        <v>90</v>
      </c>
      <c r="P38" s="383">
        <f t="shared" si="7"/>
        <v>90.5</v>
      </c>
      <c r="Q38" s="384">
        <f t="shared" si="8"/>
        <v>19910</v>
      </c>
      <c r="R38" s="27"/>
    </row>
    <row r="39" spans="1:18">
      <c r="A39" s="377">
        <f t="shared" si="2"/>
        <v>25</v>
      </c>
      <c r="B39" s="378" t="s">
        <v>392</v>
      </c>
      <c r="C39" s="378" t="s">
        <v>379</v>
      </c>
      <c r="D39" s="379">
        <v>43038</v>
      </c>
      <c r="E39" s="380">
        <v>55000</v>
      </c>
      <c r="F39" s="379">
        <v>43038</v>
      </c>
      <c r="G39" s="379"/>
      <c r="H39" s="381">
        <f t="shared" si="3"/>
        <v>0</v>
      </c>
      <c r="I39" s="379">
        <v>43069</v>
      </c>
      <c r="J39" s="382">
        <f t="shared" si="4"/>
        <v>31</v>
      </c>
      <c r="K39" s="382">
        <f t="shared" si="0"/>
        <v>31</v>
      </c>
      <c r="L39" s="315">
        <f t="shared" si="1"/>
        <v>1705000</v>
      </c>
      <c r="M39" s="27"/>
      <c r="N39" s="383">
        <f t="shared" si="5"/>
        <v>15</v>
      </c>
      <c r="O39" s="383">
        <f t="shared" si="6"/>
        <v>31</v>
      </c>
      <c r="P39" s="383">
        <f t="shared" si="7"/>
        <v>46</v>
      </c>
      <c r="Q39" s="384">
        <f t="shared" si="8"/>
        <v>2530000</v>
      </c>
      <c r="R39" s="27"/>
    </row>
    <row r="40" spans="1:18">
      <c r="A40" s="377">
        <f t="shared" si="2"/>
        <v>26</v>
      </c>
      <c r="B40" s="378" t="s">
        <v>380</v>
      </c>
      <c r="C40" s="378" t="s">
        <v>379</v>
      </c>
      <c r="D40" s="379">
        <v>42801</v>
      </c>
      <c r="E40" s="380">
        <v>3447.08</v>
      </c>
      <c r="F40" s="379">
        <v>42801</v>
      </c>
      <c r="G40" s="379"/>
      <c r="H40" s="381">
        <f t="shared" si="3"/>
        <v>0</v>
      </c>
      <c r="I40" s="379">
        <v>42835</v>
      </c>
      <c r="J40" s="382">
        <f t="shared" si="4"/>
        <v>34</v>
      </c>
      <c r="K40" s="382">
        <f t="shared" si="0"/>
        <v>34</v>
      </c>
      <c r="L40" s="315">
        <f t="shared" si="1"/>
        <v>117200.72</v>
      </c>
      <c r="M40" s="27"/>
      <c r="N40" s="383">
        <f t="shared" si="5"/>
        <v>15</v>
      </c>
      <c r="O40" s="383">
        <f t="shared" si="6"/>
        <v>34</v>
      </c>
      <c r="P40" s="383">
        <f t="shared" si="7"/>
        <v>49</v>
      </c>
      <c r="Q40" s="384">
        <f t="shared" si="8"/>
        <v>168906.91999999998</v>
      </c>
      <c r="R40" s="27"/>
    </row>
    <row r="41" spans="1:18">
      <c r="A41" s="377">
        <f t="shared" si="2"/>
        <v>27</v>
      </c>
      <c r="B41" s="378" t="s">
        <v>393</v>
      </c>
      <c r="C41" s="378" t="s">
        <v>379</v>
      </c>
      <c r="D41" s="379">
        <v>42825</v>
      </c>
      <c r="E41" s="380">
        <v>172500</v>
      </c>
      <c r="F41" s="379">
        <v>42822</v>
      </c>
      <c r="G41" s="379"/>
      <c r="H41" s="381">
        <f t="shared" si="3"/>
        <v>0</v>
      </c>
      <c r="I41" s="379">
        <v>42856</v>
      </c>
      <c r="J41" s="382">
        <f t="shared" si="4"/>
        <v>34</v>
      </c>
      <c r="K41" s="382">
        <f t="shared" si="0"/>
        <v>34</v>
      </c>
      <c r="L41" s="315">
        <f t="shared" si="1"/>
        <v>5865000</v>
      </c>
      <c r="M41" s="27"/>
      <c r="N41" s="383">
        <f t="shared" si="5"/>
        <v>15</v>
      </c>
      <c r="O41" s="383">
        <f t="shared" si="6"/>
        <v>34</v>
      </c>
      <c r="P41" s="383">
        <f t="shared" si="7"/>
        <v>49</v>
      </c>
      <c r="Q41" s="384">
        <f t="shared" si="8"/>
        <v>8452500</v>
      </c>
      <c r="R41" s="27"/>
    </row>
    <row r="42" spans="1:18">
      <c r="A42" s="377">
        <f t="shared" si="2"/>
        <v>28</v>
      </c>
      <c r="B42" s="378" t="s">
        <v>394</v>
      </c>
      <c r="C42" s="378" t="s">
        <v>379</v>
      </c>
      <c r="D42" s="379">
        <v>43039</v>
      </c>
      <c r="E42" s="380">
        <v>20.89</v>
      </c>
      <c r="F42" s="379">
        <v>43034</v>
      </c>
      <c r="G42" s="379"/>
      <c r="H42" s="381">
        <f t="shared" si="3"/>
        <v>0</v>
      </c>
      <c r="I42" s="379">
        <v>43052</v>
      </c>
      <c r="J42" s="382">
        <f t="shared" si="4"/>
        <v>18</v>
      </c>
      <c r="K42" s="382">
        <f t="shared" si="0"/>
        <v>18</v>
      </c>
      <c r="L42" s="315">
        <f t="shared" si="1"/>
        <v>376.02</v>
      </c>
      <c r="M42" s="27"/>
      <c r="N42" s="383">
        <f t="shared" si="5"/>
        <v>15</v>
      </c>
      <c r="O42" s="383">
        <f t="shared" si="6"/>
        <v>18</v>
      </c>
      <c r="P42" s="383">
        <f t="shared" si="7"/>
        <v>33</v>
      </c>
      <c r="Q42" s="384">
        <f t="shared" si="8"/>
        <v>689.37</v>
      </c>
      <c r="R42" s="27"/>
    </row>
    <row r="43" spans="1:18">
      <c r="A43" s="377">
        <f t="shared" si="2"/>
        <v>29</v>
      </c>
      <c r="B43" s="378" t="s">
        <v>376</v>
      </c>
      <c r="C43" s="378" t="s">
        <v>379</v>
      </c>
      <c r="D43" s="379">
        <v>42978</v>
      </c>
      <c r="E43" s="380">
        <v>127.32</v>
      </c>
      <c r="F43" s="379">
        <v>42873</v>
      </c>
      <c r="G43" s="379"/>
      <c r="H43" s="381">
        <f t="shared" si="3"/>
        <v>0</v>
      </c>
      <c r="I43" s="379">
        <v>43003</v>
      </c>
      <c r="J43" s="382">
        <f t="shared" si="4"/>
        <v>130</v>
      </c>
      <c r="K43" s="382">
        <f t="shared" si="0"/>
        <v>130</v>
      </c>
      <c r="L43" s="315">
        <f t="shared" si="1"/>
        <v>16551.599999999999</v>
      </c>
      <c r="M43" s="27"/>
      <c r="N43" s="383">
        <f t="shared" si="5"/>
        <v>15</v>
      </c>
      <c r="O43" s="383">
        <f t="shared" si="6"/>
        <v>130</v>
      </c>
      <c r="P43" s="383">
        <f t="shared" si="7"/>
        <v>145</v>
      </c>
      <c r="Q43" s="384">
        <f t="shared" si="8"/>
        <v>18461.399999999998</v>
      </c>
      <c r="R43" s="27"/>
    </row>
    <row r="44" spans="1:18">
      <c r="A44" s="377">
        <f t="shared" si="2"/>
        <v>30</v>
      </c>
      <c r="B44" s="378" t="s">
        <v>376</v>
      </c>
      <c r="C44" s="378" t="s">
        <v>379</v>
      </c>
      <c r="D44" s="379">
        <v>42978</v>
      </c>
      <c r="E44" s="380">
        <v>158.53</v>
      </c>
      <c r="F44" s="379">
        <v>42873</v>
      </c>
      <c r="G44" s="379">
        <v>42972</v>
      </c>
      <c r="H44" s="381">
        <f t="shared" si="3"/>
        <v>49.5</v>
      </c>
      <c r="I44" s="379">
        <v>43003</v>
      </c>
      <c r="J44" s="382">
        <f t="shared" si="4"/>
        <v>31</v>
      </c>
      <c r="K44" s="382">
        <f t="shared" si="0"/>
        <v>80.5</v>
      </c>
      <c r="L44" s="315">
        <f t="shared" si="1"/>
        <v>12761.67</v>
      </c>
      <c r="M44" s="27"/>
      <c r="N44" s="383">
        <f t="shared" si="5"/>
        <v>49.5</v>
      </c>
      <c r="O44" s="383">
        <f t="shared" si="6"/>
        <v>31</v>
      </c>
      <c r="P44" s="383">
        <f t="shared" si="7"/>
        <v>80.5</v>
      </c>
      <c r="Q44" s="384">
        <f t="shared" si="8"/>
        <v>12761.665000000001</v>
      </c>
      <c r="R44" s="27"/>
    </row>
    <row r="45" spans="1:18">
      <c r="A45" s="377">
        <f t="shared" si="2"/>
        <v>31</v>
      </c>
      <c r="B45" s="378" t="s">
        <v>395</v>
      </c>
      <c r="C45" s="378" t="s">
        <v>379</v>
      </c>
      <c r="D45" s="379">
        <v>42881</v>
      </c>
      <c r="E45" s="380">
        <v>920</v>
      </c>
      <c r="F45" s="379">
        <v>42881</v>
      </c>
      <c r="G45" s="379"/>
      <c r="H45" s="381">
        <f t="shared" si="3"/>
        <v>0</v>
      </c>
      <c r="I45" s="379">
        <v>42909</v>
      </c>
      <c r="J45" s="382">
        <f t="shared" si="4"/>
        <v>28</v>
      </c>
      <c r="K45" s="382">
        <f t="shared" si="0"/>
        <v>28</v>
      </c>
      <c r="L45" s="315">
        <f t="shared" si="1"/>
        <v>25760</v>
      </c>
      <c r="M45" s="27"/>
      <c r="N45" s="383">
        <f t="shared" si="5"/>
        <v>15</v>
      </c>
      <c r="O45" s="383">
        <f t="shared" si="6"/>
        <v>28</v>
      </c>
      <c r="P45" s="383">
        <f t="shared" si="7"/>
        <v>43</v>
      </c>
      <c r="Q45" s="384">
        <f t="shared" si="8"/>
        <v>39560</v>
      </c>
      <c r="R45" s="27"/>
    </row>
    <row r="46" spans="1:18">
      <c r="A46" s="377">
        <f t="shared" si="2"/>
        <v>32</v>
      </c>
      <c r="B46" s="378" t="s">
        <v>396</v>
      </c>
      <c r="C46" s="378" t="s">
        <v>379</v>
      </c>
      <c r="D46" s="379">
        <v>42845</v>
      </c>
      <c r="E46" s="380">
        <v>278.10000000000002</v>
      </c>
      <c r="F46" s="379">
        <v>42844</v>
      </c>
      <c r="G46" s="379"/>
      <c r="H46" s="381">
        <f t="shared" si="3"/>
        <v>0</v>
      </c>
      <c r="I46" s="379">
        <v>42856</v>
      </c>
      <c r="J46" s="382">
        <f t="shared" si="4"/>
        <v>12</v>
      </c>
      <c r="K46" s="382">
        <f t="shared" si="0"/>
        <v>12</v>
      </c>
      <c r="L46" s="315">
        <f t="shared" si="1"/>
        <v>3337.2</v>
      </c>
      <c r="M46" s="27"/>
      <c r="N46" s="383">
        <f t="shared" si="5"/>
        <v>15</v>
      </c>
      <c r="O46" s="383">
        <f t="shared" si="6"/>
        <v>12</v>
      </c>
      <c r="P46" s="383">
        <f t="shared" si="7"/>
        <v>27</v>
      </c>
      <c r="Q46" s="384">
        <f t="shared" si="8"/>
        <v>7508.7000000000007</v>
      </c>
      <c r="R46" s="27"/>
    </row>
    <row r="47" spans="1:18">
      <c r="A47" s="377">
        <f t="shared" si="2"/>
        <v>33</v>
      </c>
      <c r="B47" s="378" t="s">
        <v>383</v>
      </c>
      <c r="C47" s="378" t="s">
        <v>379</v>
      </c>
      <c r="D47" s="379">
        <v>42790</v>
      </c>
      <c r="E47" s="380">
        <v>3275.26</v>
      </c>
      <c r="F47" s="379">
        <v>42765</v>
      </c>
      <c r="G47" s="379">
        <v>42788</v>
      </c>
      <c r="H47" s="381">
        <f t="shared" si="3"/>
        <v>11.5</v>
      </c>
      <c r="I47" s="379">
        <v>42797</v>
      </c>
      <c r="J47" s="382">
        <f t="shared" si="4"/>
        <v>9</v>
      </c>
      <c r="K47" s="382">
        <f t="shared" si="0"/>
        <v>20.5</v>
      </c>
      <c r="L47" s="315">
        <f t="shared" si="1"/>
        <v>67142.83</v>
      </c>
      <c r="M47" s="27"/>
      <c r="N47" s="383">
        <f t="shared" si="5"/>
        <v>11.5</v>
      </c>
      <c r="O47" s="383">
        <f t="shared" si="6"/>
        <v>9</v>
      </c>
      <c r="P47" s="383">
        <f t="shared" si="7"/>
        <v>20.5</v>
      </c>
      <c r="Q47" s="384">
        <f t="shared" si="8"/>
        <v>67142.83</v>
      </c>
      <c r="R47" s="27"/>
    </row>
    <row r="48" spans="1:18">
      <c r="A48" s="377">
        <f t="shared" si="2"/>
        <v>34</v>
      </c>
      <c r="B48" s="378" t="s">
        <v>383</v>
      </c>
      <c r="C48" s="378" t="s">
        <v>379</v>
      </c>
      <c r="D48" s="379">
        <v>42823</v>
      </c>
      <c r="E48" s="380">
        <v>34.51</v>
      </c>
      <c r="F48" s="379">
        <v>42807</v>
      </c>
      <c r="G48" s="379"/>
      <c r="H48" s="381">
        <f t="shared" si="3"/>
        <v>0</v>
      </c>
      <c r="I48" s="379">
        <v>42829</v>
      </c>
      <c r="J48" s="382">
        <f t="shared" si="4"/>
        <v>22</v>
      </c>
      <c r="K48" s="382">
        <f t="shared" si="0"/>
        <v>22</v>
      </c>
      <c r="L48" s="315">
        <f t="shared" si="1"/>
        <v>759.22</v>
      </c>
      <c r="M48" s="27"/>
      <c r="N48" s="383">
        <f t="shared" si="5"/>
        <v>15</v>
      </c>
      <c r="O48" s="383">
        <f t="shared" si="6"/>
        <v>22</v>
      </c>
      <c r="P48" s="383">
        <f t="shared" si="7"/>
        <v>37</v>
      </c>
      <c r="Q48" s="384">
        <f t="shared" si="8"/>
        <v>1276.8699999999999</v>
      </c>
      <c r="R48" s="27"/>
    </row>
    <row r="49" spans="1:18">
      <c r="A49" s="377">
        <f t="shared" si="2"/>
        <v>35</v>
      </c>
      <c r="B49" s="378" t="s">
        <v>397</v>
      </c>
      <c r="C49" s="378" t="s">
        <v>379</v>
      </c>
      <c r="D49" s="379">
        <v>43070</v>
      </c>
      <c r="E49" s="380">
        <v>104.98</v>
      </c>
      <c r="F49" s="379">
        <v>43040</v>
      </c>
      <c r="G49" s="379">
        <v>43069</v>
      </c>
      <c r="H49" s="381">
        <f t="shared" si="3"/>
        <v>14.5</v>
      </c>
      <c r="I49" s="379">
        <v>43076</v>
      </c>
      <c r="J49" s="382">
        <f t="shared" si="4"/>
        <v>7</v>
      </c>
      <c r="K49" s="382">
        <f t="shared" si="0"/>
        <v>21.5</v>
      </c>
      <c r="L49" s="315">
        <f t="shared" si="1"/>
        <v>2257.0700000000002</v>
      </c>
      <c r="M49" s="27"/>
      <c r="N49" s="383">
        <f t="shared" si="5"/>
        <v>14.5</v>
      </c>
      <c r="O49" s="383">
        <f t="shared" si="6"/>
        <v>7</v>
      </c>
      <c r="P49" s="383">
        <f t="shared" si="7"/>
        <v>21.5</v>
      </c>
      <c r="Q49" s="384">
        <f t="shared" si="8"/>
        <v>2257.0700000000002</v>
      </c>
      <c r="R49" s="27"/>
    </row>
    <row r="50" spans="1:18">
      <c r="A50" s="377">
        <f t="shared" si="2"/>
        <v>36</v>
      </c>
      <c r="B50" s="378" t="s">
        <v>397</v>
      </c>
      <c r="C50" s="378" t="s">
        <v>379</v>
      </c>
      <c r="D50" s="379">
        <v>42856</v>
      </c>
      <c r="E50" s="380">
        <v>224.82</v>
      </c>
      <c r="F50" s="379">
        <v>42826</v>
      </c>
      <c r="G50" s="379">
        <v>42855</v>
      </c>
      <c r="H50" s="381">
        <f t="shared" si="3"/>
        <v>14.5</v>
      </c>
      <c r="I50" s="379">
        <v>42895</v>
      </c>
      <c r="J50" s="382">
        <f t="shared" si="4"/>
        <v>40</v>
      </c>
      <c r="K50" s="382">
        <f t="shared" si="0"/>
        <v>54.5</v>
      </c>
      <c r="L50" s="315">
        <f t="shared" si="1"/>
        <v>12252.69</v>
      </c>
      <c r="M50" s="27"/>
      <c r="N50" s="383">
        <f t="shared" si="5"/>
        <v>14.5</v>
      </c>
      <c r="O50" s="383">
        <f t="shared" si="6"/>
        <v>40</v>
      </c>
      <c r="P50" s="383">
        <f t="shared" si="7"/>
        <v>54.5</v>
      </c>
      <c r="Q50" s="384">
        <f t="shared" si="8"/>
        <v>12252.69</v>
      </c>
      <c r="R50" s="27"/>
    </row>
    <row r="51" spans="1:18">
      <c r="A51" s="377">
        <f t="shared" si="2"/>
        <v>37</v>
      </c>
      <c r="B51" s="378" t="s">
        <v>397</v>
      </c>
      <c r="C51" s="378" t="s">
        <v>379</v>
      </c>
      <c r="D51" s="379">
        <v>42948</v>
      </c>
      <c r="E51" s="380">
        <v>56.51</v>
      </c>
      <c r="F51" s="379">
        <v>42917</v>
      </c>
      <c r="G51" s="379">
        <v>42947</v>
      </c>
      <c r="H51" s="381">
        <f t="shared" si="3"/>
        <v>15</v>
      </c>
      <c r="I51" s="379">
        <v>42983</v>
      </c>
      <c r="J51" s="382">
        <f t="shared" si="4"/>
        <v>36</v>
      </c>
      <c r="K51" s="382">
        <f t="shared" si="0"/>
        <v>51</v>
      </c>
      <c r="L51" s="315">
        <f t="shared" si="1"/>
        <v>2882.01</v>
      </c>
      <c r="M51" s="27"/>
      <c r="N51" s="383">
        <f t="shared" si="5"/>
        <v>15</v>
      </c>
      <c r="O51" s="383">
        <f t="shared" si="6"/>
        <v>36</v>
      </c>
      <c r="P51" s="383">
        <f t="shared" si="7"/>
        <v>51</v>
      </c>
      <c r="Q51" s="384">
        <f t="shared" si="8"/>
        <v>2882.0099999999998</v>
      </c>
      <c r="R51" s="27"/>
    </row>
    <row r="52" spans="1:18">
      <c r="A52" s="377">
        <f t="shared" si="2"/>
        <v>38</v>
      </c>
      <c r="B52" s="378" t="s">
        <v>397</v>
      </c>
      <c r="C52" s="378" t="s">
        <v>379</v>
      </c>
      <c r="D52" s="379">
        <v>42738</v>
      </c>
      <c r="E52" s="380">
        <v>53.93</v>
      </c>
      <c r="F52" s="379">
        <v>42705</v>
      </c>
      <c r="G52" s="379">
        <v>42735</v>
      </c>
      <c r="H52" s="381">
        <f t="shared" si="3"/>
        <v>15</v>
      </c>
      <c r="I52" s="379">
        <v>42797</v>
      </c>
      <c r="J52" s="382">
        <f t="shared" si="4"/>
        <v>62</v>
      </c>
      <c r="K52" s="382">
        <f t="shared" si="0"/>
        <v>77</v>
      </c>
      <c r="L52" s="315">
        <f t="shared" si="1"/>
        <v>4152.6099999999997</v>
      </c>
      <c r="M52" s="27"/>
      <c r="N52" s="383">
        <f t="shared" si="5"/>
        <v>15</v>
      </c>
      <c r="O52" s="383">
        <f t="shared" si="6"/>
        <v>62</v>
      </c>
      <c r="P52" s="383">
        <f t="shared" si="7"/>
        <v>77</v>
      </c>
      <c r="Q52" s="384">
        <f t="shared" si="8"/>
        <v>4152.6099999999997</v>
      </c>
      <c r="R52" s="27"/>
    </row>
    <row r="53" spans="1:18">
      <c r="A53" s="377">
        <f t="shared" si="2"/>
        <v>39</v>
      </c>
      <c r="B53" s="378" t="s">
        <v>397</v>
      </c>
      <c r="C53" s="378" t="s">
        <v>379</v>
      </c>
      <c r="D53" s="379">
        <v>43011</v>
      </c>
      <c r="E53" s="380">
        <v>31.99</v>
      </c>
      <c r="F53" s="379">
        <v>42979</v>
      </c>
      <c r="G53" s="379">
        <v>43008</v>
      </c>
      <c r="H53" s="381">
        <f t="shared" si="3"/>
        <v>14.5</v>
      </c>
      <c r="I53" s="379">
        <v>43024</v>
      </c>
      <c r="J53" s="382">
        <f t="shared" si="4"/>
        <v>16</v>
      </c>
      <c r="K53" s="382">
        <f t="shared" si="0"/>
        <v>30.5</v>
      </c>
      <c r="L53" s="315">
        <f t="shared" si="1"/>
        <v>975.7</v>
      </c>
      <c r="M53" s="27"/>
      <c r="N53" s="383">
        <f t="shared" si="5"/>
        <v>14.5</v>
      </c>
      <c r="O53" s="383">
        <f t="shared" si="6"/>
        <v>16</v>
      </c>
      <c r="P53" s="383">
        <f t="shared" si="7"/>
        <v>30.5</v>
      </c>
      <c r="Q53" s="384">
        <f t="shared" si="8"/>
        <v>975.69499999999994</v>
      </c>
      <c r="R53" s="27"/>
    </row>
    <row r="54" spans="1:18">
      <c r="A54" s="377">
        <f t="shared" si="2"/>
        <v>40</v>
      </c>
      <c r="B54" s="378" t="s">
        <v>397</v>
      </c>
      <c r="C54" s="378" t="s">
        <v>379</v>
      </c>
      <c r="D54" s="379">
        <v>42948</v>
      </c>
      <c r="E54" s="380">
        <v>41.06</v>
      </c>
      <c r="F54" s="379">
        <v>42917</v>
      </c>
      <c r="G54" s="379">
        <v>42947</v>
      </c>
      <c r="H54" s="381">
        <f t="shared" si="3"/>
        <v>15</v>
      </c>
      <c r="I54" s="379">
        <v>42957</v>
      </c>
      <c r="J54" s="382">
        <f t="shared" si="4"/>
        <v>10</v>
      </c>
      <c r="K54" s="382">
        <f t="shared" si="0"/>
        <v>25</v>
      </c>
      <c r="L54" s="315">
        <f t="shared" si="1"/>
        <v>1026.5</v>
      </c>
      <c r="M54" s="27"/>
      <c r="N54" s="383">
        <f t="shared" si="5"/>
        <v>15</v>
      </c>
      <c r="O54" s="383">
        <f t="shared" si="6"/>
        <v>10</v>
      </c>
      <c r="P54" s="383">
        <f t="shared" si="7"/>
        <v>25</v>
      </c>
      <c r="Q54" s="384">
        <f t="shared" si="8"/>
        <v>1026.5</v>
      </c>
      <c r="R54" s="27"/>
    </row>
    <row r="55" spans="1:18">
      <c r="A55" s="377">
        <f t="shared" si="2"/>
        <v>41</v>
      </c>
      <c r="B55" s="378" t="s">
        <v>376</v>
      </c>
      <c r="C55" s="378" t="s">
        <v>379</v>
      </c>
      <c r="D55" s="379">
        <v>43039</v>
      </c>
      <c r="E55" s="380">
        <v>10.9</v>
      </c>
      <c r="F55" s="379">
        <v>43005</v>
      </c>
      <c r="G55" s="379">
        <v>43010</v>
      </c>
      <c r="H55" s="381">
        <f t="shared" si="3"/>
        <v>2.5</v>
      </c>
      <c r="I55" s="379">
        <v>43080</v>
      </c>
      <c r="J55" s="382">
        <f t="shared" si="4"/>
        <v>70</v>
      </c>
      <c r="K55" s="382">
        <f t="shared" si="0"/>
        <v>72.5</v>
      </c>
      <c r="L55" s="315">
        <f t="shared" si="1"/>
        <v>790.25</v>
      </c>
      <c r="M55" s="27"/>
      <c r="N55" s="383">
        <f t="shared" si="5"/>
        <v>2.5</v>
      </c>
      <c r="O55" s="383">
        <f t="shared" si="6"/>
        <v>70</v>
      </c>
      <c r="P55" s="383">
        <f t="shared" si="7"/>
        <v>72.5</v>
      </c>
      <c r="Q55" s="384">
        <f t="shared" si="8"/>
        <v>790.25</v>
      </c>
      <c r="R55" s="27"/>
    </row>
    <row r="56" spans="1:18">
      <c r="A56" s="377">
        <f t="shared" si="2"/>
        <v>42</v>
      </c>
      <c r="B56" s="378" t="s">
        <v>397</v>
      </c>
      <c r="C56" s="378" t="s">
        <v>379</v>
      </c>
      <c r="D56" s="379">
        <v>42887</v>
      </c>
      <c r="E56" s="380">
        <v>11.26</v>
      </c>
      <c r="F56" s="379">
        <v>42856</v>
      </c>
      <c r="G56" s="379">
        <v>42886</v>
      </c>
      <c r="H56" s="381">
        <f t="shared" si="3"/>
        <v>15</v>
      </c>
      <c r="I56" s="379">
        <v>42898</v>
      </c>
      <c r="J56" s="382">
        <f t="shared" si="4"/>
        <v>12</v>
      </c>
      <c r="K56" s="382">
        <f t="shared" si="0"/>
        <v>27</v>
      </c>
      <c r="L56" s="315">
        <f t="shared" si="1"/>
        <v>304.02</v>
      </c>
      <c r="M56" s="27"/>
      <c r="N56" s="383">
        <f t="shared" si="5"/>
        <v>15</v>
      </c>
      <c r="O56" s="383">
        <f t="shared" si="6"/>
        <v>12</v>
      </c>
      <c r="P56" s="383">
        <f t="shared" si="7"/>
        <v>27</v>
      </c>
      <c r="Q56" s="384">
        <f t="shared" si="8"/>
        <v>304.02</v>
      </c>
      <c r="R56" s="27"/>
    </row>
    <row r="57" spans="1:18">
      <c r="A57" s="377">
        <f t="shared" si="2"/>
        <v>43</v>
      </c>
      <c r="B57" s="378" t="s">
        <v>376</v>
      </c>
      <c r="C57" s="378" t="s">
        <v>379</v>
      </c>
      <c r="D57" s="379">
        <v>42825</v>
      </c>
      <c r="E57" s="380">
        <v>39.28</v>
      </c>
      <c r="F57" s="379">
        <v>42304</v>
      </c>
      <c r="G57" s="379"/>
      <c r="H57" s="381">
        <f t="shared" si="3"/>
        <v>0</v>
      </c>
      <c r="I57" s="379">
        <v>42850</v>
      </c>
      <c r="J57" s="382">
        <f t="shared" si="4"/>
        <v>546</v>
      </c>
      <c r="K57" s="382">
        <f t="shared" si="0"/>
        <v>546</v>
      </c>
      <c r="L57" s="315">
        <f t="shared" si="1"/>
        <v>21446.880000000001</v>
      </c>
      <c r="M57" s="27"/>
      <c r="N57" s="383">
        <f t="shared" si="5"/>
        <v>15</v>
      </c>
      <c r="O57" s="383">
        <f t="shared" si="6"/>
        <v>546</v>
      </c>
      <c r="P57" s="383">
        <f t="shared" si="7"/>
        <v>561</v>
      </c>
      <c r="Q57" s="384">
        <f t="shared" si="8"/>
        <v>22036.080000000002</v>
      </c>
      <c r="R57" s="27"/>
    </row>
    <row r="58" spans="1:18">
      <c r="A58" s="377">
        <f t="shared" si="2"/>
        <v>44</v>
      </c>
      <c r="B58" s="378" t="s">
        <v>397</v>
      </c>
      <c r="C58" s="378" t="s">
        <v>379</v>
      </c>
      <c r="D58" s="379">
        <v>43040</v>
      </c>
      <c r="E58" s="380">
        <v>541</v>
      </c>
      <c r="F58" s="379">
        <v>43009</v>
      </c>
      <c r="G58" s="379">
        <v>43039</v>
      </c>
      <c r="H58" s="381">
        <f t="shared" si="3"/>
        <v>15</v>
      </c>
      <c r="I58" s="379">
        <v>43045</v>
      </c>
      <c r="J58" s="382">
        <f t="shared" si="4"/>
        <v>6</v>
      </c>
      <c r="K58" s="382">
        <f t="shared" si="0"/>
        <v>21</v>
      </c>
      <c r="L58" s="315">
        <f t="shared" si="1"/>
        <v>11361</v>
      </c>
      <c r="M58" s="27"/>
      <c r="N58" s="383">
        <f t="shared" si="5"/>
        <v>15</v>
      </c>
      <c r="O58" s="383">
        <f t="shared" si="6"/>
        <v>6</v>
      </c>
      <c r="P58" s="383">
        <f t="shared" si="7"/>
        <v>21</v>
      </c>
      <c r="Q58" s="384">
        <f t="shared" si="8"/>
        <v>11361</v>
      </c>
      <c r="R58" s="27"/>
    </row>
    <row r="59" spans="1:18">
      <c r="A59" s="377">
        <f t="shared" si="2"/>
        <v>45</v>
      </c>
      <c r="B59" s="378" t="s">
        <v>383</v>
      </c>
      <c r="C59" s="378" t="s">
        <v>398</v>
      </c>
      <c r="D59" s="379">
        <v>42943</v>
      </c>
      <c r="E59" s="380">
        <v>306.11</v>
      </c>
      <c r="F59" s="379">
        <v>42915</v>
      </c>
      <c r="G59" s="379">
        <v>42928</v>
      </c>
      <c r="H59" s="381">
        <f t="shared" si="3"/>
        <v>6.5</v>
      </c>
      <c r="I59" s="379">
        <v>42949</v>
      </c>
      <c r="J59" s="382">
        <f t="shared" si="4"/>
        <v>21</v>
      </c>
      <c r="K59" s="382">
        <f t="shared" si="0"/>
        <v>27.5</v>
      </c>
      <c r="L59" s="315">
        <f t="shared" si="1"/>
        <v>8418.0300000000007</v>
      </c>
      <c r="M59" s="27"/>
      <c r="N59" s="383">
        <f t="shared" si="5"/>
        <v>6.5</v>
      </c>
      <c r="O59" s="383">
        <f t="shared" si="6"/>
        <v>21</v>
      </c>
      <c r="P59" s="383">
        <f t="shared" si="7"/>
        <v>27.5</v>
      </c>
      <c r="Q59" s="384">
        <f t="shared" si="8"/>
        <v>8418.0249999999996</v>
      </c>
      <c r="R59" s="27"/>
    </row>
    <row r="60" spans="1:18">
      <c r="A60" s="377">
        <f t="shared" si="2"/>
        <v>46</v>
      </c>
      <c r="B60" s="378" t="s">
        <v>383</v>
      </c>
      <c r="C60" s="378" t="s">
        <v>398</v>
      </c>
      <c r="D60" s="379">
        <v>42790</v>
      </c>
      <c r="E60" s="380">
        <v>1593.76</v>
      </c>
      <c r="F60" s="379">
        <v>42761</v>
      </c>
      <c r="G60" s="379">
        <v>42786</v>
      </c>
      <c r="H60" s="381">
        <f t="shared" si="3"/>
        <v>12.5</v>
      </c>
      <c r="I60" s="379">
        <v>42797</v>
      </c>
      <c r="J60" s="382">
        <f t="shared" si="4"/>
        <v>11</v>
      </c>
      <c r="K60" s="382">
        <f t="shared" si="0"/>
        <v>23.5</v>
      </c>
      <c r="L60" s="315">
        <f t="shared" si="1"/>
        <v>37453.360000000001</v>
      </c>
      <c r="M60" s="27"/>
      <c r="N60" s="383">
        <f t="shared" si="5"/>
        <v>12.5</v>
      </c>
      <c r="O60" s="383">
        <f t="shared" si="6"/>
        <v>11</v>
      </c>
      <c r="P60" s="383">
        <f t="shared" si="7"/>
        <v>23.5</v>
      </c>
      <c r="Q60" s="384">
        <f t="shared" si="8"/>
        <v>37453.360000000001</v>
      </c>
      <c r="R60" s="27"/>
    </row>
    <row r="61" spans="1:18">
      <c r="A61" s="377">
        <f t="shared" si="2"/>
        <v>47</v>
      </c>
      <c r="B61" s="378" t="s">
        <v>396</v>
      </c>
      <c r="C61" s="378" t="s">
        <v>399</v>
      </c>
      <c r="D61" s="379">
        <v>42775</v>
      </c>
      <c r="E61" s="380">
        <v>43.669999999999995</v>
      </c>
      <c r="F61" s="379">
        <v>42774</v>
      </c>
      <c r="G61" s="379"/>
      <c r="H61" s="381">
        <f t="shared" si="3"/>
        <v>0</v>
      </c>
      <c r="I61" s="379">
        <v>42787</v>
      </c>
      <c r="J61" s="382">
        <f t="shared" si="4"/>
        <v>13</v>
      </c>
      <c r="K61" s="382">
        <f t="shared" si="0"/>
        <v>13</v>
      </c>
      <c r="L61" s="315">
        <f t="shared" si="1"/>
        <v>567.71</v>
      </c>
      <c r="M61" s="27"/>
      <c r="N61" s="383">
        <f t="shared" si="5"/>
        <v>15</v>
      </c>
      <c r="O61" s="383">
        <f t="shared" si="6"/>
        <v>13</v>
      </c>
      <c r="P61" s="383">
        <f t="shared" si="7"/>
        <v>28</v>
      </c>
      <c r="Q61" s="384">
        <f t="shared" si="8"/>
        <v>1222.7599999999998</v>
      </c>
      <c r="R61" s="27"/>
    </row>
    <row r="62" spans="1:18">
      <c r="A62" s="377">
        <f t="shared" si="2"/>
        <v>48</v>
      </c>
      <c r="B62" s="378" t="s">
        <v>400</v>
      </c>
      <c r="C62" s="378" t="s">
        <v>399</v>
      </c>
      <c r="D62" s="379">
        <v>42853</v>
      </c>
      <c r="E62" s="380">
        <v>234.3</v>
      </c>
      <c r="F62" s="379">
        <v>42846</v>
      </c>
      <c r="G62" s="379"/>
      <c r="H62" s="381">
        <f t="shared" si="3"/>
        <v>0</v>
      </c>
      <c r="I62" s="379">
        <v>42885</v>
      </c>
      <c r="J62" s="382">
        <f t="shared" si="4"/>
        <v>39</v>
      </c>
      <c r="K62" s="382">
        <f t="shared" si="0"/>
        <v>39</v>
      </c>
      <c r="L62" s="315">
        <f t="shared" si="1"/>
        <v>9137.7000000000007</v>
      </c>
      <c r="M62" s="27"/>
      <c r="N62" s="383">
        <f t="shared" si="5"/>
        <v>15</v>
      </c>
      <c r="O62" s="383">
        <f t="shared" si="6"/>
        <v>39</v>
      </c>
      <c r="P62" s="383">
        <f t="shared" si="7"/>
        <v>54</v>
      </c>
      <c r="Q62" s="384">
        <f t="shared" si="8"/>
        <v>12652.2</v>
      </c>
      <c r="R62" s="27"/>
    </row>
    <row r="63" spans="1:18">
      <c r="A63" s="377">
        <f t="shared" si="2"/>
        <v>49</v>
      </c>
      <c r="B63" s="378" t="s">
        <v>401</v>
      </c>
      <c r="C63" s="378" t="s">
        <v>402</v>
      </c>
      <c r="D63" s="379">
        <v>42992</v>
      </c>
      <c r="E63" s="380">
        <v>544</v>
      </c>
      <c r="F63" s="379">
        <v>42992</v>
      </c>
      <c r="G63" s="379"/>
      <c r="H63" s="381">
        <f t="shared" si="3"/>
        <v>0</v>
      </c>
      <c r="I63" s="379">
        <v>43007</v>
      </c>
      <c r="J63" s="382">
        <f t="shared" si="4"/>
        <v>15</v>
      </c>
      <c r="K63" s="382">
        <f t="shared" si="0"/>
        <v>15</v>
      </c>
      <c r="L63" s="315">
        <f t="shared" si="1"/>
        <v>8160</v>
      </c>
      <c r="M63" s="27"/>
      <c r="N63" s="383">
        <f t="shared" si="5"/>
        <v>15</v>
      </c>
      <c r="O63" s="383">
        <f t="shared" si="6"/>
        <v>15</v>
      </c>
      <c r="P63" s="383">
        <f t="shared" si="7"/>
        <v>30</v>
      </c>
      <c r="Q63" s="384">
        <f t="shared" si="8"/>
        <v>16320</v>
      </c>
      <c r="R63" s="27"/>
    </row>
    <row r="64" spans="1:18">
      <c r="A64" s="377">
        <f t="shared" si="2"/>
        <v>50</v>
      </c>
      <c r="B64" s="378" t="s">
        <v>403</v>
      </c>
      <c r="C64" s="378" t="s">
        <v>404</v>
      </c>
      <c r="D64" s="379">
        <v>42828</v>
      </c>
      <c r="E64" s="380">
        <v>57701.97</v>
      </c>
      <c r="F64" s="379">
        <v>42817</v>
      </c>
      <c r="G64" s="379">
        <v>42827</v>
      </c>
      <c r="H64" s="381">
        <f t="shared" si="3"/>
        <v>5</v>
      </c>
      <c r="I64" s="379">
        <v>42838</v>
      </c>
      <c r="J64" s="382">
        <f t="shared" si="4"/>
        <v>11</v>
      </c>
      <c r="K64" s="382">
        <f t="shared" si="0"/>
        <v>16</v>
      </c>
      <c r="L64" s="315">
        <f t="shared" si="1"/>
        <v>923231.52</v>
      </c>
      <c r="M64" s="27"/>
      <c r="N64" s="383">
        <f t="shared" si="5"/>
        <v>5</v>
      </c>
      <c r="O64" s="383">
        <f t="shared" si="6"/>
        <v>11</v>
      </c>
      <c r="P64" s="383">
        <f t="shared" si="7"/>
        <v>16</v>
      </c>
      <c r="Q64" s="384">
        <f t="shared" si="8"/>
        <v>923231.52</v>
      </c>
      <c r="R64" s="27"/>
    </row>
    <row r="65" spans="1:18">
      <c r="A65" s="377">
        <f t="shared" si="2"/>
        <v>51</v>
      </c>
      <c r="B65" s="378" t="s">
        <v>403</v>
      </c>
      <c r="C65" s="378" t="s">
        <v>404</v>
      </c>
      <c r="D65" s="379">
        <v>42860</v>
      </c>
      <c r="E65" s="380">
        <v>64131.15</v>
      </c>
      <c r="F65" s="379">
        <v>42847</v>
      </c>
      <c r="G65" s="379">
        <v>42852</v>
      </c>
      <c r="H65" s="381">
        <f t="shared" si="3"/>
        <v>2.5</v>
      </c>
      <c r="I65" s="379">
        <v>42871</v>
      </c>
      <c r="J65" s="382">
        <f t="shared" si="4"/>
        <v>19</v>
      </c>
      <c r="K65" s="382">
        <f t="shared" si="0"/>
        <v>21.5</v>
      </c>
      <c r="L65" s="315">
        <f t="shared" si="1"/>
        <v>1378819.73</v>
      </c>
      <c r="M65" s="27"/>
      <c r="N65" s="383">
        <f t="shared" si="5"/>
        <v>2.5</v>
      </c>
      <c r="O65" s="383">
        <f t="shared" si="6"/>
        <v>19</v>
      </c>
      <c r="P65" s="383">
        <f t="shared" si="7"/>
        <v>21.5</v>
      </c>
      <c r="Q65" s="384">
        <f t="shared" si="8"/>
        <v>1378819.7250000001</v>
      </c>
      <c r="R65" s="27"/>
    </row>
    <row r="66" spans="1:18">
      <c r="A66" s="377">
        <f t="shared" si="2"/>
        <v>52</v>
      </c>
      <c r="B66" s="378" t="s">
        <v>405</v>
      </c>
      <c r="C66" s="378" t="s">
        <v>406</v>
      </c>
      <c r="D66" s="379">
        <v>42963</v>
      </c>
      <c r="E66" s="380">
        <v>15</v>
      </c>
      <c r="F66" s="379">
        <v>42979</v>
      </c>
      <c r="G66" s="379">
        <v>43343</v>
      </c>
      <c r="H66" s="381">
        <f>IF(G66="",0,(G66-F66)/2)</f>
        <v>182</v>
      </c>
      <c r="I66" s="379">
        <v>42983</v>
      </c>
      <c r="J66" s="382">
        <f>IF(G66="",I66-F66,I66-G66)</f>
        <v>-360</v>
      </c>
      <c r="K66" s="382">
        <f t="shared" si="0"/>
        <v>-178</v>
      </c>
      <c r="L66" s="315">
        <f t="shared" si="1"/>
        <v>-2670</v>
      </c>
      <c r="M66" s="27"/>
      <c r="N66" s="383">
        <f t="shared" si="5"/>
        <v>182</v>
      </c>
      <c r="O66" s="383">
        <f t="shared" si="6"/>
        <v>-360</v>
      </c>
      <c r="P66" s="383">
        <f t="shared" si="7"/>
        <v>-178</v>
      </c>
      <c r="Q66" s="384">
        <f t="shared" si="8"/>
        <v>-2670</v>
      </c>
      <c r="R66" s="27"/>
    </row>
    <row r="67" spans="1:18">
      <c r="A67" s="377">
        <f t="shared" si="2"/>
        <v>53</v>
      </c>
      <c r="B67" s="378" t="s">
        <v>407</v>
      </c>
      <c r="C67" s="378" t="s">
        <v>406</v>
      </c>
      <c r="D67" s="379">
        <v>42947</v>
      </c>
      <c r="E67" s="380">
        <v>59340</v>
      </c>
      <c r="F67" s="379">
        <v>42826</v>
      </c>
      <c r="G67" s="379">
        <v>42916</v>
      </c>
      <c r="H67" s="381">
        <f t="shared" si="3"/>
        <v>45</v>
      </c>
      <c r="I67" s="379">
        <v>42957</v>
      </c>
      <c r="J67" s="382">
        <f t="shared" si="4"/>
        <v>41</v>
      </c>
      <c r="K67" s="382">
        <f t="shared" si="0"/>
        <v>86</v>
      </c>
      <c r="L67" s="315">
        <f t="shared" si="1"/>
        <v>5103240</v>
      </c>
      <c r="M67" s="27"/>
      <c r="N67" s="383">
        <f t="shared" si="5"/>
        <v>45</v>
      </c>
      <c r="O67" s="383">
        <f t="shared" si="6"/>
        <v>41</v>
      </c>
      <c r="P67" s="383">
        <f t="shared" si="7"/>
        <v>86</v>
      </c>
      <c r="Q67" s="384">
        <f t="shared" si="8"/>
        <v>5103240</v>
      </c>
      <c r="R67" s="27"/>
    </row>
    <row r="68" spans="1:18">
      <c r="A68" s="377">
        <f t="shared" si="2"/>
        <v>54</v>
      </c>
      <c r="B68" s="378" t="s">
        <v>407</v>
      </c>
      <c r="C68" s="378" t="s">
        <v>406</v>
      </c>
      <c r="D68" s="379">
        <v>43038</v>
      </c>
      <c r="E68" s="380">
        <v>59831</v>
      </c>
      <c r="F68" s="379">
        <v>42826</v>
      </c>
      <c r="G68" s="379">
        <v>42916</v>
      </c>
      <c r="H68" s="381">
        <f t="shared" si="3"/>
        <v>45</v>
      </c>
      <c r="I68" s="379">
        <v>43047</v>
      </c>
      <c r="J68" s="382">
        <f t="shared" si="4"/>
        <v>131</v>
      </c>
      <c r="K68" s="382">
        <f t="shared" si="0"/>
        <v>176</v>
      </c>
      <c r="L68" s="315">
        <f t="shared" si="1"/>
        <v>10530256</v>
      </c>
      <c r="M68" s="27"/>
      <c r="N68" s="383">
        <f t="shared" si="5"/>
        <v>45</v>
      </c>
      <c r="O68" s="383">
        <f t="shared" si="6"/>
        <v>131</v>
      </c>
      <c r="P68" s="383">
        <f t="shared" si="7"/>
        <v>176</v>
      </c>
      <c r="Q68" s="384">
        <f t="shared" si="8"/>
        <v>10530256</v>
      </c>
      <c r="R68" s="27"/>
    </row>
    <row r="69" spans="1:18">
      <c r="A69" s="377">
        <f t="shared" si="2"/>
        <v>55</v>
      </c>
      <c r="B69" s="378" t="s">
        <v>408</v>
      </c>
      <c r="C69" s="378" t="s">
        <v>409</v>
      </c>
      <c r="D69" s="379">
        <v>42797</v>
      </c>
      <c r="E69" s="380">
        <v>25</v>
      </c>
      <c r="F69" s="379">
        <v>42796</v>
      </c>
      <c r="G69" s="379"/>
      <c r="H69" s="381">
        <f t="shared" si="3"/>
        <v>0</v>
      </c>
      <c r="I69" s="379">
        <v>42828</v>
      </c>
      <c r="J69" s="382">
        <f t="shared" si="4"/>
        <v>32</v>
      </c>
      <c r="K69" s="382">
        <f t="shared" si="0"/>
        <v>32</v>
      </c>
      <c r="L69" s="315">
        <f t="shared" si="1"/>
        <v>800</v>
      </c>
      <c r="M69" s="27"/>
      <c r="N69" s="383">
        <f t="shared" si="5"/>
        <v>15</v>
      </c>
      <c r="O69" s="383">
        <f t="shared" si="6"/>
        <v>32</v>
      </c>
      <c r="P69" s="383">
        <f t="shared" si="7"/>
        <v>47</v>
      </c>
      <c r="Q69" s="384">
        <f t="shared" si="8"/>
        <v>1175</v>
      </c>
      <c r="R69" s="27"/>
    </row>
    <row r="70" spans="1:18">
      <c r="A70" s="377">
        <f t="shared" si="2"/>
        <v>56</v>
      </c>
      <c r="B70" s="378" t="s">
        <v>408</v>
      </c>
      <c r="C70" s="378" t="s">
        <v>409</v>
      </c>
      <c r="D70" s="379">
        <v>42849</v>
      </c>
      <c r="E70" s="380">
        <v>25</v>
      </c>
      <c r="F70" s="379">
        <v>42849</v>
      </c>
      <c r="G70" s="379"/>
      <c r="H70" s="381">
        <f t="shared" si="3"/>
        <v>0</v>
      </c>
      <c r="I70" s="379">
        <v>42880</v>
      </c>
      <c r="J70" s="382">
        <f t="shared" si="4"/>
        <v>31</v>
      </c>
      <c r="K70" s="382">
        <f t="shared" si="0"/>
        <v>31</v>
      </c>
      <c r="L70" s="315">
        <f t="shared" si="1"/>
        <v>775</v>
      </c>
      <c r="M70" s="27"/>
      <c r="N70" s="383">
        <f t="shared" si="5"/>
        <v>15</v>
      </c>
      <c r="O70" s="383">
        <f t="shared" si="6"/>
        <v>31</v>
      </c>
      <c r="P70" s="383">
        <f t="shared" si="7"/>
        <v>46</v>
      </c>
      <c r="Q70" s="384">
        <f t="shared" si="8"/>
        <v>1150</v>
      </c>
      <c r="R70" s="27"/>
    </row>
    <row r="71" spans="1:18">
      <c r="A71" s="377">
        <f t="shared" si="2"/>
        <v>57</v>
      </c>
      <c r="B71" s="378" t="s">
        <v>410</v>
      </c>
      <c r="C71" s="378" t="s">
        <v>409</v>
      </c>
      <c r="D71" s="379">
        <v>42891</v>
      </c>
      <c r="E71" s="380">
        <v>6.82</v>
      </c>
      <c r="F71" s="379">
        <v>42891</v>
      </c>
      <c r="G71" s="379"/>
      <c r="H71" s="381">
        <f t="shared" si="3"/>
        <v>0</v>
      </c>
      <c r="I71" s="379">
        <v>42922</v>
      </c>
      <c r="J71" s="382">
        <f t="shared" si="4"/>
        <v>31</v>
      </c>
      <c r="K71" s="382">
        <f t="shared" si="0"/>
        <v>31</v>
      </c>
      <c r="L71" s="315">
        <f t="shared" si="1"/>
        <v>211.42</v>
      </c>
      <c r="M71" s="27"/>
      <c r="N71" s="383">
        <f t="shared" si="5"/>
        <v>15</v>
      </c>
      <c r="O71" s="383">
        <f t="shared" si="6"/>
        <v>31</v>
      </c>
      <c r="P71" s="383">
        <f t="shared" si="7"/>
        <v>46</v>
      </c>
      <c r="Q71" s="384">
        <f t="shared" si="8"/>
        <v>313.72000000000003</v>
      </c>
      <c r="R71" s="27"/>
    </row>
    <row r="72" spans="1:18">
      <c r="A72" s="377">
        <f t="shared" si="2"/>
        <v>58</v>
      </c>
      <c r="B72" s="378" t="s">
        <v>411</v>
      </c>
      <c r="C72" s="378" t="s">
        <v>409</v>
      </c>
      <c r="D72" s="379">
        <v>42782</v>
      </c>
      <c r="E72" s="380">
        <v>38.26</v>
      </c>
      <c r="F72" s="379">
        <v>42779</v>
      </c>
      <c r="G72" s="379"/>
      <c r="H72" s="381">
        <f t="shared" si="3"/>
        <v>0</v>
      </c>
      <c r="I72" s="379">
        <v>42814</v>
      </c>
      <c r="J72" s="382">
        <f t="shared" si="4"/>
        <v>35</v>
      </c>
      <c r="K72" s="382">
        <f t="shared" si="0"/>
        <v>35</v>
      </c>
      <c r="L72" s="315">
        <f t="shared" si="1"/>
        <v>1339.1</v>
      </c>
      <c r="M72" s="27"/>
      <c r="N72" s="383">
        <f t="shared" si="5"/>
        <v>15</v>
      </c>
      <c r="O72" s="383">
        <f t="shared" si="6"/>
        <v>35</v>
      </c>
      <c r="P72" s="383">
        <f t="shared" si="7"/>
        <v>50</v>
      </c>
      <c r="Q72" s="384">
        <f t="shared" si="8"/>
        <v>1913</v>
      </c>
      <c r="R72" s="27"/>
    </row>
    <row r="73" spans="1:18">
      <c r="A73" s="377">
        <f t="shared" si="2"/>
        <v>59</v>
      </c>
      <c r="B73" s="378" t="s">
        <v>388</v>
      </c>
      <c r="C73" s="378" t="s">
        <v>409</v>
      </c>
      <c r="D73" s="379">
        <v>43039</v>
      </c>
      <c r="E73" s="380">
        <v>8</v>
      </c>
      <c r="F73" s="379">
        <v>43039</v>
      </c>
      <c r="G73" s="379"/>
      <c r="H73" s="381">
        <f t="shared" si="3"/>
        <v>0</v>
      </c>
      <c r="I73" s="379">
        <v>43070</v>
      </c>
      <c r="J73" s="382">
        <f t="shared" si="4"/>
        <v>31</v>
      </c>
      <c r="K73" s="382">
        <f t="shared" si="0"/>
        <v>31</v>
      </c>
      <c r="L73" s="315">
        <f t="shared" si="1"/>
        <v>248</v>
      </c>
      <c r="M73" s="27"/>
      <c r="N73" s="383">
        <f t="shared" si="5"/>
        <v>15</v>
      </c>
      <c r="O73" s="383">
        <f t="shared" si="6"/>
        <v>31</v>
      </c>
      <c r="P73" s="383">
        <f t="shared" si="7"/>
        <v>46</v>
      </c>
      <c r="Q73" s="384">
        <f t="shared" si="8"/>
        <v>368</v>
      </c>
      <c r="R73" s="27"/>
    </row>
    <row r="74" spans="1:18">
      <c r="A74" s="377">
        <f t="shared" si="2"/>
        <v>60</v>
      </c>
      <c r="B74" s="378" t="s">
        <v>412</v>
      </c>
      <c r="C74" s="378" t="s">
        <v>409</v>
      </c>
      <c r="D74" s="379">
        <v>42775</v>
      </c>
      <c r="E74" s="380">
        <v>50</v>
      </c>
      <c r="F74" s="379">
        <v>42773</v>
      </c>
      <c r="G74" s="379"/>
      <c r="H74" s="381">
        <f t="shared" si="3"/>
        <v>0</v>
      </c>
      <c r="I74" s="379">
        <v>42807</v>
      </c>
      <c r="J74" s="382">
        <f t="shared" si="4"/>
        <v>34</v>
      </c>
      <c r="K74" s="382">
        <f t="shared" si="0"/>
        <v>34</v>
      </c>
      <c r="L74" s="315">
        <f t="shared" si="1"/>
        <v>1700</v>
      </c>
      <c r="M74" s="27"/>
      <c r="N74" s="383">
        <f t="shared" si="5"/>
        <v>15</v>
      </c>
      <c r="O74" s="383">
        <f t="shared" si="6"/>
        <v>34</v>
      </c>
      <c r="P74" s="383">
        <f t="shared" si="7"/>
        <v>49</v>
      </c>
      <c r="Q74" s="384">
        <f t="shared" si="8"/>
        <v>2450</v>
      </c>
      <c r="R74" s="27"/>
    </row>
    <row r="75" spans="1:18">
      <c r="A75" s="377">
        <f t="shared" si="2"/>
        <v>61</v>
      </c>
      <c r="B75" s="378" t="s">
        <v>412</v>
      </c>
      <c r="C75" s="378" t="s">
        <v>409</v>
      </c>
      <c r="D75" s="379">
        <v>42880</v>
      </c>
      <c r="E75" s="380">
        <v>50</v>
      </c>
      <c r="F75" s="379">
        <v>42878</v>
      </c>
      <c r="G75" s="379"/>
      <c r="H75" s="381">
        <f t="shared" si="3"/>
        <v>0</v>
      </c>
      <c r="I75" s="379">
        <v>42909</v>
      </c>
      <c r="J75" s="382">
        <f t="shared" si="4"/>
        <v>31</v>
      </c>
      <c r="K75" s="382">
        <f t="shared" si="0"/>
        <v>31</v>
      </c>
      <c r="L75" s="315">
        <f t="shared" si="1"/>
        <v>1550</v>
      </c>
      <c r="M75" s="27"/>
      <c r="N75" s="383">
        <f t="shared" si="5"/>
        <v>15</v>
      </c>
      <c r="O75" s="383">
        <f t="shared" si="6"/>
        <v>31</v>
      </c>
      <c r="P75" s="383">
        <f t="shared" si="7"/>
        <v>46</v>
      </c>
      <c r="Q75" s="384">
        <f t="shared" si="8"/>
        <v>2300</v>
      </c>
      <c r="R75" s="27"/>
    </row>
    <row r="76" spans="1:18">
      <c r="A76" s="377">
        <f t="shared" si="2"/>
        <v>62</v>
      </c>
      <c r="B76" s="378" t="s">
        <v>380</v>
      </c>
      <c r="C76" s="378" t="s">
        <v>409</v>
      </c>
      <c r="D76" s="379">
        <v>42993</v>
      </c>
      <c r="E76" s="380">
        <v>20.010000000000002</v>
      </c>
      <c r="F76" s="379">
        <v>42991</v>
      </c>
      <c r="G76" s="379"/>
      <c r="H76" s="381">
        <f t="shared" si="3"/>
        <v>0</v>
      </c>
      <c r="I76" s="379">
        <v>43024</v>
      </c>
      <c r="J76" s="382">
        <f t="shared" si="4"/>
        <v>33</v>
      </c>
      <c r="K76" s="382">
        <f t="shared" si="0"/>
        <v>33</v>
      </c>
      <c r="L76" s="315">
        <f t="shared" si="1"/>
        <v>660.33</v>
      </c>
      <c r="M76" s="27"/>
      <c r="N76" s="383">
        <f t="shared" si="5"/>
        <v>15</v>
      </c>
      <c r="O76" s="383">
        <f t="shared" si="6"/>
        <v>33</v>
      </c>
      <c r="P76" s="383">
        <f t="shared" si="7"/>
        <v>48</v>
      </c>
      <c r="Q76" s="384">
        <f t="shared" si="8"/>
        <v>960.48</v>
      </c>
      <c r="R76" s="27"/>
    </row>
    <row r="77" spans="1:18">
      <c r="A77" s="377">
        <f t="shared" si="2"/>
        <v>63</v>
      </c>
      <c r="B77" s="378" t="s">
        <v>411</v>
      </c>
      <c r="C77" s="378" t="s">
        <v>409</v>
      </c>
      <c r="D77" s="379">
        <v>43039</v>
      </c>
      <c r="E77" s="380">
        <v>182</v>
      </c>
      <c r="F77" s="379">
        <v>43039</v>
      </c>
      <c r="G77" s="379"/>
      <c r="H77" s="381">
        <f t="shared" si="3"/>
        <v>0</v>
      </c>
      <c r="I77" s="379">
        <v>43070</v>
      </c>
      <c r="J77" s="382">
        <f t="shared" si="4"/>
        <v>31</v>
      </c>
      <c r="K77" s="382">
        <f t="shared" si="0"/>
        <v>31</v>
      </c>
      <c r="L77" s="315">
        <f t="shared" si="1"/>
        <v>5642</v>
      </c>
      <c r="M77" s="27"/>
      <c r="N77" s="383">
        <f t="shared" si="5"/>
        <v>15</v>
      </c>
      <c r="O77" s="383">
        <f t="shared" si="6"/>
        <v>31</v>
      </c>
      <c r="P77" s="383">
        <f t="shared" si="7"/>
        <v>46</v>
      </c>
      <c r="Q77" s="384">
        <f t="shared" si="8"/>
        <v>8372</v>
      </c>
      <c r="R77" s="27"/>
    </row>
    <row r="78" spans="1:18">
      <c r="A78" s="377">
        <f t="shared" si="2"/>
        <v>64</v>
      </c>
      <c r="B78" s="378" t="s">
        <v>413</v>
      </c>
      <c r="C78" s="378" t="s">
        <v>409</v>
      </c>
      <c r="D78" s="379">
        <v>42761</v>
      </c>
      <c r="E78" s="380">
        <v>322.58</v>
      </c>
      <c r="F78" s="379">
        <v>42761</v>
      </c>
      <c r="G78" s="379"/>
      <c r="H78" s="381">
        <f t="shared" si="3"/>
        <v>0</v>
      </c>
      <c r="I78" s="379">
        <v>42779</v>
      </c>
      <c r="J78" s="382">
        <f t="shared" si="4"/>
        <v>18</v>
      </c>
      <c r="K78" s="382">
        <f t="shared" si="0"/>
        <v>18</v>
      </c>
      <c r="L78" s="315">
        <f t="shared" si="1"/>
        <v>5806.44</v>
      </c>
      <c r="M78" s="27"/>
      <c r="N78" s="383">
        <f t="shared" si="5"/>
        <v>15</v>
      </c>
      <c r="O78" s="383">
        <f t="shared" si="6"/>
        <v>18</v>
      </c>
      <c r="P78" s="383">
        <f t="shared" si="7"/>
        <v>33</v>
      </c>
      <c r="Q78" s="384">
        <f t="shared" si="8"/>
        <v>10645.14</v>
      </c>
      <c r="R78" s="27"/>
    </row>
    <row r="79" spans="1:18">
      <c r="A79" s="377">
        <f t="shared" si="2"/>
        <v>65</v>
      </c>
      <c r="B79" s="378" t="s">
        <v>414</v>
      </c>
      <c r="C79" s="378" t="s">
        <v>409</v>
      </c>
      <c r="D79" s="379">
        <v>43000</v>
      </c>
      <c r="E79" s="380">
        <v>40.78</v>
      </c>
      <c r="F79" s="379">
        <v>42977</v>
      </c>
      <c r="G79" s="379"/>
      <c r="H79" s="381">
        <f t="shared" si="3"/>
        <v>0</v>
      </c>
      <c r="I79" s="379">
        <v>43031</v>
      </c>
      <c r="J79" s="382">
        <f t="shared" si="4"/>
        <v>54</v>
      </c>
      <c r="K79" s="382">
        <f t="shared" ref="K79:K142" si="9">H79+J79</f>
        <v>54</v>
      </c>
      <c r="L79" s="315">
        <f t="shared" ref="L79:L142" si="10">ROUND(E79*K79,2)</f>
        <v>2202.12</v>
      </c>
      <c r="N79" s="383">
        <f t="shared" si="5"/>
        <v>15</v>
      </c>
      <c r="O79" s="383">
        <f t="shared" si="6"/>
        <v>54</v>
      </c>
      <c r="P79" s="383">
        <f t="shared" si="7"/>
        <v>69</v>
      </c>
      <c r="Q79" s="384">
        <f t="shared" si="8"/>
        <v>2813.82</v>
      </c>
    </row>
    <row r="80" spans="1:18">
      <c r="A80" s="377">
        <f t="shared" ref="A80:A143" si="11">A79+1</f>
        <v>66</v>
      </c>
      <c r="B80" s="378" t="s">
        <v>415</v>
      </c>
      <c r="C80" s="378" t="s">
        <v>409</v>
      </c>
      <c r="D80" s="379">
        <v>42767</v>
      </c>
      <c r="E80" s="380">
        <v>-42</v>
      </c>
      <c r="F80" s="379">
        <v>42758</v>
      </c>
      <c r="G80" s="379"/>
      <c r="H80" s="381">
        <f t="shared" ref="H80:H143" si="12">IF(G80="",0,(G80-F80)/2)</f>
        <v>0</v>
      </c>
      <c r="I80" s="379">
        <v>42800</v>
      </c>
      <c r="J80" s="382">
        <f t="shared" ref="J80:J143" si="13">IF(G80="",I80-F80,I80-G80)</f>
        <v>42</v>
      </c>
      <c r="K80" s="382">
        <f t="shared" si="9"/>
        <v>42</v>
      </c>
      <c r="L80" s="315">
        <f t="shared" si="10"/>
        <v>-1764</v>
      </c>
      <c r="N80" s="383">
        <f t="shared" ref="N80:N143" si="14">IF(G80="",30/2,H80)</f>
        <v>15</v>
      </c>
      <c r="O80" s="383">
        <f t="shared" ref="O80:O143" si="15">J80</f>
        <v>42</v>
      </c>
      <c r="P80" s="383">
        <f t="shared" ref="P80:P143" si="16">N80+O80</f>
        <v>57</v>
      </c>
      <c r="Q80" s="384">
        <f t="shared" ref="Q80:Q143" si="17">E80*P80</f>
        <v>-2394</v>
      </c>
    </row>
    <row r="81" spans="1:17">
      <c r="A81" s="377">
        <f t="shared" si="11"/>
        <v>67</v>
      </c>
      <c r="B81" s="378" t="s">
        <v>383</v>
      </c>
      <c r="C81" s="378" t="s">
        <v>416</v>
      </c>
      <c r="D81" s="379">
        <v>42762</v>
      </c>
      <c r="E81" s="380">
        <v>678.34999999999991</v>
      </c>
      <c r="F81" s="379">
        <v>42737</v>
      </c>
      <c r="G81" s="379">
        <v>42760</v>
      </c>
      <c r="H81" s="381">
        <f t="shared" si="12"/>
        <v>11.5</v>
      </c>
      <c r="I81" s="379">
        <v>42767</v>
      </c>
      <c r="J81" s="382">
        <f t="shared" si="13"/>
        <v>7</v>
      </c>
      <c r="K81" s="382">
        <f t="shared" si="9"/>
        <v>18.5</v>
      </c>
      <c r="L81" s="315">
        <f t="shared" si="10"/>
        <v>12549.48</v>
      </c>
      <c r="N81" s="383">
        <f t="shared" si="14"/>
        <v>11.5</v>
      </c>
      <c r="O81" s="383">
        <f t="shared" si="15"/>
        <v>7</v>
      </c>
      <c r="P81" s="383">
        <f t="shared" si="16"/>
        <v>18.5</v>
      </c>
      <c r="Q81" s="384">
        <f t="shared" si="17"/>
        <v>12549.474999999999</v>
      </c>
    </row>
    <row r="82" spans="1:17">
      <c r="A82" s="377">
        <f t="shared" si="11"/>
        <v>68</v>
      </c>
      <c r="B82" s="378" t="s">
        <v>383</v>
      </c>
      <c r="C82" s="378" t="s">
        <v>416</v>
      </c>
      <c r="D82" s="379">
        <v>43097</v>
      </c>
      <c r="E82" s="380">
        <v>560.26</v>
      </c>
      <c r="F82" s="379">
        <v>43084</v>
      </c>
      <c r="G82" s="379">
        <v>43087</v>
      </c>
      <c r="H82" s="381">
        <f t="shared" si="12"/>
        <v>1.5</v>
      </c>
      <c r="I82" s="379">
        <v>43098</v>
      </c>
      <c r="J82" s="382">
        <f t="shared" si="13"/>
        <v>11</v>
      </c>
      <c r="K82" s="382">
        <f t="shared" si="9"/>
        <v>12.5</v>
      </c>
      <c r="L82" s="315">
        <f t="shared" si="10"/>
        <v>7003.25</v>
      </c>
      <c r="N82" s="383">
        <f t="shared" si="14"/>
        <v>1.5</v>
      </c>
      <c r="O82" s="383">
        <f t="shared" si="15"/>
        <v>11</v>
      </c>
      <c r="P82" s="383">
        <f t="shared" si="16"/>
        <v>12.5</v>
      </c>
      <c r="Q82" s="384">
        <f t="shared" si="17"/>
        <v>7003.25</v>
      </c>
    </row>
    <row r="83" spans="1:17">
      <c r="A83" s="377">
        <f t="shared" si="11"/>
        <v>69</v>
      </c>
      <c r="B83" s="378" t="s">
        <v>417</v>
      </c>
      <c r="C83" s="378" t="s">
        <v>416</v>
      </c>
      <c r="D83" s="379">
        <v>42922</v>
      </c>
      <c r="E83" s="380">
        <v>56.86</v>
      </c>
      <c r="F83" s="379">
        <v>42908</v>
      </c>
      <c r="G83" s="379">
        <v>42922</v>
      </c>
      <c r="H83" s="381">
        <f t="shared" si="12"/>
        <v>7</v>
      </c>
      <c r="I83" s="379">
        <v>42929</v>
      </c>
      <c r="J83" s="382">
        <f t="shared" si="13"/>
        <v>7</v>
      </c>
      <c r="K83" s="382">
        <f t="shared" si="9"/>
        <v>14</v>
      </c>
      <c r="L83" s="315">
        <f t="shared" si="10"/>
        <v>796.04</v>
      </c>
      <c r="N83" s="383">
        <f t="shared" si="14"/>
        <v>7</v>
      </c>
      <c r="O83" s="383">
        <f t="shared" si="15"/>
        <v>7</v>
      </c>
      <c r="P83" s="383">
        <f t="shared" si="16"/>
        <v>14</v>
      </c>
      <c r="Q83" s="384">
        <f t="shared" si="17"/>
        <v>796.04</v>
      </c>
    </row>
    <row r="84" spans="1:17">
      <c r="A84" s="377">
        <f t="shared" si="11"/>
        <v>70</v>
      </c>
      <c r="B84" s="378" t="s">
        <v>418</v>
      </c>
      <c r="C84" s="378" t="s">
        <v>419</v>
      </c>
      <c r="D84" s="379">
        <v>42773</v>
      </c>
      <c r="E84" s="380">
        <v>18</v>
      </c>
      <c r="F84" s="379">
        <v>42773</v>
      </c>
      <c r="G84" s="379"/>
      <c r="H84" s="381">
        <f t="shared" si="12"/>
        <v>0</v>
      </c>
      <c r="I84" s="379">
        <v>42782</v>
      </c>
      <c r="J84" s="382">
        <f t="shared" si="13"/>
        <v>9</v>
      </c>
      <c r="K84" s="382">
        <f t="shared" si="9"/>
        <v>9</v>
      </c>
      <c r="L84" s="315">
        <f t="shared" si="10"/>
        <v>162</v>
      </c>
      <c r="N84" s="383">
        <f t="shared" si="14"/>
        <v>15</v>
      </c>
      <c r="O84" s="383">
        <f t="shared" si="15"/>
        <v>9</v>
      </c>
      <c r="P84" s="383">
        <f t="shared" si="16"/>
        <v>24</v>
      </c>
      <c r="Q84" s="384">
        <f t="shared" si="17"/>
        <v>432</v>
      </c>
    </row>
    <row r="85" spans="1:17">
      <c r="A85" s="377">
        <f t="shared" si="11"/>
        <v>71</v>
      </c>
      <c r="B85" s="378" t="s">
        <v>420</v>
      </c>
      <c r="C85" s="378" t="s">
        <v>419</v>
      </c>
      <c r="D85" s="379">
        <v>42916</v>
      </c>
      <c r="E85" s="380">
        <v>69</v>
      </c>
      <c r="F85" s="379">
        <v>42914</v>
      </c>
      <c r="G85" s="379">
        <v>42916</v>
      </c>
      <c r="H85" s="381">
        <f t="shared" si="12"/>
        <v>1</v>
      </c>
      <c r="I85" s="379">
        <v>42922</v>
      </c>
      <c r="J85" s="382">
        <f t="shared" si="13"/>
        <v>6</v>
      </c>
      <c r="K85" s="382">
        <f t="shared" si="9"/>
        <v>7</v>
      </c>
      <c r="L85" s="315">
        <f t="shared" si="10"/>
        <v>483</v>
      </c>
      <c r="N85" s="383">
        <f t="shared" si="14"/>
        <v>1</v>
      </c>
      <c r="O85" s="383">
        <f t="shared" si="15"/>
        <v>6</v>
      </c>
      <c r="P85" s="383">
        <f t="shared" si="16"/>
        <v>7</v>
      </c>
      <c r="Q85" s="384">
        <f t="shared" si="17"/>
        <v>483</v>
      </c>
    </row>
    <row r="86" spans="1:17">
      <c r="A86" s="377">
        <f t="shared" si="11"/>
        <v>72</v>
      </c>
      <c r="B86" s="378" t="s">
        <v>386</v>
      </c>
      <c r="C86" s="378" t="s">
        <v>421</v>
      </c>
      <c r="D86" s="379">
        <v>43034</v>
      </c>
      <c r="E86" s="380">
        <v>52977.599999999999</v>
      </c>
      <c r="F86" s="379">
        <v>43011</v>
      </c>
      <c r="G86" s="379"/>
      <c r="H86" s="381">
        <f t="shared" si="12"/>
        <v>0</v>
      </c>
      <c r="I86" s="379">
        <v>43063</v>
      </c>
      <c r="J86" s="382">
        <f t="shared" si="13"/>
        <v>52</v>
      </c>
      <c r="K86" s="382">
        <f t="shared" si="9"/>
        <v>52</v>
      </c>
      <c r="L86" s="315">
        <f t="shared" si="10"/>
        <v>2754835.2</v>
      </c>
      <c r="N86" s="383">
        <f t="shared" si="14"/>
        <v>15</v>
      </c>
      <c r="O86" s="383">
        <f t="shared" si="15"/>
        <v>52</v>
      </c>
      <c r="P86" s="383">
        <f t="shared" si="16"/>
        <v>67</v>
      </c>
      <c r="Q86" s="384">
        <f t="shared" si="17"/>
        <v>3549499.1999999997</v>
      </c>
    </row>
    <row r="87" spans="1:17">
      <c r="A87" s="377">
        <f t="shared" si="11"/>
        <v>73</v>
      </c>
      <c r="B87" s="378" t="s">
        <v>422</v>
      </c>
      <c r="C87" s="378" t="s">
        <v>423</v>
      </c>
      <c r="D87" s="379">
        <v>42713</v>
      </c>
      <c r="E87" s="380">
        <v>274.32</v>
      </c>
      <c r="F87" s="379">
        <v>42669</v>
      </c>
      <c r="G87" s="379">
        <v>42713</v>
      </c>
      <c r="H87" s="381">
        <f t="shared" si="12"/>
        <v>22</v>
      </c>
      <c r="I87" s="379">
        <v>42775</v>
      </c>
      <c r="J87" s="382">
        <f t="shared" si="13"/>
        <v>62</v>
      </c>
      <c r="K87" s="382">
        <f t="shared" si="9"/>
        <v>84</v>
      </c>
      <c r="L87" s="315">
        <f t="shared" si="10"/>
        <v>23042.880000000001</v>
      </c>
      <c r="N87" s="383">
        <f t="shared" si="14"/>
        <v>22</v>
      </c>
      <c r="O87" s="383">
        <f t="shared" si="15"/>
        <v>62</v>
      </c>
      <c r="P87" s="383">
        <f t="shared" si="16"/>
        <v>84</v>
      </c>
      <c r="Q87" s="384">
        <f t="shared" si="17"/>
        <v>23042.880000000001</v>
      </c>
    </row>
    <row r="88" spans="1:17">
      <c r="A88" s="377">
        <f t="shared" si="11"/>
        <v>74</v>
      </c>
      <c r="B88" s="378" t="s">
        <v>424</v>
      </c>
      <c r="C88" s="378" t="s">
        <v>423</v>
      </c>
      <c r="D88" s="379">
        <v>42964</v>
      </c>
      <c r="E88" s="380">
        <v>37.450000000000003</v>
      </c>
      <c r="F88" s="379">
        <v>42964</v>
      </c>
      <c r="G88" s="379"/>
      <c r="H88" s="381">
        <f t="shared" si="12"/>
        <v>0</v>
      </c>
      <c r="I88" s="379">
        <v>42971</v>
      </c>
      <c r="J88" s="382">
        <f t="shared" si="13"/>
        <v>7</v>
      </c>
      <c r="K88" s="382">
        <f t="shared" si="9"/>
        <v>7</v>
      </c>
      <c r="L88" s="315">
        <f t="shared" si="10"/>
        <v>262.14999999999998</v>
      </c>
      <c r="N88" s="383">
        <f t="shared" si="14"/>
        <v>15</v>
      </c>
      <c r="O88" s="383">
        <f t="shared" si="15"/>
        <v>7</v>
      </c>
      <c r="P88" s="383">
        <f t="shared" si="16"/>
        <v>22</v>
      </c>
      <c r="Q88" s="384">
        <f t="shared" si="17"/>
        <v>823.90000000000009</v>
      </c>
    </row>
    <row r="89" spans="1:17">
      <c r="A89" s="377">
        <f t="shared" si="11"/>
        <v>75</v>
      </c>
      <c r="B89" s="378" t="s">
        <v>425</v>
      </c>
      <c r="C89" s="378" t="s">
        <v>423</v>
      </c>
      <c r="D89" s="379">
        <v>42762</v>
      </c>
      <c r="E89" s="380">
        <v>109.14</v>
      </c>
      <c r="F89" s="379">
        <v>42762</v>
      </c>
      <c r="G89" s="379"/>
      <c r="H89" s="381">
        <f t="shared" si="12"/>
        <v>0</v>
      </c>
      <c r="I89" s="379">
        <v>42768</v>
      </c>
      <c r="J89" s="382">
        <f t="shared" si="13"/>
        <v>6</v>
      </c>
      <c r="K89" s="382">
        <f t="shared" si="9"/>
        <v>6</v>
      </c>
      <c r="L89" s="315">
        <f t="shared" si="10"/>
        <v>654.84</v>
      </c>
      <c r="N89" s="383">
        <f t="shared" si="14"/>
        <v>15</v>
      </c>
      <c r="O89" s="383">
        <f t="shared" si="15"/>
        <v>6</v>
      </c>
      <c r="P89" s="383">
        <f t="shared" si="16"/>
        <v>21</v>
      </c>
      <c r="Q89" s="384">
        <f t="shared" si="17"/>
        <v>2291.94</v>
      </c>
    </row>
    <row r="90" spans="1:17">
      <c r="A90" s="377">
        <f t="shared" si="11"/>
        <v>76</v>
      </c>
      <c r="B90" s="378" t="s">
        <v>426</v>
      </c>
      <c r="C90" s="378" t="s">
        <v>423</v>
      </c>
      <c r="D90" s="379">
        <v>43027</v>
      </c>
      <c r="E90" s="380">
        <v>276.06</v>
      </c>
      <c r="F90" s="379">
        <v>43020</v>
      </c>
      <c r="G90" s="379">
        <v>43027</v>
      </c>
      <c r="H90" s="381">
        <f t="shared" si="12"/>
        <v>3.5</v>
      </c>
      <c r="I90" s="379">
        <v>43035</v>
      </c>
      <c r="J90" s="382">
        <f t="shared" si="13"/>
        <v>8</v>
      </c>
      <c r="K90" s="382">
        <f t="shared" si="9"/>
        <v>11.5</v>
      </c>
      <c r="L90" s="315">
        <f t="shared" si="10"/>
        <v>3174.69</v>
      </c>
      <c r="N90" s="383">
        <f t="shared" si="14"/>
        <v>3.5</v>
      </c>
      <c r="O90" s="383">
        <f t="shared" si="15"/>
        <v>8</v>
      </c>
      <c r="P90" s="383">
        <f t="shared" si="16"/>
        <v>11.5</v>
      </c>
      <c r="Q90" s="384">
        <f t="shared" si="17"/>
        <v>3174.69</v>
      </c>
    </row>
    <row r="91" spans="1:17">
      <c r="A91" s="377">
        <f t="shared" si="11"/>
        <v>77</v>
      </c>
      <c r="B91" s="378" t="s">
        <v>420</v>
      </c>
      <c r="C91" s="378" t="s">
        <v>423</v>
      </c>
      <c r="D91" s="379">
        <v>42898</v>
      </c>
      <c r="E91" s="380">
        <v>96.3</v>
      </c>
      <c r="F91" s="379">
        <v>42898</v>
      </c>
      <c r="G91" s="379"/>
      <c r="H91" s="381">
        <f t="shared" si="12"/>
        <v>0</v>
      </c>
      <c r="I91" s="379">
        <v>42908</v>
      </c>
      <c r="J91" s="382">
        <f t="shared" si="13"/>
        <v>10</v>
      </c>
      <c r="K91" s="382">
        <f t="shared" si="9"/>
        <v>10</v>
      </c>
      <c r="L91" s="315">
        <f t="shared" si="10"/>
        <v>963</v>
      </c>
      <c r="N91" s="383">
        <f t="shared" si="14"/>
        <v>15</v>
      </c>
      <c r="O91" s="383">
        <f t="shared" si="15"/>
        <v>10</v>
      </c>
      <c r="P91" s="383">
        <f t="shared" si="16"/>
        <v>25</v>
      </c>
      <c r="Q91" s="384">
        <f t="shared" si="17"/>
        <v>2407.5</v>
      </c>
    </row>
    <row r="92" spans="1:17">
      <c r="A92" s="377">
        <f t="shared" si="11"/>
        <v>78</v>
      </c>
      <c r="B92" s="378" t="s">
        <v>427</v>
      </c>
      <c r="C92" s="378" t="s">
        <v>423</v>
      </c>
      <c r="D92" s="379">
        <v>42716</v>
      </c>
      <c r="E92" s="380">
        <v>324.54000000000002</v>
      </c>
      <c r="F92" s="379">
        <v>42401</v>
      </c>
      <c r="G92" s="379">
        <v>42716</v>
      </c>
      <c r="H92" s="381">
        <f t="shared" si="12"/>
        <v>157.5</v>
      </c>
      <c r="I92" s="379">
        <v>42746</v>
      </c>
      <c r="J92" s="382">
        <f t="shared" si="13"/>
        <v>30</v>
      </c>
      <c r="K92" s="382">
        <f t="shared" si="9"/>
        <v>187.5</v>
      </c>
      <c r="L92" s="315">
        <f t="shared" si="10"/>
        <v>60851.25</v>
      </c>
      <c r="N92" s="383">
        <f t="shared" si="14"/>
        <v>157.5</v>
      </c>
      <c r="O92" s="383">
        <f t="shared" si="15"/>
        <v>30</v>
      </c>
      <c r="P92" s="383">
        <f t="shared" si="16"/>
        <v>187.5</v>
      </c>
      <c r="Q92" s="384">
        <f t="shared" si="17"/>
        <v>60851.250000000007</v>
      </c>
    </row>
    <row r="93" spans="1:17">
      <c r="A93" s="377">
        <f t="shared" si="11"/>
        <v>79</v>
      </c>
      <c r="B93" s="378" t="s">
        <v>428</v>
      </c>
      <c r="C93" s="378" t="s">
        <v>429</v>
      </c>
      <c r="D93" s="379">
        <v>42866</v>
      </c>
      <c r="E93" s="380">
        <v>23.29</v>
      </c>
      <c r="F93" s="379">
        <v>42864</v>
      </c>
      <c r="G93" s="379">
        <v>42865</v>
      </c>
      <c r="H93" s="381">
        <f t="shared" si="12"/>
        <v>0.5</v>
      </c>
      <c r="I93" s="379">
        <v>42878</v>
      </c>
      <c r="J93" s="382">
        <f t="shared" si="13"/>
        <v>13</v>
      </c>
      <c r="K93" s="382">
        <f t="shared" si="9"/>
        <v>13.5</v>
      </c>
      <c r="L93" s="315">
        <f t="shared" si="10"/>
        <v>314.42</v>
      </c>
      <c r="N93" s="383">
        <f t="shared" si="14"/>
        <v>0.5</v>
      </c>
      <c r="O93" s="383">
        <f t="shared" si="15"/>
        <v>13</v>
      </c>
      <c r="P93" s="383">
        <f t="shared" si="16"/>
        <v>13.5</v>
      </c>
      <c r="Q93" s="384">
        <f t="shared" si="17"/>
        <v>314.41499999999996</v>
      </c>
    </row>
    <row r="94" spans="1:17">
      <c r="A94" s="377">
        <f t="shared" si="11"/>
        <v>80</v>
      </c>
      <c r="B94" s="378" t="s">
        <v>430</v>
      </c>
      <c r="C94" s="378" t="s">
        <v>431</v>
      </c>
      <c r="D94" s="379">
        <v>43013</v>
      </c>
      <c r="E94" s="380">
        <v>1216.5</v>
      </c>
      <c r="F94" s="379">
        <v>42995</v>
      </c>
      <c r="G94" s="379">
        <v>43001</v>
      </c>
      <c r="H94" s="381">
        <f t="shared" si="12"/>
        <v>3</v>
      </c>
      <c r="I94" s="379">
        <v>43045</v>
      </c>
      <c r="J94" s="382">
        <f t="shared" si="13"/>
        <v>44</v>
      </c>
      <c r="K94" s="382">
        <f t="shared" si="9"/>
        <v>47</v>
      </c>
      <c r="L94" s="315">
        <f t="shared" si="10"/>
        <v>57175.5</v>
      </c>
      <c r="N94" s="383">
        <f t="shared" si="14"/>
        <v>3</v>
      </c>
      <c r="O94" s="383">
        <f t="shared" si="15"/>
        <v>44</v>
      </c>
      <c r="P94" s="383">
        <f t="shared" si="16"/>
        <v>47</v>
      </c>
      <c r="Q94" s="384">
        <f t="shared" si="17"/>
        <v>57175.5</v>
      </c>
    </row>
    <row r="95" spans="1:17">
      <c r="A95" s="377">
        <f t="shared" si="11"/>
        <v>81</v>
      </c>
      <c r="B95" s="378" t="s">
        <v>432</v>
      </c>
      <c r="C95" s="378" t="s">
        <v>431</v>
      </c>
      <c r="D95" s="379">
        <v>42928</v>
      </c>
      <c r="E95" s="380">
        <v>1166.4000000000001</v>
      </c>
      <c r="F95" s="379">
        <v>42917</v>
      </c>
      <c r="G95" s="379"/>
      <c r="H95" s="381">
        <f t="shared" si="12"/>
        <v>0</v>
      </c>
      <c r="I95" s="379">
        <v>42961</v>
      </c>
      <c r="J95" s="382">
        <f t="shared" si="13"/>
        <v>44</v>
      </c>
      <c r="K95" s="382">
        <f t="shared" si="9"/>
        <v>44</v>
      </c>
      <c r="L95" s="315">
        <f t="shared" si="10"/>
        <v>51321.599999999999</v>
      </c>
      <c r="N95" s="383">
        <f t="shared" si="14"/>
        <v>15</v>
      </c>
      <c r="O95" s="383">
        <f t="shared" si="15"/>
        <v>44</v>
      </c>
      <c r="P95" s="383">
        <f t="shared" si="16"/>
        <v>59</v>
      </c>
      <c r="Q95" s="384">
        <f t="shared" si="17"/>
        <v>68817.600000000006</v>
      </c>
    </row>
    <row r="96" spans="1:17">
      <c r="A96" s="377">
        <f t="shared" si="11"/>
        <v>82</v>
      </c>
      <c r="B96" s="378" t="s">
        <v>433</v>
      </c>
      <c r="C96" s="378" t="s">
        <v>431</v>
      </c>
      <c r="D96" s="379">
        <v>42948</v>
      </c>
      <c r="E96" s="380">
        <v>103599.98</v>
      </c>
      <c r="F96" s="379">
        <v>42918</v>
      </c>
      <c r="G96" s="379">
        <v>42945</v>
      </c>
      <c r="H96" s="381">
        <f t="shared" si="12"/>
        <v>13.5</v>
      </c>
      <c r="I96" s="379">
        <v>42986</v>
      </c>
      <c r="J96" s="382">
        <f t="shared" si="13"/>
        <v>41</v>
      </c>
      <c r="K96" s="382">
        <f t="shared" si="9"/>
        <v>54.5</v>
      </c>
      <c r="L96" s="315">
        <f t="shared" si="10"/>
        <v>5646198.9100000001</v>
      </c>
      <c r="N96" s="383">
        <f t="shared" si="14"/>
        <v>13.5</v>
      </c>
      <c r="O96" s="383">
        <f t="shared" si="15"/>
        <v>41</v>
      </c>
      <c r="P96" s="383">
        <f t="shared" si="16"/>
        <v>54.5</v>
      </c>
      <c r="Q96" s="384">
        <f t="shared" si="17"/>
        <v>5646198.9100000001</v>
      </c>
    </row>
    <row r="97" spans="1:17">
      <c r="A97" s="377">
        <f t="shared" si="11"/>
        <v>83</v>
      </c>
      <c r="B97" s="378" t="s">
        <v>434</v>
      </c>
      <c r="C97" s="378" t="s">
        <v>431</v>
      </c>
      <c r="D97" s="379">
        <v>42877</v>
      </c>
      <c r="E97" s="380">
        <v>2800</v>
      </c>
      <c r="F97" s="379">
        <v>42877</v>
      </c>
      <c r="G97" s="379"/>
      <c r="H97" s="381">
        <f t="shared" si="12"/>
        <v>0</v>
      </c>
      <c r="I97" s="379">
        <v>42923</v>
      </c>
      <c r="J97" s="382">
        <f t="shared" si="13"/>
        <v>46</v>
      </c>
      <c r="K97" s="382">
        <f t="shared" si="9"/>
        <v>46</v>
      </c>
      <c r="L97" s="315">
        <f t="shared" si="10"/>
        <v>128800</v>
      </c>
      <c r="N97" s="383">
        <f t="shared" si="14"/>
        <v>15</v>
      </c>
      <c r="O97" s="383">
        <f t="shared" si="15"/>
        <v>46</v>
      </c>
      <c r="P97" s="383">
        <f t="shared" si="16"/>
        <v>61</v>
      </c>
      <c r="Q97" s="384">
        <f t="shared" si="17"/>
        <v>170800</v>
      </c>
    </row>
    <row r="98" spans="1:17">
      <c r="A98" s="377">
        <f t="shared" si="11"/>
        <v>84</v>
      </c>
      <c r="B98" s="378" t="s">
        <v>376</v>
      </c>
      <c r="C98" s="378" t="s">
        <v>431</v>
      </c>
      <c r="D98" s="379">
        <v>43100</v>
      </c>
      <c r="E98" s="380">
        <v>13.5</v>
      </c>
      <c r="F98" s="379">
        <v>43075</v>
      </c>
      <c r="G98" s="379"/>
      <c r="H98" s="381">
        <f t="shared" si="12"/>
        <v>0</v>
      </c>
      <c r="I98" s="379">
        <v>43125</v>
      </c>
      <c r="J98" s="382">
        <f t="shared" si="13"/>
        <v>50</v>
      </c>
      <c r="K98" s="382">
        <f t="shared" si="9"/>
        <v>50</v>
      </c>
      <c r="L98" s="315">
        <f t="shared" si="10"/>
        <v>675</v>
      </c>
      <c r="N98" s="383">
        <f t="shared" si="14"/>
        <v>15</v>
      </c>
      <c r="O98" s="383">
        <f t="shared" si="15"/>
        <v>50</v>
      </c>
      <c r="P98" s="383">
        <f t="shared" si="16"/>
        <v>65</v>
      </c>
      <c r="Q98" s="384">
        <f t="shared" si="17"/>
        <v>877.5</v>
      </c>
    </row>
    <row r="99" spans="1:17">
      <c r="A99" s="377">
        <f t="shared" si="11"/>
        <v>85</v>
      </c>
      <c r="B99" s="378" t="s">
        <v>435</v>
      </c>
      <c r="C99" s="378" t="s">
        <v>431</v>
      </c>
      <c r="D99" s="379">
        <v>42773</v>
      </c>
      <c r="E99" s="380">
        <v>2519.58</v>
      </c>
      <c r="F99" s="379">
        <v>42770</v>
      </c>
      <c r="G99" s="379"/>
      <c r="H99" s="381">
        <f t="shared" si="12"/>
        <v>0</v>
      </c>
      <c r="I99" s="379">
        <v>42804</v>
      </c>
      <c r="J99" s="382">
        <f t="shared" si="13"/>
        <v>34</v>
      </c>
      <c r="K99" s="382">
        <f t="shared" si="9"/>
        <v>34</v>
      </c>
      <c r="L99" s="315">
        <f t="shared" si="10"/>
        <v>85665.72</v>
      </c>
      <c r="N99" s="383">
        <f t="shared" si="14"/>
        <v>15</v>
      </c>
      <c r="O99" s="383">
        <f t="shared" si="15"/>
        <v>34</v>
      </c>
      <c r="P99" s="383">
        <f t="shared" si="16"/>
        <v>49</v>
      </c>
      <c r="Q99" s="384">
        <f t="shared" si="17"/>
        <v>123459.42</v>
      </c>
    </row>
    <row r="100" spans="1:17">
      <c r="A100" s="377">
        <f t="shared" si="11"/>
        <v>86</v>
      </c>
      <c r="B100" s="378" t="s">
        <v>436</v>
      </c>
      <c r="C100" s="378" t="s">
        <v>431</v>
      </c>
      <c r="D100" s="379">
        <v>42783</v>
      </c>
      <c r="E100" s="380">
        <v>185471.66999999998</v>
      </c>
      <c r="F100" s="379">
        <v>42736</v>
      </c>
      <c r="G100" s="379">
        <v>42766</v>
      </c>
      <c r="H100" s="381">
        <f t="shared" si="12"/>
        <v>15</v>
      </c>
      <c r="I100" s="379">
        <v>42800</v>
      </c>
      <c r="J100" s="382">
        <f t="shared" si="13"/>
        <v>34</v>
      </c>
      <c r="K100" s="382">
        <f t="shared" si="9"/>
        <v>49</v>
      </c>
      <c r="L100" s="315">
        <f t="shared" si="10"/>
        <v>9088111.8300000001</v>
      </c>
      <c r="N100" s="383">
        <f t="shared" si="14"/>
        <v>15</v>
      </c>
      <c r="O100" s="383">
        <f t="shared" si="15"/>
        <v>34</v>
      </c>
      <c r="P100" s="383">
        <f t="shared" si="16"/>
        <v>49</v>
      </c>
      <c r="Q100" s="384">
        <f t="shared" si="17"/>
        <v>9088111.8300000001</v>
      </c>
    </row>
    <row r="101" spans="1:17">
      <c r="A101" s="377">
        <f t="shared" si="11"/>
        <v>87</v>
      </c>
      <c r="B101" s="378" t="s">
        <v>436</v>
      </c>
      <c r="C101" s="378" t="s">
        <v>431</v>
      </c>
      <c r="D101" s="379">
        <v>42821</v>
      </c>
      <c r="E101" s="380">
        <v>185471.66999999998</v>
      </c>
      <c r="F101" s="379">
        <v>42767</v>
      </c>
      <c r="G101" s="379">
        <v>42794</v>
      </c>
      <c r="H101" s="381">
        <f t="shared" si="12"/>
        <v>13.5</v>
      </c>
      <c r="I101" s="379">
        <v>42837</v>
      </c>
      <c r="J101" s="382">
        <f t="shared" si="13"/>
        <v>43</v>
      </c>
      <c r="K101" s="382">
        <f t="shared" si="9"/>
        <v>56.5</v>
      </c>
      <c r="L101" s="315">
        <f t="shared" si="10"/>
        <v>10479149.359999999</v>
      </c>
      <c r="N101" s="383">
        <f t="shared" si="14"/>
        <v>13.5</v>
      </c>
      <c r="O101" s="383">
        <f t="shared" si="15"/>
        <v>43</v>
      </c>
      <c r="P101" s="383">
        <f t="shared" si="16"/>
        <v>56.5</v>
      </c>
      <c r="Q101" s="384">
        <f t="shared" si="17"/>
        <v>10479149.354999999</v>
      </c>
    </row>
    <row r="102" spans="1:17">
      <c r="A102" s="377">
        <f t="shared" si="11"/>
        <v>88</v>
      </c>
      <c r="B102" s="378" t="s">
        <v>436</v>
      </c>
      <c r="C102" s="378" t="s">
        <v>431</v>
      </c>
      <c r="D102" s="379">
        <v>42825</v>
      </c>
      <c r="E102" s="380">
        <v>185471.66999999998</v>
      </c>
      <c r="F102" s="379">
        <v>42795</v>
      </c>
      <c r="G102" s="379">
        <v>42825</v>
      </c>
      <c r="H102" s="381">
        <f t="shared" si="12"/>
        <v>15</v>
      </c>
      <c r="I102" s="379">
        <v>42851</v>
      </c>
      <c r="J102" s="382">
        <f t="shared" si="13"/>
        <v>26</v>
      </c>
      <c r="K102" s="382">
        <f t="shared" si="9"/>
        <v>41</v>
      </c>
      <c r="L102" s="315">
        <f t="shared" si="10"/>
        <v>7604338.4699999997</v>
      </c>
      <c r="N102" s="383">
        <f t="shared" si="14"/>
        <v>15</v>
      </c>
      <c r="O102" s="383">
        <f t="shared" si="15"/>
        <v>26</v>
      </c>
      <c r="P102" s="383">
        <f t="shared" si="16"/>
        <v>41</v>
      </c>
      <c r="Q102" s="384">
        <f t="shared" si="17"/>
        <v>7604338.4699999997</v>
      </c>
    </row>
    <row r="103" spans="1:17">
      <c r="A103" s="377">
        <f t="shared" si="11"/>
        <v>89</v>
      </c>
      <c r="B103" s="378" t="s">
        <v>436</v>
      </c>
      <c r="C103" s="378" t="s">
        <v>431</v>
      </c>
      <c r="D103" s="379">
        <v>42855</v>
      </c>
      <c r="E103" s="380">
        <v>185471.66999999998</v>
      </c>
      <c r="F103" s="379">
        <v>42826</v>
      </c>
      <c r="G103" s="379">
        <v>42855</v>
      </c>
      <c r="H103" s="381">
        <f t="shared" si="12"/>
        <v>14.5</v>
      </c>
      <c r="I103" s="379">
        <v>42885</v>
      </c>
      <c r="J103" s="382">
        <f t="shared" si="13"/>
        <v>30</v>
      </c>
      <c r="K103" s="382">
        <f t="shared" si="9"/>
        <v>44.5</v>
      </c>
      <c r="L103" s="315">
        <f t="shared" si="10"/>
        <v>8253489.3200000003</v>
      </c>
      <c r="N103" s="383">
        <f t="shared" si="14"/>
        <v>14.5</v>
      </c>
      <c r="O103" s="383">
        <f t="shared" si="15"/>
        <v>30</v>
      </c>
      <c r="P103" s="383">
        <f t="shared" si="16"/>
        <v>44.5</v>
      </c>
      <c r="Q103" s="384">
        <f t="shared" si="17"/>
        <v>8253489.3149999995</v>
      </c>
    </row>
    <row r="104" spans="1:17">
      <c r="A104" s="377">
        <f t="shared" si="11"/>
        <v>90</v>
      </c>
      <c r="B104" s="378" t="s">
        <v>436</v>
      </c>
      <c r="C104" s="378" t="s">
        <v>431</v>
      </c>
      <c r="D104" s="379">
        <v>42886</v>
      </c>
      <c r="E104" s="380">
        <v>185471.66999999998</v>
      </c>
      <c r="F104" s="379">
        <v>42856</v>
      </c>
      <c r="G104" s="379">
        <v>42885</v>
      </c>
      <c r="H104" s="381">
        <f t="shared" si="12"/>
        <v>14.5</v>
      </c>
      <c r="I104" s="379">
        <v>42928</v>
      </c>
      <c r="J104" s="382">
        <f t="shared" si="13"/>
        <v>43</v>
      </c>
      <c r="K104" s="382">
        <f t="shared" si="9"/>
        <v>57.5</v>
      </c>
      <c r="L104" s="315">
        <f t="shared" si="10"/>
        <v>10664621.029999999</v>
      </c>
      <c r="N104" s="383">
        <f t="shared" si="14"/>
        <v>14.5</v>
      </c>
      <c r="O104" s="383">
        <f t="shared" si="15"/>
        <v>43</v>
      </c>
      <c r="P104" s="383">
        <f t="shared" si="16"/>
        <v>57.5</v>
      </c>
      <c r="Q104" s="384">
        <f t="shared" si="17"/>
        <v>10664621.024999999</v>
      </c>
    </row>
    <row r="105" spans="1:17">
      <c r="A105" s="377">
        <f t="shared" si="11"/>
        <v>91</v>
      </c>
      <c r="B105" s="378" t="s">
        <v>436</v>
      </c>
      <c r="C105" s="378" t="s">
        <v>431</v>
      </c>
      <c r="D105" s="379">
        <v>42916</v>
      </c>
      <c r="E105" s="380">
        <v>185471.66999999998</v>
      </c>
      <c r="F105" s="379">
        <v>42887</v>
      </c>
      <c r="G105" s="379">
        <v>42916</v>
      </c>
      <c r="H105" s="381">
        <f t="shared" si="12"/>
        <v>14.5</v>
      </c>
      <c r="I105" s="379">
        <v>42948</v>
      </c>
      <c r="J105" s="382">
        <f t="shared" si="13"/>
        <v>32</v>
      </c>
      <c r="K105" s="382">
        <f t="shared" si="9"/>
        <v>46.5</v>
      </c>
      <c r="L105" s="315">
        <f t="shared" si="10"/>
        <v>8624432.6600000001</v>
      </c>
      <c r="N105" s="383">
        <f t="shared" si="14"/>
        <v>14.5</v>
      </c>
      <c r="O105" s="383">
        <f t="shared" si="15"/>
        <v>32</v>
      </c>
      <c r="P105" s="383">
        <f t="shared" si="16"/>
        <v>46.5</v>
      </c>
      <c r="Q105" s="384">
        <f t="shared" si="17"/>
        <v>8624432.6549999993</v>
      </c>
    </row>
    <row r="106" spans="1:17">
      <c r="A106" s="377">
        <f t="shared" si="11"/>
        <v>92</v>
      </c>
      <c r="B106" s="378" t="s">
        <v>436</v>
      </c>
      <c r="C106" s="378" t="s">
        <v>431</v>
      </c>
      <c r="D106" s="379">
        <v>42947</v>
      </c>
      <c r="E106" s="380">
        <v>185471.66999999998</v>
      </c>
      <c r="F106" s="379">
        <v>42917</v>
      </c>
      <c r="G106" s="379">
        <v>42947</v>
      </c>
      <c r="H106" s="381">
        <f t="shared" si="12"/>
        <v>15</v>
      </c>
      <c r="I106" s="379">
        <v>42978</v>
      </c>
      <c r="J106" s="382">
        <f t="shared" si="13"/>
        <v>31</v>
      </c>
      <c r="K106" s="382">
        <f t="shared" si="9"/>
        <v>46</v>
      </c>
      <c r="L106" s="315">
        <f t="shared" si="10"/>
        <v>8531696.8200000003</v>
      </c>
      <c r="N106" s="383">
        <f t="shared" si="14"/>
        <v>15</v>
      </c>
      <c r="O106" s="383">
        <f t="shared" si="15"/>
        <v>31</v>
      </c>
      <c r="P106" s="383">
        <f t="shared" si="16"/>
        <v>46</v>
      </c>
      <c r="Q106" s="384">
        <f t="shared" si="17"/>
        <v>8531696.8199999984</v>
      </c>
    </row>
    <row r="107" spans="1:17">
      <c r="A107" s="377">
        <f t="shared" si="11"/>
        <v>93</v>
      </c>
      <c r="B107" s="378" t="s">
        <v>436</v>
      </c>
      <c r="C107" s="378" t="s">
        <v>431</v>
      </c>
      <c r="D107" s="379">
        <v>42978</v>
      </c>
      <c r="E107" s="380">
        <v>185471.66999999998</v>
      </c>
      <c r="F107" s="379">
        <v>42948</v>
      </c>
      <c r="G107" s="379">
        <v>42978</v>
      </c>
      <c r="H107" s="381">
        <f t="shared" si="12"/>
        <v>15</v>
      </c>
      <c r="I107" s="379">
        <v>42996</v>
      </c>
      <c r="J107" s="382">
        <f t="shared" si="13"/>
        <v>18</v>
      </c>
      <c r="K107" s="382">
        <f t="shared" si="9"/>
        <v>33</v>
      </c>
      <c r="L107" s="315">
        <f t="shared" si="10"/>
        <v>6120565.1100000003</v>
      </c>
      <c r="N107" s="383">
        <f t="shared" si="14"/>
        <v>15</v>
      </c>
      <c r="O107" s="383">
        <f t="shared" si="15"/>
        <v>18</v>
      </c>
      <c r="P107" s="383">
        <f t="shared" si="16"/>
        <v>33</v>
      </c>
      <c r="Q107" s="384">
        <f t="shared" si="17"/>
        <v>6120565.1099999994</v>
      </c>
    </row>
    <row r="108" spans="1:17">
      <c r="A108" s="377">
        <f t="shared" si="11"/>
        <v>94</v>
      </c>
      <c r="B108" s="378" t="s">
        <v>436</v>
      </c>
      <c r="C108" s="378" t="s">
        <v>431</v>
      </c>
      <c r="D108" s="379">
        <v>43008</v>
      </c>
      <c r="E108" s="380">
        <v>185471.66999999998</v>
      </c>
      <c r="F108" s="379">
        <v>42979</v>
      </c>
      <c r="G108" s="379">
        <v>43008</v>
      </c>
      <c r="H108" s="381">
        <f t="shared" si="12"/>
        <v>14.5</v>
      </c>
      <c r="I108" s="379">
        <v>43027</v>
      </c>
      <c r="J108" s="382">
        <f t="shared" si="13"/>
        <v>19</v>
      </c>
      <c r="K108" s="382">
        <f t="shared" si="9"/>
        <v>33.5</v>
      </c>
      <c r="L108" s="315">
        <f t="shared" si="10"/>
        <v>6213300.9500000002</v>
      </c>
      <c r="N108" s="383">
        <f t="shared" si="14"/>
        <v>14.5</v>
      </c>
      <c r="O108" s="383">
        <f t="shared" si="15"/>
        <v>19</v>
      </c>
      <c r="P108" s="383">
        <f t="shared" si="16"/>
        <v>33.5</v>
      </c>
      <c r="Q108" s="384">
        <f t="shared" si="17"/>
        <v>6213300.9449999994</v>
      </c>
    </row>
    <row r="109" spans="1:17">
      <c r="A109" s="377">
        <f t="shared" si="11"/>
        <v>95</v>
      </c>
      <c r="B109" s="378" t="s">
        <v>436</v>
      </c>
      <c r="C109" s="378" t="s">
        <v>431</v>
      </c>
      <c r="D109" s="379">
        <v>43039</v>
      </c>
      <c r="E109" s="380">
        <v>185471.66999999998</v>
      </c>
      <c r="F109" s="379">
        <v>43009</v>
      </c>
      <c r="G109" s="379">
        <v>43039</v>
      </c>
      <c r="H109" s="381">
        <f t="shared" si="12"/>
        <v>15</v>
      </c>
      <c r="I109" s="379">
        <v>43070</v>
      </c>
      <c r="J109" s="382">
        <f t="shared" si="13"/>
        <v>31</v>
      </c>
      <c r="K109" s="382">
        <f t="shared" si="9"/>
        <v>46</v>
      </c>
      <c r="L109" s="315">
        <f t="shared" si="10"/>
        <v>8531696.8200000003</v>
      </c>
      <c r="N109" s="383">
        <f t="shared" si="14"/>
        <v>15</v>
      </c>
      <c r="O109" s="383">
        <f t="shared" si="15"/>
        <v>31</v>
      </c>
      <c r="P109" s="383">
        <f t="shared" si="16"/>
        <v>46</v>
      </c>
      <c r="Q109" s="384">
        <f t="shared" si="17"/>
        <v>8531696.8199999984</v>
      </c>
    </row>
    <row r="110" spans="1:17">
      <c r="A110" s="377">
        <f t="shared" si="11"/>
        <v>96</v>
      </c>
      <c r="B110" s="378" t="s">
        <v>436</v>
      </c>
      <c r="C110" s="378" t="s">
        <v>431</v>
      </c>
      <c r="D110" s="379">
        <v>43069</v>
      </c>
      <c r="E110" s="380">
        <v>187345.12</v>
      </c>
      <c r="F110" s="379">
        <v>43040</v>
      </c>
      <c r="G110" s="379">
        <v>43069</v>
      </c>
      <c r="H110" s="381">
        <f t="shared" si="12"/>
        <v>14.5</v>
      </c>
      <c r="I110" s="379">
        <v>43104</v>
      </c>
      <c r="J110" s="382">
        <f t="shared" si="13"/>
        <v>35</v>
      </c>
      <c r="K110" s="382">
        <f t="shared" si="9"/>
        <v>49.5</v>
      </c>
      <c r="L110" s="315">
        <f t="shared" si="10"/>
        <v>9273583.4399999995</v>
      </c>
      <c r="N110" s="383">
        <f t="shared" si="14"/>
        <v>14.5</v>
      </c>
      <c r="O110" s="383">
        <f t="shared" si="15"/>
        <v>35</v>
      </c>
      <c r="P110" s="383">
        <f t="shared" si="16"/>
        <v>49.5</v>
      </c>
      <c r="Q110" s="384">
        <f t="shared" si="17"/>
        <v>9273583.4399999995</v>
      </c>
    </row>
    <row r="111" spans="1:17">
      <c r="A111" s="377">
        <f t="shared" si="11"/>
        <v>97</v>
      </c>
      <c r="B111" s="378" t="s">
        <v>437</v>
      </c>
      <c r="C111" s="378" t="s">
        <v>431</v>
      </c>
      <c r="D111" s="379">
        <v>42758</v>
      </c>
      <c r="E111" s="380">
        <v>99</v>
      </c>
      <c r="F111" s="379">
        <v>42758</v>
      </c>
      <c r="G111" s="379"/>
      <c r="H111" s="381">
        <f t="shared" si="12"/>
        <v>0</v>
      </c>
      <c r="I111" s="379">
        <v>42769</v>
      </c>
      <c r="J111" s="382">
        <f t="shared" si="13"/>
        <v>11</v>
      </c>
      <c r="K111" s="382">
        <f t="shared" si="9"/>
        <v>11</v>
      </c>
      <c r="L111" s="315">
        <f t="shared" si="10"/>
        <v>1089</v>
      </c>
      <c r="N111" s="383">
        <f t="shared" si="14"/>
        <v>15</v>
      </c>
      <c r="O111" s="383">
        <f t="shared" si="15"/>
        <v>11</v>
      </c>
      <c r="P111" s="383">
        <f t="shared" si="16"/>
        <v>26</v>
      </c>
      <c r="Q111" s="384">
        <f t="shared" si="17"/>
        <v>2574</v>
      </c>
    </row>
    <row r="112" spans="1:17">
      <c r="A112" s="377">
        <f t="shared" si="11"/>
        <v>98</v>
      </c>
      <c r="B112" s="378" t="s">
        <v>438</v>
      </c>
      <c r="C112" s="378" t="s">
        <v>431</v>
      </c>
      <c r="D112" s="379">
        <v>43097</v>
      </c>
      <c r="E112" s="380">
        <v>49983</v>
      </c>
      <c r="F112" s="379">
        <v>43097</v>
      </c>
      <c r="G112" s="379"/>
      <c r="H112" s="381">
        <f t="shared" si="12"/>
        <v>0</v>
      </c>
      <c r="I112" s="379">
        <v>43129</v>
      </c>
      <c r="J112" s="382">
        <f t="shared" si="13"/>
        <v>32</v>
      </c>
      <c r="K112" s="382">
        <f t="shared" si="9"/>
        <v>32</v>
      </c>
      <c r="L112" s="315">
        <f t="shared" si="10"/>
        <v>1599456</v>
      </c>
      <c r="N112" s="383">
        <f t="shared" si="14"/>
        <v>15</v>
      </c>
      <c r="O112" s="383">
        <f t="shared" si="15"/>
        <v>32</v>
      </c>
      <c r="P112" s="383">
        <f t="shared" si="16"/>
        <v>47</v>
      </c>
      <c r="Q112" s="384">
        <f t="shared" si="17"/>
        <v>2349201</v>
      </c>
    </row>
    <row r="113" spans="1:17">
      <c r="A113" s="377">
        <f t="shared" si="11"/>
        <v>99</v>
      </c>
      <c r="B113" s="378" t="s">
        <v>439</v>
      </c>
      <c r="C113" s="378" t="s">
        <v>431</v>
      </c>
      <c r="D113" s="379">
        <v>42971</v>
      </c>
      <c r="E113" s="380">
        <v>47.76</v>
      </c>
      <c r="F113" s="379">
        <v>42971</v>
      </c>
      <c r="G113" s="379"/>
      <c r="H113" s="381">
        <f t="shared" si="12"/>
        <v>0</v>
      </c>
      <c r="I113" s="379">
        <v>42979</v>
      </c>
      <c r="J113" s="382">
        <f t="shared" si="13"/>
        <v>8</v>
      </c>
      <c r="K113" s="382">
        <f t="shared" si="9"/>
        <v>8</v>
      </c>
      <c r="L113" s="315">
        <f t="shared" si="10"/>
        <v>382.08</v>
      </c>
      <c r="N113" s="383">
        <f t="shared" si="14"/>
        <v>15</v>
      </c>
      <c r="O113" s="383">
        <f t="shared" si="15"/>
        <v>8</v>
      </c>
      <c r="P113" s="383">
        <f t="shared" si="16"/>
        <v>23</v>
      </c>
      <c r="Q113" s="384">
        <f t="shared" si="17"/>
        <v>1098.48</v>
      </c>
    </row>
    <row r="114" spans="1:17">
      <c r="A114" s="377">
        <f t="shared" si="11"/>
        <v>100</v>
      </c>
      <c r="B114" s="378" t="s">
        <v>440</v>
      </c>
      <c r="C114" s="378" t="s">
        <v>431</v>
      </c>
      <c r="D114" s="379">
        <v>42788</v>
      </c>
      <c r="E114" s="380">
        <v>56435.06</v>
      </c>
      <c r="F114" s="379">
        <v>42776</v>
      </c>
      <c r="G114" s="379">
        <v>42779</v>
      </c>
      <c r="H114" s="381">
        <f t="shared" si="12"/>
        <v>1.5</v>
      </c>
      <c r="I114" s="379">
        <v>42825</v>
      </c>
      <c r="J114" s="382">
        <f t="shared" si="13"/>
        <v>46</v>
      </c>
      <c r="K114" s="382">
        <f t="shared" si="9"/>
        <v>47.5</v>
      </c>
      <c r="L114" s="315">
        <f t="shared" si="10"/>
        <v>2680665.35</v>
      </c>
      <c r="N114" s="383">
        <f t="shared" si="14"/>
        <v>1.5</v>
      </c>
      <c r="O114" s="383">
        <f t="shared" si="15"/>
        <v>46</v>
      </c>
      <c r="P114" s="383">
        <f t="shared" si="16"/>
        <v>47.5</v>
      </c>
      <c r="Q114" s="384">
        <f t="shared" si="17"/>
        <v>2680665.35</v>
      </c>
    </row>
    <row r="115" spans="1:17">
      <c r="A115" s="377">
        <f t="shared" si="11"/>
        <v>101</v>
      </c>
      <c r="B115" s="378" t="s">
        <v>441</v>
      </c>
      <c r="C115" s="378" t="s">
        <v>431</v>
      </c>
      <c r="D115" s="379">
        <v>42895</v>
      </c>
      <c r="E115" s="380">
        <v>68.599999999999994</v>
      </c>
      <c r="F115" s="379">
        <v>42868</v>
      </c>
      <c r="G115" s="379"/>
      <c r="H115" s="381">
        <f t="shared" si="12"/>
        <v>0</v>
      </c>
      <c r="I115" s="379">
        <v>42907</v>
      </c>
      <c r="J115" s="382">
        <f t="shared" si="13"/>
        <v>39</v>
      </c>
      <c r="K115" s="382">
        <f t="shared" si="9"/>
        <v>39</v>
      </c>
      <c r="L115" s="315">
        <f t="shared" si="10"/>
        <v>2675.4</v>
      </c>
      <c r="N115" s="383">
        <f t="shared" si="14"/>
        <v>15</v>
      </c>
      <c r="O115" s="383">
        <f t="shared" si="15"/>
        <v>39</v>
      </c>
      <c r="P115" s="383">
        <f t="shared" si="16"/>
        <v>54</v>
      </c>
      <c r="Q115" s="384">
        <f t="shared" si="17"/>
        <v>3704.3999999999996</v>
      </c>
    </row>
    <row r="116" spans="1:17">
      <c r="A116" s="377">
        <f t="shared" si="11"/>
        <v>102</v>
      </c>
      <c r="B116" s="378" t="s">
        <v>442</v>
      </c>
      <c r="C116" s="378" t="s">
        <v>431</v>
      </c>
      <c r="D116" s="379">
        <v>43028</v>
      </c>
      <c r="E116" s="380">
        <v>63487.6</v>
      </c>
      <c r="F116" s="379">
        <v>43022</v>
      </c>
      <c r="G116" s="379"/>
      <c r="H116" s="381">
        <f t="shared" si="12"/>
        <v>0</v>
      </c>
      <c r="I116" s="379">
        <v>43059</v>
      </c>
      <c r="J116" s="382">
        <f t="shared" si="13"/>
        <v>37</v>
      </c>
      <c r="K116" s="382">
        <f t="shared" si="9"/>
        <v>37</v>
      </c>
      <c r="L116" s="315">
        <f t="shared" si="10"/>
        <v>2349041.2000000002</v>
      </c>
      <c r="N116" s="383">
        <f t="shared" si="14"/>
        <v>15</v>
      </c>
      <c r="O116" s="383">
        <f t="shared" si="15"/>
        <v>37</v>
      </c>
      <c r="P116" s="383">
        <f t="shared" si="16"/>
        <v>52</v>
      </c>
      <c r="Q116" s="384">
        <f t="shared" si="17"/>
        <v>3301355.1999999997</v>
      </c>
    </row>
    <row r="117" spans="1:17">
      <c r="A117" s="377">
        <f t="shared" si="11"/>
        <v>103</v>
      </c>
      <c r="B117" s="378" t="s">
        <v>442</v>
      </c>
      <c r="C117" s="378" t="s">
        <v>431</v>
      </c>
      <c r="D117" s="379">
        <v>42965</v>
      </c>
      <c r="E117" s="380">
        <v>53836.91</v>
      </c>
      <c r="F117" s="379">
        <v>42931</v>
      </c>
      <c r="G117" s="379"/>
      <c r="H117" s="381">
        <f t="shared" si="12"/>
        <v>0</v>
      </c>
      <c r="I117" s="379">
        <v>42996</v>
      </c>
      <c r="J117" s="382">
        <f t="shared" si="13"/>
        <v>65</v>
      </c>
      <c r="K117" s="382">
        <f t="shared" si="9"/>
        <v>65</v>
      </c>
      <c r="L117" s="315">
        <f t="shared" si="10"/>
        <v>3499399.15</v>
      </c>
      <c r="N117" s="383">
        <f t="shared" si="14"/>
        <v>15</v>
      </c>
      <c r="O117" s="383">
        <f t="shared" si="15"/>
        <v>65</v>
      </c>
      <c r="P117" s="383">
        <f t="shared" si="16"/>
        <v>80</v>
      </c>
      <c r="Q117" s="384">
        <f t="shared" si="17"/>
        <v>4306952.8000000007</v>
      </c>
    </row>
    <row r="118" spans="1:17">
      <c r="A118" s="377">
        <f t="shared" si="11"/>
        <v>104</v>
      </c>
      <c r="B118" s="378" t="s">
        <v>442</v>
      </c>
      <c r="C118" s="378" t="s">
        <v>431</v>
      </c>
      <c r="D118" s="379">
        <v>43082</v>
      </c>
      <c r="E118" s="380">
        <v>52868.4</v>
      </c>
      <c r="F118" s="379">
        <v>43057</v>
      </c>
      <c r="G118" s="379"/>
      <c r="H118" s="381">
        <f t="shared" si="12"/>
        <v>0</v>
      </c>
      <c r="I118" s="379">
        <v>43116</v>
      </c>
      <c r="J118" s="382">
        <f t="shared" si="13"/>
        <v>59</v>
      </c>
      <c r="K118" s="382">
        <f t="shared" si="9"/>
        <v>59</v>
      </c>
      <c r="L118" s="315">
        <f t="shared" si="10"/>
        <v>3119235.6</v>
      </c>
      <c r="N118" s="383">
        <f t="shared" si="14"/>
        <v>15</v>
      </c>
      <c r="O118" s="383">
        <f t="shared" si="15"/>
        <v>59</v>
      </c>
      <c r="P118" s="383">
        <f t="shared" si="16"/>
        <v>74</v>
      </c>
      <c r="Q118" s="384">
        <f t="shared" si="17"/>
        <v>3912261.6</v>
      </c>
    </row>
    <row r="119" spans="1:17">
      <c r="A119" s="377">
        <f t="shared" si="11"/>
        <v>105</v>
      </c>
      <c r="B119" s="378" t="s">
        <v>442</v>
      </c>
      <c r="C119" s="378" t="s">
        <v>431</v>
      </c>
      <c r="D119" s="379">
        <v>43082</v>
      </c>
      <c r="E119" s="380">
        <v>70963.399999999994</v>
      </c>
      <c r="F119" s="379">
        <v>43071</v>
      </c>
      <c r="G119" s="379"/>
      <c r="H119" s="381">
        <f t="shared" si="12"/>
        <v>0</v>
      </c>
      <c r="I119" s="379">
        <v>43116</v>
      </c>
      <c r="J119" s="382">
        <f t="shared" si="13"/>
        <v>45</v>
      </c>
      <c r="K119" s="382">
        <f t="shared" si="9"/>
        <v>45</v>
      </c>
      <c r="L119" s="315">
        <f t="shared" si="10"/>
        <v>3193353</v>
      </c>
      <c r="N119" s="383">
        <f t="shared" si="14"/>
        <v>15</v>
      </c>
      <c r="O119" s="383">
        <f t="shared" si="15"/>
        <v>45</v>
      </c>
      <c r="P119" s="383">
        <f t="shared" si="16"/>
        <v>60</v>
      </c>
      <c r="Q119" s="384">
        <f t="shared" si="17"/>
        <v>4257804</v>
      </c>
    </row>
    <row r="120" spans="1:17">
      <c r="A120" s="377">
        <f t="shared" si="11"/>
        <v>106</v>
      </c>
      <c r="B120" s="378" t="s">
        <v>433</v>
      </c>
      <c r="C120" s="378" t="s">
        <v>431</v>
      </c>
      <c r="D120" s="379">
        <v>43028</v>
      </c>
      <c r="E120" s="380">
        <v>15657.12</v>
      </c>
      <c r="F120" s="379">
        <v>42994</v>
      </c>
      <c r="G120" s="379"/>
      <c r="H120" s="381">
        <f t="shared" si="12"/>
        <v>0</v>
      </c>
      <c r="I120" s="379">
        <v>43059</v>
      </c>
      <c r="J120" s="382">
        <f t="shared" si="13"/>
        <v>65</v>
      </c>
      <c r="K120" s="382">
        <f t="shared" si="9"/>
        <v>65</v>
      </c>
      <c r="L120" s="315">
        <f t="shared" si="10"/>
        <v>1017712.8</v>
      </c>
      <c r="N120" s="383">
        <f t="shared" si="14"/>
        <v>15</v>
      </c>
      <c r="O120" s="383">
        <f t="shared" si="15"/>
        <v>65</v>
      </c>
      <c r="P120" s="383">
        <f t="shared" si="16"/>
        <v>80</v>
      </c>
      <c r="Q120" s="384">
        <f t="shared" si="17"/>
        <v>1252569.6000000001</v>
      </c>
    </row>
    <row r="121" spans="1:17">
      <c r="A121" s="377">
        <f t="shared" si="11"/>
        <v>107</v>
      </c>
      <c r="B121" s="378" t="s">
        <v>433</v>
      </c>
      <c r="C121" s="378" t="s">
        <v>431</v>
      </c>
      <c r="D121" s="379">
        <v>43054</v>
      </c>
      <c r="E121" s="380">
        <v>54190.19</v>
      </c>
      <c r="F121" s="379">
        <v>43043</v>
      </c>
      <c r="G121" s="379"/>
      <c r="H121" s="381">
        <f t="shared" si="12"/>
        <v>0</v>
      </c>
      <c r="I121" s="379">
        <v>43087</v>
      </c>
      <c r="J121" s="382">
        <f t="shared" si="13"/>
        <v>44</v>
      </c>
      <c r="K121" s="382">
        <f t="shared" si="9"/>
        <v>44</v>
      </c>
      <c r="L121" s="315">
        <f t="shared" si="10"/>
        <v>2384368.36</v>
      </c>
      <c r="N121" s="383">
        <f t="shared" si="14"/>
        <v>15</v>
      </c>
      <c r="O121" s="383">
        <f t="shared" si="15"/>
        <v>44</v>
      </c>
      <c r="P121" s="383">
        <f t="shared" si="16"/>
        <v>59</v>
      </c>
      <c r="Q121" s="384">
        <f t="shared" si="17"/>
        <v>3197221.21</v>
      </c>
    </row>
    <row r="122" spans="1:17">
      <c r="A122" s="377">
        <f t="shared" si="11"/>
        <v>108</v>
      </c>
      <c r="B122" s="378" t="s">
        <v>443</v>
      </c>
      <c r="C122" s="378" t="s">
        <v>431</v>
      </c>
      <c r="D122" s="379">
        <v>42927</v>
      </c>
      <c r="E122" s="380">
        <v>144910.19</v>
      </c>
      <c r="F122" s="379">
        <v>42910</v>
      </c>
      <c r="G122" s="379"/>
      <c r="H122" s="381">
        <f t="shared" si="12"/>
        <v>0</v>
      </c>
      <c r="I122" s="379">
        <v>42958</v>
      </c>
      <c r="J122" s="382">
        <f t="shared" si="13"/>
        <v>48</v>
      </c>
      <c r="K122" s="382">
        <f t="shared" si="9"/>
        <v>48</v>
      </c>
      <c r="L122" s="315">
        <f t="shared" si="10"/>
        <v>6955689.1200000001</v>
      </c>
      <c r="N122" s="383">
        <f t="shared" si="14"/>
        <v>15</v>
      </c>
      <c r="O122" s="383">
        <f t="shared" si="15"/>
        <v>48</v>
      </c>
      <c r="P122" s="383">
        <f t="shared" si="16"/>
        <v>63</v>
      </c>
      <c r="Q122" s="384">
        <f t="shared" si="17"/>
        <v>9129341.9700000007</v>
      </c>
    </row>
    <row r="123" spans="1:17">
      <c r="A123" s="377">
        <f t="shared" si="11"/>
        <v>109</v>
      </c>
      <c r="B123" s="378" t="s">
        <v>443</v>
      </c>
      <c r="C123" s="378" t="s">
        <v>431</v>
      </c>
      <c r="D123" s="379">
        <v>42935</v>
      </c>
      <c r="E123" s="380">
        <v>196060.13</v>
      </c>
      <c r="F123" s="379">
        <v>42931</v>
      </c>
      <c r="G123" s="379"/>
      <c r="H123" s="381">
        <f t="shared" si="12"/>
        <v>0</v>
      </c>
      <c r="I123" s="379">
        <v>42968</v>
      </c>
      <c r="J123" s="382">
        <f t="shared" si="13"/>
        <v>37</v>
      </c>
      <c r="K123" s="382">
        <f t="shared" si="9"/>
        <v>37</v>
      </c>
      <c r="L123" s="315">
        <f t="shared" si="10"/>
        <v>7254224.8099999996</v>
      </c>
      <c r="N123" s="383">
        <f t="shared" si="14"/>
        <v>15</v>
      </c>
      <c r="O123" s="383">
        <f t="shared" si="15"/>
        <v>37</v>
      </c>
      <c r="P123" s="383">
        <f t="shared" si="16"/>
        <v>52</v>
      </c>
      <c r="Q123" s="384">
        <f t="shared" si="17"/>
        <v>10195126.76</v>
      </c>
    </row>
    <row r="124" spans="1:17">
      <c r="A124" s="377">
        <f t="shared" si="11"/>
        <v>110</v>
      </c>
      <c r="B124" s="378" t="s">
        <v>443</v>
      </c>
      <c r="C124" s="378" t="s">
        <v>431</v>
      </c>
      <c r="D124" s="379">
        <v>42954</v>
      </c>
      <c r="E124" s="380">
        <v>181156.18</v>
      </c>
      <c r="F124" s="379">
        <v>42945</v>
      </c>
      <c r="G124" s="379"/>
      <c r="H124" s="381">
        <f t="shared" si="12"/>
        <v>0</v>
      </c>
      <c r="I124" s="379">
        <v>42985</v>
      </c>
      <c r="J124" s="382">
        <f t="shared" si="13"/>
        <v>40</v>
      </c>
      <c r="K124" s="382">
        <f t="shared" si="9"/>
        <v>40</v>
      </c>
      <c r="L124" s="315">
        <f t="shared" si="10"/>
        <v>7246247.2000000002</v>
      </c>
      <c r="N124" s="383">
        <f t="shared" si="14"/>
        <v>15</v>
      </c>
      <c r="O124" s="383">
        <f t="shared" si="15"/>
        <v>40</v>
      </c>
      <c r="P124" s="383">
        <f t="shared" si="16"/>
        <v>55</v>
      </c>
      <c r="Q124" s="384">
        <f t="shared" si="17"/>
        <v>9963589.9000000004</v>
      </c>
    </row>
    <row r="125" spans="1:17">
      <c r="A125" s="377">
        <f t="shared" si="11"/>
        <v>111</v>
      </c>
      <c r="B125" s="378" t="s">
        <v>444</v>
      </c>
      <c r="C125" s="378" t="s">
        <v>445</v>
      </c>
      <c r="D125" s="379">
        <v>43007</v>
      </c>
      <c r="E125" s="380">
        <v>-703</v>
      </c>
      <c r="F125" s="379">
        <v>42879</v>
      </c>
      <c r="G125" s="379"/>
      <c r="H125" s="381">
        <f t="shared" si="12"/>
        <v>0</v>
      </c>
      <c r="I125" s="379">
        <v>43038</v>
      </c>
      <c r="J125" s="382">
        <f t="shared" si="13"/>
        <v>159</v>
      </c>
      <c r="K125" s="382">
        <f t="shared" si="9"/>
        <v>159</v>
      </c>
      <c r="L125" s="315">
        <f t="shared" si="10"/>
        <v>-111777</v>
      </c>
      <c r="N125" s="383">
        <f t="shared" si="14"/>
        <v>15</v>
      </c>
      <c r="O125" s="383">
        <f t="shared" si="15"/>
        <v>159</v>
      </c>
      <c r="P125" s="383">
        <f t="shared" si="16"/>
        <v>174</v>
      </c>
      <c r="Q125" s="384">
        <f t="shared" si="17"/>
        <v>-122322</v>
      </c>
    </row>
    <row r="126" spans="1:17">
      <c r="A126" s="377">
        <f t="shared" si="11"/>
        <v>112</v>
      </c>
      <c r="B126" s="378" t="s">
        <v>446</v>
      </c>
      <c r="C126" s="378" t="s">
        <v>445</v>
      </c>
      <c r="D126" s="379">
        <v>42794</v>
      </c>
      <c r="E126" s="380">
        <v>99758.81</v>
      </c>
      <c r="F126" s="379">
        <v>42769</v>
      </c>
      <c r="G126" s="379"/>
      <c r="H126" s="381">
        <f t="shared" si="12"/>
        <v>0</v>
      </c>
      <c r="I126" s="379">
        <v>42825</v>
      </c>
      <c r="J126" s="382">
        <f t="shared" si="13"/>
        <v>56</v>
      </c>
      <c r="K126" s="382">
        <f t="shared" si="9"/>
        <v>56</v>
      </c>
      <c r="L126" s="315">
        <f t="shared" si="10"/>
        <v>5586493.3600000003</v>
      </c>
      <c r="N126" s="383">
        <f t="shared" si="14"/>
        <v>15</v>
      </c>
      <c r="O126" s="383">
        <f t="shared" si="15"/>
        <v>56</v>
      </c>
      <c r="P126" s="383">
        <f t="shared" si="16"/>
        <v>71</v>
      </c>
      <c r="Q126" s="384">
        <f t="shared" si="17"/>
        <v>7082875.5099999998</v>
      </c>
    </row>
    <row r="127" spans="1:17">
      <c r="A127" s="377">
        <f t="shared" si="11"/>
        <v>113</v>
      </c>
      <c r="B127" s="378" t="s">
        <v>447</v>
      </c>
      <c r="C127" s="378" t="s">
        <v>445</v>
      </c>
      <c r="D127" s="379">
        <v>43084</v>
      </c>
      <c r="E127" s="380">
        <v>60752</v>
      </c>
      <c r="F127" s="379">
        <v>43084</v>
      </c>
      <c r="G127" s="379"/>
      <c r="H127" s="381">
        <f t="shared" si="12"/>
        <v>0</v>
      </c>
      <c r="I127" s="379">
        <v>43116</v>
      </c>
      <c r="J127" s="382">
        <f t="shared" si="13"/>
        <v>32</v>
      </c>
      <c r="K127" s="382">
        <f t="shared" si="9"/>
        <v>32</v>
      </c>
      <c r="L127" s="315">
        <f t="shared" si="10"/>
        <v>1944064</v>
      </c>
      <c r="N127" s="383">
        <f t="shared" si="14"/>
        <v>15</v>
      </c>
      <c r="O127" s="383">
        <f t="shared" si="15"/>
        <v>32</v>
      </c>
      <c r="P127" s="383">
        <f t="shared" si="16"/>
        <v>47</v>
      </c>
      <c r="Q127" s="384">
        <f t="shared" si="17"/>
        <v>2855344</v>
      </c>
    </row>
    <row r="128" spans="1:17">
      <c r="A128" s="377">
        <f t="shared" si="11"/>
        <v>114</v>
      </c>
      <c r="B128" s="378" t="s">
        <v>448</v>
      </c>
      <c r="C128" s="378" t="s">
        <v>445</v>
      </c>
      <c r="D128" s="379">
        <v>42840</v>
      </c>
      <c r="E128" s="380">
        <v>2052.62</v>
      </c>
      <c r="F128" s="379">
        <v>42840</v>
      </c>
      <c r="G128" s="379"/>
      <c r="H128" s="381">
        <f t="shared" si="12"/>
        <v>0</v>
      </c>
      <c r="I128" s="379">
        <v>42856</v>
      </c>
      <c r="J128" s="382">
        <f t="shared" si="13"/>
        <v>16</v>
      </c>
      <c r="K128" s="382">
        <f t="shared" si="9"/>
        <v>16</v>
      </c>
      <c r="L128" s="315">
        <f t="shared" si="10"/>
        <v>32841.919999999998</v>
      </c>
      <c r="N128" s="383">
        <f t="shared" si="14"/>
        <v>15</v>
      </c>
      <c r="O128" s="383">
        <f t="shared" si="15"/>
        <v>16</v>
      </c>
      <c r="P128" s="383">
        <f t="shared" si="16"/>
        <v>31</v>
      </c>
      <c r="Q128" s="384">
        <f t="shared" si="17"/>
        <v>63631.219999999994</v>
      </c>
    </row>
    <row r="129" spans="1:17">
      <c r="A129" s="377">
        <f t="shared" si="11"/>
        <v>115</v>
      </c>
      <c r="B129" s="378" t="s">
        <v>448</v>
      </c>
      <c r="C129" s="378" t="s">
        <v>445</v>
      </c>
      <c r="D129" s="379">
        <v>42994</v>
      </c>
      <c r="E129" s="380">
        <v>34.590000000000003</v>
      </c>
      <c r="F129" s="379">
        <v>42994</v>
      </c>
      <c r="G129" s="379"/>
      <c r="H129" s="381">
        <f t="shared" si="12"/>
        <v>0</v>
      </c>
      <c r="I129" s="379">
        <v>43010</v>
      </c>
      <c r="J129" s="382">
        <f t="shared" si="13"/>
        <v>16</v>
      </c>
      <c r="K129" s="382">
        <f t="shared" si="9"/>
        <v>16</v>
      </c>
      <c r="L129" s="315">
        <f t="shared" si="10"/>
        <v>553.44000000000005</v>
      </c>
      <c r="N129" s="383">
        <f t="shared" si="14"/>
        <v>15</v>
      </c>
      <c r="O129" s="383">
        <f t="shared" si="15"/>
        <v>16</v>
      </c>
      <c r="P129" s="383">
        <f t="shared" si="16"/>
        <v>31</v>
      </c>
      <c r="Q129" s="384">
        <f t="shared" si="17"/>
        <v>1072.2900000000002</v>
      </c>
    </row>
    <row r="130" spans="1:17">
      <c r="A130" s="377">
        <f t="shared" si="11"/>
        <v>116</v>
      </c>
      <c r="B130" s="378" t="s">
        <v>449</v>
      </c>
      <c r="C130" s="378" t="s">
        <v>445</v>
      </c>
      <c r="D130" s="379">
        <v>42915</v>
      </c>
      <c r="E130" s="380">
        <v>1877.83</v>
      </c>
      <c r="F130" s="379">
        <v>42907</v>
      </c>
      <c r="G130" s="379"/>
      <c r="H130" s="381">
        <f t="shared" si="12"/>
        <v>0</v>
      </c>
      <c r="I130" s="379">
        <v>42947</v>
      </c>
      <c r="J130" s="382">
        <f t="shared" si="13"/>
        <v>40</v>
      </c>
      <c r="K130" s="382">
        <f t="shared" si="9"/>
        <v>40</v>
      </c>
      <c r="L130" s="315">
        <f t="shared" si="10"/>
        <v>75113.2</v>
      </c>
      <c r="N130" s="383">
        <f t="shared" si="14"/>
        <v>15</v>
      </c>
      <c r="O130" s="383">
        <f t="shared" si="15"/>
        <v>40</v>
      </c>
      <c r="P130" s="383">
        <f t="shared" si="16"/>
        <v>55</v>
      </c>
      <c r="Q130" s="384">
        <f t="shared" si="17"/>
        <v>103280.65</v>
      </c>
    </row>
    <row r="131" spans="1:17">
      <c r="A131" s="377">
        <f t="shared" si="11"/>
        <v>117</v>
      </c>
      <c r="B131" s="378" t="s">
        <v>450</v>
      </c>
      <c r="C131" s="378" t="s">
        <v>445</v>
      </c>
      <c r="D131" s="379">
        <v>42855</v>
      </c>
      <c r="E131" s="380">
        <v>78842.210000000006</v>
      </c>
      <c r="F131" s="379">
        <v>42842</v>
      </c>
      <c r="G131" s="379">
        <v>42848</v>
      </c>
      <c r="H131" s="381">
        <f t="shared" si="12"/>
        <v>3</v>
      </c>
      <c r="I131" s="379">
        <v>42871</v>
      </c>
      <c r="J131" s="382">
        <f t="shared" si="13"/>
        <v>23</v>
      </c>
      <c r="K131" s="382">
        <f t="shared" si="9"/>
        <v>26</v>
      </c>
      <c r="L131" s="315">
        <f t="shared" si="10"/>
        <v>2049897.46</v>
      </c>
      <c r="N131" s="383">
        <f t="shared" si="14"/>
        <v>3</v>
      </c>
      <c r="O131" s="383">
        <f t="shared" si="15"/>
        <v>23</v>
      </c>
      <c r="P131" s="383">
        <f t="shared" si="16"/>
        <v>26</v>
      </c>
      <c r="Q131" s="384">
        <f t="shared" si="17"/>
        <v>2049897.4600000002</v>
      </c>
    </row>
    <row r="132" spans="1:17">
      <c r="A132" s="377">
        <f t="shared" si="11"/>
        <v>118</v>
      </c>
      <c r="B132" s="378" t="s">
        <v>450</v>
      </c>
      <c r="C132" s="378" t="s">
        <v>445</v>
      </c>
      <c r="D132" s="379">
        <v>42855</v>
      </c>
      <c r="E132" s="380">
        <v>109506.39</v>
      </c>
      <c r="F132" s="379">
        <v>42849</v>
      </c>
      <c r="G132" s="379">
        <v>42855</v>
      </c>
      <c r="H132" s="381">
        <f t="shared" si="12"/>
        <v>3</v>
      </c>
      <c r="I132" s="379">
        <v>42886</v>
      </c>
      <c r="J132" s="382">
        <f t="shared" si="13"/>
        <v>31</v>
      </c>
      <c r="K132" s="382">
        <f t="shared" si="9"/>
        <v>34</v>
      </c>
      <c r="L132" s="315">
        <f t="shared" si="10"/>
        <v>3723217.26</v>
      </c>
      <c r="N132" s="383">
        <f t="shared" si="14"/>
        <v>3</v>
      </c>
      <c r="O132" s="383">
        <f t="shared" si="15"/>
        <v>31</v>
      </c>
      <c r="P132" s="383">
        <f t="shared" si="16"/>
        <v>34</v>
      </c>
      <c r="Q132" s="384">
        <f t="shared" si="17"/>
        <v>3723217.26</v>
      </c>
    </row>
    <row r="133" spans="1:17">
      <c r="A133" s="377">
        <f t="shared" si="11"/>
        <v>119</v>
      </c>
      <c r="B133" s="378" t="s">
        <v>451</v>
      </c>
      <c r="C133" s="378" t="s">
        <v>445</v>
      </c>
      <c r="D133" s="379">
        <v>42886</v>
      </c>
      <c r="E133" s="380">
        <v>107370.14</v>
      </c>
      <c r="F133" s="379">
        <v>42843</v>
      </c>
      <c r="G133" s="379">
        <v>42854</v>
      </c>
      <c r="H133" s="381">
        <f t="shared" si="12"/>
        <v>5.5</v>
      </c>
      <c r="I133" s="379">
        <v>42919</v>
      </c>
      <c r="J133" s="382">
        <f t="shared" si="13"/>
        <v>65</v>
      </c>
      <c r="K133" s="382">
        <f t="shared" si="9"/>
        <v>70.5</v>
      </c>
      <c r="L133" s="315">
        <f t="shared" si="10"/>
        <v>7569594.8700000001</v>
      </c>
      <c r="N133" s="383">
        <f t="shared" si="14"/>
        <v>5.5</v>
      </c>
      <c r="O133" s="383">
        <f t="shared" si="15"/>
        <v>65</v>
      </c>
      <c r="P133" s="383">
        <f t="shared" si="16"/>
        <v>70.5</v>
      </c>
      <c r="Q133" s="384">
        <f t="shared" si="17"/>
        <v>7569594.8700000001</v>
      </c>
    </row>
    <row r="134" spans="1:17">
      <c r="A134" s="377">
        <f t="shared" si="11"/>
        <v>120</v>
      </c>
      <c r="B134" s="378" t="s">
        <v>452</v>
      </c>
      <c r="C134" s="378" t="s">
        <v>445</v>
      </c>
      <c r="D134" s="379">
        <v>43076</v>
      </c>
      <c r="E134" s="380">
        <v>146756.53</v>
      </c>
      <c r="F134" s="379">
        <v>42989</v>
      </c>
      <c r="G134" s="379">
        <v>43070</v>
      </c>
      <c r="H134" s="381">
        <f t="shared" si="12"/>
        <v>40.5</v>
      </c>
      <c r="I134" s="379">
        <v>43108</v>
      </c>
      <c r="J134" s="382">
        <f t="shared" si="13"/>
        <v>38</v>
      </c>
      <c r="K134" s="382">
        <f t="shared" si="9"/>
        <v>78.5</v>
      </c>
      <c r="L134" s="315">
        <f t="shared" si="10"/>
        <v>11520387.609999999</v>
      </c>
      <c r="N134" s="383">
        <f t="shared" si="14"/>
        <v>40.5</v>
      </c>
      <c r="O134" s="383">
        <f t="shared" si="15"/>
        <v>38</v>
      </c>
      <c r="P134" s="383">
        <f t="shared" si="16"/>
        <v>78.5</v>
      </c>
      <c r="Q134" s="384">
        <f t="shared" si="17"/>
        <v>11520387.605</v>
      </c>
    </row>
    <row r="135" spans="1:17">
      <c r="A135" s="377">
        <f t="shared" si="11"/>
        <v>121</v>
      </c>
      <c r="B135" s="378" t="s">
        <v>453</v>
      </c>
      <c r="C135" s="378" t="s">
        <v>445</v>
      </c>
      <c r="D135" s="379">
        <v>42851</v>
      </c>
      <c r="E135" s="380">
        <v>78400</v>
      </c>
      <c r="F135" s="379">
        <v>42845</v>
      </c>
      <c r="G135" s="379">
        <v>42850</v>
      </c>
      <c r="H135" s="381">
        <f t="shared" si="12"/>
        <v>2.5</v>
      </c>
      <c r="I135" s="379">
        <v>42885</v>
      </c>
      <c r="J135" s="382">
        <f t="shared" si="13"/>
        <v>35</v>
      </c>
      <c r="K135" s="382">
        <f t="shared" si="9"/>
        <v>37.5</v>
      </c>
      <c r="L135" s="315">
        <f t="shared" si="10"/>
        <v>2940000</v>
      </c>
      <c r="N135" s="383">
        <f t="shared" si="14"/>
        <v>2.5</v>
      </c>
      <c r="O135" s="383">
        <f t="shared" si="15"/>
        <v>35</v>
      </c>
      <c r="P135" s="383">
        <f t="shared" si="16"/>
        <v>37.5</v>
      </c>
      <c r="Q135" s="384">
        <f t="shared" si="17"/>
        <v>2940000</v>
      </c>
    </row>
    <row r="136" spans="1:17">
      <c r="A136" s="377">
        <f t="shared" si="11"/>
        <v>122</v>
      </c>
      <c r="B136" s="378" t="s">
        <v>450</v>
      </c>
      <c r="C136" s="378" t="s">
        <v>445</v>
      </c>
      <c r="D136" s="379">
        <v>42855</v>
      </c>
      <c r="E136" s="380">
        <v>544.75</v>
      </c>
      <c r="F136" s="379">
        <v>42818</v>
      </c>
      <c r="G136" s="379"/>
      <c r="H136" s="381">
        <f t="shared" si="12"/>
        <v>0</v>
      </c>
      <c r="I136" s="379">
        <v>42871</v>
      </c>
      <c r="J136" s="382">
        <f t="shared" si="13"/>
        <v>53</v>
      </c>
      <c r="K136" s="382">
        <f t="shared" si="9"/>
        <v>53</v>
      </c>
      <c r="L136" s="315">
        <f t="shared" si="10"/>
        <v>28871.75</v>
      </c>
      <c r="N136" s="383">
        <f t="shared" si="14"/>
        <v>15</v>
      </c>
      <c r="O136" s="383">
        <f t="shared" si="15"/>
        <v>53</v>
      </c>
      <c r="P136" s="383">
        <f t="shared" si="16"/>
        <v>68</v>
      </c>
      <c r="Q136" s="384">
        <f t="shared" si="17"/>
        <v>37043</v>
      </c>
    </row>
    <row r="137" spans="1:17">
      <c r="A137" s="377">
        <f t="shared" si="11"/>
        <v>123</v>
      </c>
      <c r="B137" s="378" t="s">
        <v>454</v>
      </c>
      <c r="C137" s="378" t="s">
        <v>445</v>
      </c>
      <c r="D137" s="379">
        <v>43077</v>
      </c>
      <c r="E137" s="380">
        <v>250157.25</v>
      </c>
      <c r="F137" s="379">
        <v>43077</v>
      </c>
      <c r="G137" s="379"/>
      <c r="H137" s="381">
        <f t="shared" si="12"/>
        <v>0</v>
      </c>
      <c r="I137" s="379">
        <v>43108</v>
      </c>
      <c r="J137" s="382">
        <f t="shared" si="13"/>
        <v>31</v>
      </c>
      <c r="K137" s="382">
        <f t="shared" si="9"/>
        <v>31</v>
      </c>
      <c r="L137" s="315">
        <f t="shared" si="10"/>
        <v>7754874.75</v>
      </c>
      <c r="N137" s="383">
        <f t="shared" si="14"/>
        <v>15</v>
      </c>
      <c r="O137" s="383">
        <f t="shared" si="15"/>
        <v>31</v>
      </c>
      <c r="P137" s="383">
        <f t="shared" si="16"/>
        <v>46</v>
      </c>
      <c r="Q137" s="384">
        <f t="shared" si="17"/>
        <v>11507233.5</v>
      </c>
    </row>
    <row r="138" spans="1:17">
      <c r="A138" s="377">
        <f t="shared" si="11"/>
        <v>124</v>
      </c>
      <c r="B138" s="378" t="s">
        <v>454</v>
      </c>
      <c r="C138" s="378" t="s">
        <v>445</v>
      </c>
      <c r="D138" s="379">
        <v>43088</v>
      </c>
      <c r="E138" s="380">
        <v>82792.75</v>
      </c>
      <c r="F138" s="379">
        <v>43085</v>
      </c>
      <c r="G138" s="379"/>
      <c r="H138" s="381">
        <f t="shared" si="12"/>
        <v>0</v>
      </c>
      <c r="I138" s="379">
        <v>43119</v>
      </c>
      <c r="J138" s="382">
        <f t="shared" si="13"/>
        <v>34</v>
      </c>
      <c r="K138" s="382">
        <f t="shared" si="9"/>
        <v>34</v>
      </c>
      <c r="L138" s="315">
        <f t="shared" si="10"/>
        <v>2814953.5</v>
      </c>
      <c r="N138" s="383">
        <f t="shared" si="14"/>
        <v>15</v>
      </c>
      <c r="O138" s="383">
        <f t="shared" si="15"/>
        <v>34</v>
      </c>
      <c r="P138" s="383">
        <f t="shared" si="16"/>
        <v>49</v>
      </c>
      <c r="Q138" s="384">
        <f t="shared" si="17"/>
        <v>4056844.75</v>
      </c>
    </row>
    <row r="139" spans="1:17">
      <c r="A139" s="377">
        <f t="shared" si="11"/>
        <v>125</v>
      </c>
      <c r="B139" s="378" t="s">
        <v>434</v>
      </c>
      <c r="C139" s="378" t="s">
        <v>445</v>
      </c>
      <c r="D139" s="379">
        <v>42965</v>
      </c>
      <c r="E139" s="380">
        <v>2025.82</v>
      </c>
      <c r="F139" s="379">
        <v>42954</v>
      </c>
      <c r="G139" s="379">
        <v>42955</v>
      </c>
      <c r="H139" s="381">
        <f t="shared" si="12"/>
        <v>0.5</v>
      </c>
      <c r="I139" s="379">
        <v>42996</v>
      </c>
      <c r="J139" s="382">
        <f t="shared" si="13"/>
        <v>41</v>
      </c>
      <c r="K139" s="382">
        <f t="shared" si="9"/>
        <v>41.5</v>
      </c>
      <c r="L139" s="315">
        <f t="shared" si="10"/>
        <v>84071.53</v>
      </c>
      <c r="N139" s="383">
        <f t="shared" si="14"/>
        <v>0.5</v>
      </c>
      <c r="O139" s="383">
        <f t="shared" si="15"/>
        <v>41</v>
      </c>
      <c r="P139" s="383">
        <f t="shared" si="16"/>
        <v>41.5</v>
      </c>
      <c r="Q139" s="384">
        <f t="shared" si="17"/>
        <v>84071.53</v>
      </c>
    </row>
    <row r="140" spans="1:17">
      <c r="A140" s="377">
        <f t="shared" si="11"/>
        <v>126</v>
      </c>
      <c r="B140" s="378" t="s">
        <v>434</v>
      </c>
      <c r="C140" s="378" t="s">
        <v>445</v>
      </c>
      <c r="D140" s="379">
        <v>42794</v>
      </c>
      <c r="E140" s="380">
        <v>1161.54</v>
      </c>
      <c r="F140" s="379">
        <v>42781</v>
      </c>
      <c r="G140" s="379"/>
      <c r="H140" s="381">
        <f t="shared" si="12"/>
        <v>0</v>
      </c>
      <c r="I140" s="379">
        <v>42825</v>
      </c>
      <c r="J140" s="382">
        <f t="shared" si="13"/>
        <v>44</v>
      </c>
      <c r="K140" s="382">
        <f t="shared" si="9"/>
        <v>44</v>
      </c>
      <c r="L140" s="315">
        <f t="shared" si="10"/>
        <v>51107.76</v>
      </c>
      <c r="N140" s="383">
        <f t="shared" si="14"/>
        <v>15</v>
      </c>
      <c r="O140" s="383">
        <f t="shared" si="15"/>
        <v>44</v>
      </c>
      <c r="P140" s="383">
        <f t="shared" si="16"/>
        <v>59</v>
      </c>
      <c r="Q140" s="384">
        <f t="shared" si="17"/>
        <v>68530.86</v>
      </c>
    </row>
    <row r="141" spans="1:17">
      <c r="A141" s="377">
        <f t="shared" si="11"/>
        <v>127</v>
      </c>
      <c r="B141" s="378" t="s">
        <v>455</v>
      </c>
      <c r="C141" s="378" t="s">
        <v>445</v>
      </c>
      <c r="D141" s="379">
        <v>42971</v>
      </c>
      <c r="E141" s="380">
        <v>1339.5</v>
      </c>
      <c r="F141" s="379">
        <v>42971</v>
      </c>
      <c r="G141" s="379"/>
      <c r="H141" s="381">
        <f t="shared" si="12"/>
        <v>0</v>
      </c>
      <c r="I141" s="379">
        <v>43003</v>
      </c>
      <c r="J141" s="382">
        <f t="shared" si="13"/>
        <v>32</v>
      </c>
      <c r="K141" s="382">
        <f t="shared" si="9"/>
        <v>32</v>
      </c>
      <c r="L141" s="315">
        <f t="shared" si="10"/>
        <v>42864</v>
      </c>
      <c r="N141" s="383">
        <f t="shared" si="14"/>
        <v>15</v>
      </c>
      <c r="O141" s="383">
        <f t="shared" si="15"/>
        <v>32</v>
      </c>
      <c r="P141" s="383">
        <f t="shared" si="16"/>
        <v>47</v>
      </c>
      <c r="Q141" s="384">
        <f t="shared" si="17"/>
        <v>62956.5</v>
      </c>
    </row>
    <row r="142" spans="1:17">
      <c r="A142" s="377">
        <f t="shared" si="11"/>
        <v>128</v>
      </c>
      <c r="B142" s="378" t="s">
        <v>456</v>
      </c>
      <c r="C142" s="378" t="s">
        <v>445</v>
      </c>
      <c r="D142" s="379">
        <v>42853</v>
      </c>
      <c r="E142" s="380">
        <v>102598.69</v>
      </c>
      <c r="F142" s="379">
        <v>42804</v>
      </c>
      <c r="G142" s="379">
        <v>42818</v>
      </c>
      <c r="H142" s="381">
        <f t="shared" si="12"/>
        <v>7</v>
      </c>
      <c r="I142" s="379">
        <v>42887</v>
      </c>
      <c r="J142" s="382">
        <f t="shared" si="13"/>
        <v>69</v>
      </c>
      <c r="K142" s="382">
        <f t="shared" si="9"/>
        <v>76</v>
      </c>
      <c r="L142" s="315">
        <f t="shared" si="10"/>
        <v>7797500.4400000004</v>
      </c>
      <c r="N142" s="383">
        <f t="shared" si="14"/>
        <v>7</v>
      </c>
      <c r="O142" s="383">
        <f t="shared" si="15"/>
        <v>69</v>
      </c>
      <c r="P142" s="383">
        <f t="shared" si="16"/>
        <v>76</v>
      </c>
      <c r="Q142" s="384">
        <f t="shared" si="17"/>
        <v>7797500.4400000004</v>
      </c>
    </row>
    <row r="143" spans="1:17">
      <c r="A143" s="377">
        <f t="shared" si="11"/>
        <v>129</v>
      </c>
      <c r="B143" s="378" t="s">
        <v>439</v>
      </c>
      <c r="C143" s="378" t="s">
        <v>445</v>
      </c>
      <c r="D143" s="379">
        <v>42843</v>
      </c>
      <c r="E143" s="380">
        <v>65369.930000000008</v>
      </c>
      <c r="F143" s="379">
        <v>42843</v>
      </c>
      <c r="G143" s="379"/>
      <c r="H143" s="381">
        <f t="shared" si="12"/>
        <v>0</v>
      </c>
      <c r="I143" s="379">
        <v>42856</v>
      </c>
      <c r="J143" s="382">
        <f t="shared" si="13"/>
        <v>13</v>
      </c>
      <c r="K143" s="382">
        <f t="shared" ref="K143:K206" si="18">H143+J143</f>
        <v>13</v>
      </c>
      <c r="L143" s="315">
        <f t="shared" ref="L143:L206" si="19">ROUND(E143*K143,2)</f>
        <v>849809.09</v>
      </c>
      <c r="N143" s="383">
        <f t="shared" si="14"/>
        <v>15</v>
      </c>
      <c r="O143" s="383">
        <f t="shared" si="15"/>
        <v>13</v>
      </c>
      <c r="P143" s="383">
        <f t="shared" si="16"/>
        <v>28</v>
      </c>
      <c r="Q143" s="384">
        <f t="shared" si="17"/>
        <v>1830358.0400000003</v>
      </c>
    </row>
    <row r="144" spans="1:17">
      <c r="A144" s="377">
        <f t="shared" ref="A144:A207" si="20">A143+1</f>
        <v>130</v>
      </c>
      <c r="B144" s="378" t="s">
        <v>457</v>
      </c>
      <c r="C144" s="378" t="s">
        <v>445</v>
      </c>
      <c r="D144" s="379">
        <v>42825</v>
      </c>
      <c r="E144" s="380">
        <v>68000</v>
      </c>
      <c r="F144" s="379">
        <v>42825</v>
      </c>
      <c r="G144" s="379"/>
      <c r="H144" s="381">
        <f t="shared" ref="H144:H207" si="21">IF(G144="",0,(G144-F144)/2)</f>
        <v>0</v>
      </c>
      <c r="I144" s="379">
        <v>42856</v>
      </c>
      <c r="J144" s="382">
        <f t="shared" ref="J144:J207" si="22">IF(G144="",I144-F144,I144-G144)</f>
        <v>31</v>
      </c>
      <c r="K144" s="382">
        <f t="shared" si="18"/>
        <v>31</v>
      </c>
      <c r="L144" s="315">
        <f t="shared" si="19"/>
        <v>2108000</v>
      </c>
      <c r="N144" s="383">
        <f t="shared" ref="N144:N207" si="23">IF(G144="",30/2,H144)</f>
        <v>15</v>
      </c>
      <c r="O144" s="383">
        <f t="shared" ref="O144:O207" si="24">J144</f>
        <v>31</v>
      </c>
      <c r="P144" s="383">
        <f t="shared" ref="P144:P207" si="25">N144+O144</f>
        <v>46</v>
      </c>
      <c r="Q144" s="384">
        <f t="shared" ref="Q144:Q207" si="26">E144*P144</f>
        <v>3128000</v>
      </c>
    </row>
    <row r="145" spans="1:17">
      <c r="A145" s="377">
        <f t="shared" si="20"/>
        <v>131</v>
      </c>
      <c r="B145" s="378" t="s">
        <v>458</v>
      </c>
      <c r="C145" s="378" t="s">
        <v>445</v>
      </c>
      <c r="D145" s="379">
        <v>42822</v>
      </c>
      <c r="E145" s="380">
        <v>53073.46</v>
      </c>
      <c r="F145" s="379">
        <v>42778</v>
      </c>
      <c r="G145" s="379">
        <v>42813</v>
      </c>
      <c r="H145" s="381">
        <f t="shared" si="21"/>
        <v>17.5</v>
      </c>
      <c r="I145" s="379">
        <v>42853</v>
      </c>
      <c r="J145" s="382">
        <f t="shared" si="22"/>
        <v>40</v>
      </c>
      <c r="K145" s="382">
        <f t="shared" si="18"/>
        <v>57.5</v>
      </c>
      <c r="L145" s="315">
        <f t="shared" si="19"/>
        <v>3051723.95</v>
      </c>
      <c r="N145" s="383">
        <f t="shared" si="23"/>
        <v>17.5</v>
      </c>
      <c r="O145" s="383">
        <f t="shared" si="24"/>
        <v>40</v>
      </c>
      <c r="P145" s="383">
        <f t="shared" si="25"/>
        <v>57.5</v>
      </c>
      <c r="Q145" s="384">
        <f t="shared" si="26"/>
        <v>3051723.9499999997</v>
      </c>
    </row>
    <row r="146" spans="1:17">
      <c r="A146" s="377">
        <f t="shared" si="20"/>
        <v>132</v>
      </c>
      <c r="B146" s="378" t="s">
        <v>459</v>
      </c>
      <c r="C146" s="378" t="s">
        <v>445</v>
      </c>
      <c r="D146" s="379">
        <v>42822</v>
      </c>
      <c r="E146" s="380">
        <v>150479.93</v>
      </c>
      <c r="F146" s="379">
        <v>42822</v>
      </c>
      <c r="G146" s="379"/>
      <c r="H146" s="381">
        <f t="shared" si="21"/>
        <v>0</v>
      </c>
      <c r="I146" s="379">
        <v>42853</v>
      </c>
      <c r="J146" s="382">
        <f t="shared" si="22"/>
        <v>31</v>
      </c>
      <c r="K146" s="382">
        <f t="shared" si="18"/>
        <v>31</v>
      </c>
      <c r="L146" s="315">
        <f t="shared" si="19"/>
        <v>4664877.83</v>
      </c>
      <c r="N146" s="383">
        <f t="shared" si="23"/>
        <v>15</v>
      </c>
      <c r="O146" s="383">
        <f t="shared" si="24"/>
        <v>31</v>
      </c>
      <c r="P146" s="383">
        <f t="shared" si="25"/>
        <v>46</v>
      </c>
      <c r="Q146" s="384">
        <f t="shared" si="26"/>
        <v>6922076.7799999993</v>
      </c>
    </row>
    <row r="147" spans="1:17">
      <c r="A147" s="377">
        <f t="shared" si="20"/>
        <v>133</v>
      </c>
      <c r="B147" s="378" t="s">
        <v>459</v>
      </c>
      <c r="C147" s="378" t="s">
        <v>445</v>
      </c>
      <c r="D147" s="379">
        <v>42829</v>
      </c>
      <c r="E147" s="380">
        <v>154071.79</v>
      </c>
      <c r="F147" s="379">
        <v>42829</v>
      </c>
      <c r="G147" s="379"/>
      <c r="H147" s="381">
        <f t="shared" si="21"/>
        <v>0</v>
      </c>
      <c r="I147" s="379">
        <v>42860</v>
      </c>
      <c r="J147" s="382">
        <f t="shared" si="22"/>
        <v>31</v>
      </c>
      <c r="K147" s="382">
        <f t="shared" si="18"/>
        <v>31</v>
      </c>
      <c r="L147" s="315">
        <f t="shared" si="19"/>
        <v>4776225.49</v>
      </c>
      <c r="N147" s="383">
        <f t="shared" si="23"/>
        <v>15</v>
      </c>
      <c r="O147" s="383">
        <f t="shared" si="24"/>
        <v>31</v>
      </c>
      <c r="P147" s="383">
        <f t="shared" si="25"/>
        <v>46</v>
      </c>
      <c r="Q147" s="384">
        <f t="shared" si="26"/>
        <v>7087302.3400000008</v>
      </c>
    </row>
    <row r="148" spans="1:17">
      <c r="A148" s="377">
        <f t="shared" si="20"/>
        <v>134</v>
      </c>
      <c r="B148" s="378" t="s">
        <v>459</v>
      </c>
      <c r="C148" s="378" t="s">
        <v>445</v>
      </c>
      <c r="D148" s="379">
        <v>42832</v>
      </c>
      <c r="E148" s="380">
        <v>146596.26999999999</v>
      </c>
      <c r="F148" s="379">
        <v>42832</v>
      </c>
      <c r="G148" s="379"/>
      <c r="H148" s="381">
        <f t="shared" si="21"/>
        <v>0</v>
      </c>
      <c r="I148" s="379">
        <v>42866</v>
      </c>
      <c r="J148" s="382">
        <f t="shared" si="22"/>
        <v>34</v>
      </c>
      <c r="K148" s="382">
        <f t="shared" si="18"/>
        <v>34</v>
      </c>
      <c r="L148" s="315">
        <f t="shared" si="19"/>
        <v>4984273.18</v>
      </c>
      <c r="N148" s="383">
        <f t="shared" si="23"/>
        <v>15</v>
      </c>
      <c r="O148" s="383">
        <f t="shared" si="24"/>
        <v>34</v>
      </c>
      <c r="P148" s="383">
        <f t="shared" si="25"/>
        <v>49</v>
      </c>
      <c r="Q148" s="384">
        <f t="shared" si="26"/>
        <v>7183217.2299999995</v>
      </c>
    </row>
    <row r="149" spans="1:17">
      <c r="A149" s="377">
        <f t="shared" si="20"/>
        <v>135</v>
      </c>
      <c r="B149" s="378" t="s">
        <v>460</v>
      </c>
      <c r="C149" s="378" t="s">
        <v>445</v>
      </c>
      <c r="D149" s="379">
        <v>43054</v>
      </c>
      <c r="E149" s="380">
        <v>59895</v>
      </c>
      <c r="F149" s="379">
        <v>43038</v>
      </c>
      <c r="G149" s="379">
        <v>43044</v>
      </c>
      <c r="H149" s="381">
        <f t="shared" si="21"/>
        <v>3</v>
      </c>
      <c r="I149" s="379">
        <v>43088</v>
      </c>
      <c r="J149" s="382">
        <f t="shared" si="22"/>
        <v>44</v>
      </c>
      <c r="K149" s="382">
        <f t="shared" si="18"/>
        <v>47</v>
      </c>
      <c r="L149" s="315">
        <f t="shared" si="19"/>
        <v>2815065</v>
      </c>
      <c r="N149" s="383">
        <f t="shared" si="23"/>
        <v>3</v>
      </c>
      <c r="O149" s="383">
        <f t="shared" si="24"/>
        <v>44</v>
      </c>
      <c r="P149" s="383">
        <f t="shared" si="25"/>
        <v>47</v>
      </c>
      <c r="Q149" s="384">
        <f t="shared" si="26"/>
        <v>2815065</v>
      </c>
    </row>
    <row r="150" spans="1:17">
      <c r="A150" s="377">
        <f t="shared" si="20"/>
        <v>136</v>
      </c>
      <c r="B150" s="378" t="s">
        <v>461</v>
      </c>
      <c r="C150" s="378" t="s">
        <v>445</v>
      </c>
      <c r="D150" s="379">
        <v>43044</v>
      </c>
      <c r="E150" s="380">
        <v>52140</v>
      </c>
      <c r="F150" s="379">
        <v>43038</v>
      </c>
      <c r="G150" s="379">
        <v>43043</v>
      </c>
      <c r="H150" s="381">
        <f t="shared" si="21"/>
        <v>2.5</v>
      </c>
      <c r="I150" s="379">
        <v>43088</v>
      </c>
      <c r="J150" s="382">
        <f t="shared" si="22"/>
        <v>45</v>
      </c>
      <c r="K150" s="382">
        <f t="shared" si="18"/>
        <v>47.5</v>
      </c>
      <c r="L150" s="315">
        <f t="shared" si="19"/>
        <v>2476650</v>
      </c>
      <c r="N150" s="383">
        <f t="shared" si="23"/>
        <v>2.5</v>
      </c>
      <c r="O150" s="383">
        <f t="shared" si="24"/>
        <v>45</v>
      </c>
      <c r="P150" s="383">
        <f t="shared" si="25"/>
        <v>47.5</v>
      </c>
      <c r="Q150" s="384">
        <f t="shared" si="26"/>
        <v>2476650</v>
      </c>
    </row>
    <row r="151" spans="1:17">
      <c r="A151" s="377">
        <f t="shared" si="20"/>
        <v>137</v>
      </c>
      <c r="B151" s="378" t="s">
        <v>462</v>
      </c>
      <c r="C151" s="378" t="s">
        <v>445</v>
      </c>
      <c r="D151" s="379">
        <v>43080</v>
      </c>
      <c r="E151" s="380">
        <v>132340</v>
      </c>
      <c r="F151" s="379">
        <v>43080</v>
      </c>
      <c r="G151" s="379"/>
      <c r="H151" s="381">
        <f t="shared" si="21"/>
        <v>0</v>
      </c>
      <c r="I151" s="379">
        <v>43111</v>
      </c>
      <c r="J151" s="382">
        <f t="shared" si="22"/>
        <v>31</v>
      </c>
      <c r="K151" s="382">
        <f t="shared" si="18"/>
        <v>31</v>
      </c>
      <c r="L151" s="315">
        <f t="shared" si="19"/>
        <v>4102540</v>
      </c>
      <c r="N151" s="383">
        <f t="shared" si="23"/>
        <v>15</v>
      </c>
      <c r="O151" s="383">
        <f t="shared" si="24"/>
        <v>31</v>
      </c>
      <c r="P151" s="383">
        <f t="shared" si="25"/>
        <v>46</v>
      </c>
      <c r="Q151" s="384">
        <f t="shared" si="26"/>
        <v>6087640</v>
      </c>
    </row>
    <row r="152" spans="1:17">
      <c r="A152" s="377">
        <f t="shared" si="20"/>
        <v>138</v>
      </c>
      <c r="B152" s="378" t="s">
        <v>439</v>
      </c>
      <c r="C152" s="378" t="s">
        <v>445</v>
      </c>
      <c r="D152" s="379">
        <v>43045</v>
      </c>
      <c r="E152" s="380">
        <v>52963.37</v>
      </c>
      <c r="F152" s="379">
        <v>43045</v>
      </c>
      <c r="G152" s="379"/>
      <c r="H152" s="381">
        <f t="shared" si="21"/>
        <v>0</v>
      </c>
      <c r="I152" s="379">
        <v>43076</v>
      </c>
      <c r="J152" s="382">
        <f t="shared" si="22"/>
        <v>31</v>
      </c>
      <c r="K152" s="382">
        <f t="shared" si="18"/>
        <v>31</v>
      </c>
      <c r="L152" s="315">
        <f t="shared" si="19"/>
        <v>1641864.47</v>
      </c>
      <c r="N152" s="383">
        <f t="shared" si="23"/>
        <v>15</v>
      </c>
      <c r="O152" s="383">
        <f t="shared" si="24"/>
        <v>31</v>
      </c>
      <c r="P152" s="383">
        <f t="shared" si="25"/>
        <v>46</v>
      </c>
      <c r="Q152" s="384">
        <f t="shared" si="26"/>
        <v>2436315.02</v>
      </c>
    </row>
    <row r="153" spans="1:17">
      <c r="A153" s="377">
        <f t="shared" si="20"/>
        <v>139</v>
      </c>
      <c r="B153" s="378" t="s">
        <v>439</v>
      </c>
      <c r="C153" s="378" t="s">
        <v>445</v>
      </c>
      <c r="D153" s="379">
        <v>43066</v>
      </c>
      <c r="E153" s="380">
        <v>54695.28</v>
      </c>
      <c r="F153" s="379">
        <v>43066</v>
      </c>
      <c r="G153" s="379"/>
      <c r="H153" s="381">
        <f t="shared" si="21"/>
        <v>0</v>
      </c>
      <c r="I153" s="379">
        <v>43077</v>
      </c>
      <c r="J153" s="382">
        <f t="shared" si="22"/>
        <v>11</v>
      </c>
      <c r="K153" s="382">
        <f t="shared" si="18"/>
        <v>11</v>
      </c>
      <c r="L153" s="315">
        <f t="shared" si="19"/>
        <v>601648.07999999996</v>
      </c>
      <c r="N153" s="383">
        <f t="shared" si="23"/>
        <v>15</v>
      </c>
      <c r="O153" s="383">
        <f t="shared" si="24"/>
        <v>11</v>
      </c>
      <c r="P153" s="383">
        <f t="shared" si="25"/>
        <v>26</v>
      </c>
      <c r="Q153" s="384">
        <f t="shared" si="26"/>
        <v>1422077.28</v>
      </c>
    </row>
    <row r="154" spans="1:17">
      <c r="A154" s="377">
        <f t="shared" si="20"/>
        <v>140</v>
      </c>
      <c r="B154" s="378" t="s">
        <v>403</v>
      </c>
      <c r="C154" s="378" t="s">
        <v>445</v>
      </c>
      <c r="D154" s="379">
        <v>43068</v>
      </c>
      <c r="E154" s="380">
        <v>77776.88</v>
      </c>
      <c r="F154" s="379">
        <v>43044</v>
      </c>
      <c r="G154" s="379">
        <v>43051</v>
      </c>
      <c r="H154" s="381">
        <f t="shared" si="21"/>
        <v>3.5</v>
      </c>
      <c r="I154" s="379">
        <v>43102</v>
      </c>
      <c r="J154" s="382">
        <f t="shared" si="22"/>
        <v>51</v>
      </c>
      <c r="K154" s="382">
        <f t="shared" si="18"/>
        <v>54.5</v>
      </c>
      <c r="L154" s="315">
        <f t="shared" si="19"/>
        <v>4238839.96</v>
      </c>
      <c r="N154" s="383">
        <f t="shared" si="23"/>
        <v>3.5</v>
      </c>
      <c r="O154" s="383">
        <f t="shared" si="24"/>
        <v>51</v>
      </c>
      <c r="P154" s="383">
        <f t="shared" si="25"/>
        <v>54.5</v>
      </c>
      <c r="Q154" s="384">
        <f t="shared" si="26"/>
        <v>4238839.96</v>
      </c>
    </row>
    <row r="155" spans="1:17">
      <c r="A155" s="377">
        <f t="shared" si="20"/>
        <v>141</v>
      </c>
      <c r="B155" s="378" t="s">
        <v>459</v>
      </c>
      <c r="C155" s="378" t="s">
        <v>445</v>
      </c>
      <c r="D155" s="379">
        <v>43040</v>
      </c>
      <c r="E155" s="380">
        <v>60699.97</v>
      </c>
      <c r="F155" s="379">
        <v>43040</v>
      </c>
      <c r="G155" s="379"/>
      <c r="H155" s="381">
        <f t="shared" si="21"/>
        <v>0</v>
      </c>
      <c r="I155" s="379">
        <v>43073</v>
      </c>
      <c r="J155" s="382">
        <f t="shared" si="22"/>
        <v>33</v>
      </c>
      <c r="K155" s="382">
        <f t="shared" si="18"/>
        <v>33</v>
      </c>
      <c r="L155" s="315">
        <f t="shared" si="19"/>
        <v>2003099.01</v>
      </c>
      <c r="N155" s="383">
        <f t="shared" si="23"/>
        <v>15</v>
      </c>
      <c r="O155" s="383">
        <f t="shared" si="24"/>
        <v>33</v>
      </c>
      <c r="P155" s="383">
        <f t="shared" si="25"/>
        <v>48</v>
      </c>
      <c r="Q155" s="384">
        <f t="shared" si="26"/>
        <v>2913598.56</v>
      </c>
    </row>
    <row r="156" spans="1:17">
      <c r="A156" s="377">
        <f t="shared" si="20"/>
        <v>142</v>
      </c>
      <c r="B156" s="378" t="s">
        <v>459</v>
      </c>
      <c r="C156" s="378" t="s">
        <v>445</v>
      </c>
      <c r="D156" s="379">
        <v>43042</v>
      </c>
      <c r="E156" s="380">
        <v>125761.26</v>
      </c>
      <c r="F156" s="379">
        <v>43042</v>
      </c>
      <c r="G156" s="379"/>
      <c r="H156" s="381">
        <f t="shared" si="21"/>
        <v>0</v>
      </c>
      <c r="I156" s="379">
        <v>43073</v>
      </c>
      <c r="J156" s="382">
        <f t="shared" si="22"/>
        <v>31</v>
      </c>
      <c r="K156" s="382">
        <f t="shared" si="18"/>
        <v>31</v>
      </c>
      <c r="L156" s="315">
        <f t="shared" si="19"/>
        <v>3898599.06</v>
      </c>
      <c r="N156" s="383">
        <f t="shared" si="23"/>
        <v>15</v>
      </c>
      <c r="O156" s="383">
        <f t="shared" si="24"/>
        <v>31</v>
      </c>
      <c r="P156" s="383">
        <f t="shared" si="25"/>
        <v>46</v>
      </c>
      <c r="Q156" s="384">
        <f t="shared" si="26"/>
        <v>5785017.96</v>
      </c>
    </row>
    <row r="157" spans="1:17">
      <c r="A157" s="377">
        <f t="shared" si="20"/>
        <v>143</v>
      </c>
      <c r="B157" s="378" t="s">
        <v>459</v>
      </c>
      <c r="C157" s="378" t="s">
        <v>445</v>
      </c>
      <c r="D157" s="379">
        <v>43051</v>
      </c>
      <c r="E157" s="380">
        <v>113125.95</v>
      </c>
      <c r="F157" s="379">
        <v>43051</v>
      </c>
      <c r="G157" s="379"/>
      <c r="H157" s="381">
        <f t="shared" si="21"/>
        <v>0</v>
      </c>
      <c r="I157" s="379">
        <v>43082</v>
      </c>
      <c r="J157" s="382">
        <f t="shared" si="22"/>
        <v>31</v>
      </c>
      <c r="K157" s="382">
        <f t="shared" si="18"/>
        <v>31</v>
      </c>
      <c r="L157" s="315">
        <f t="shared" si="19"/>
        <v>3506904.45</v>
      </c>
      <c r="N157" s="383">
        <f t="shared" si="23"/>
        <v>15</v>
      </c>
      <c r="O157" s="383">
        <f t="shared" si="24"/>
        <v>31</v>
      </c>
      <c r="P157" s="383">
        <f t="shared" si="25"/>
        <v>46</v>
      </c>
      <c r="Q157" s="384">
        <f t="shared" si="26"/>
        <v>5203793.7</v>
      </c>
    </row>
    <row r="158" spans="1:17">
      <c r="A158" s="377">
        <f t="shared" si="20"/>
        <v>144</v>
      </c>
      <c r="B158" s="378" t="s">
        <v>459</v>
      </c>
      <c r="C158" s="378" t="s">
        <v>445</v>
      </c>
      <c r="D158" s="379">
        <v>43059</v>
      </c>
      <c r="E158" s="380">
        <v>104778.14</v>
      </c>
      <c r="F158" s="379">
        <v>43059</v>
      </c>
      <c r="G158" s="379"/>
      <c r="H158" s="381">
        <f t="shared" si="21"/>
        <v>0</v>
      </c>
      <c r="I158" s="379">
        <v>43090</v>
      </c>
      <c r="J158" s="382">
        <f t="shared" si="22"/>
        <v>31</v>
      </c>
      <c r="K158" s="382">
        <f t="shared" si="18"/>
        <v>31</v>
      </c>
      <c r="L158" s="315">
        <f t="shared" si="19"/>
        <v>3248122.34</v>
      </c>
      <c r="N158" s="383">
        <f t="shared" si="23"/>
        <v>15</v>
      </c>
      <c r="O158" s="383">
        <f t="shared" si="24"/>
        <v>31</v>
      </c>
      <c r="P158" s="383">
        <f t="shared" si="25"/>
        <v>46</v>
      </c>
      <c r="Q158" s="384">
        <f t="shared" si="26"/>
        <v>4819794.4400000004</v>
      </c>
    </row>
    <row r="159" spans="1:17">
      <c r="A159" s="377">
        <f t="shared" si="20"/>
        <v>145</v>
      </c>
      <c r="B159" s="378" t="s">
        <v>403</v>
      </c>
      <c r="C159" s="378" t="s">
        <v>445</v>
      </c>
      <c r="D159" s="379">
        <v>43068</v>
      </c>
      <c r="E159" s="380">
        <v>87170.62</v>
      </c>
      <c r="F159" s="379">
        <v>43036</v>
      </c>
      <c r="G159" s="379">
        <v>43054</v>
      </c>
      <c r="H159" s="381">
        <f t="shared" si="21"/>
        <v>9</v>
      </c>
      <c r="I159" s="379">
        <v>43102</v>
      </c>
      <c r="J159" s="382">
        <f t="shared" si="22"/>
        <v>48</v>
      </c>
      <c r="K159" s="382">
        <f t="shared" si="18"/>
        <v>57</v>
      </c>
      <c r="L159" s="315">
        <f t="shared" si="19"/>
        <v>4968725.34</v>
      </c>
      <c r="N159" s="383">
        <f t="shared" si="23"/>
        <v>9</v>
      </c>
      <c r="O159" s="383">
        <f t="shared" si="24"/>
        <v>48</v>
      </c>
      <c r="P159" s="383">
        <f t="shared" si="25"/>
        <v>57</v>
      </c>
      <c r="Q159" s="384">
        <f t="shared" si="26"/>
        <v>4968725.34</v>
      </c>
    </row>
    <row r="160" spans="1:17">
      <c r="A160" s="377">
        <f t="shared" si="20"/>
        <v>146</v>
      </c>
      <c r="B160" s="378" t="s">
        <v>459</v>
      </c>
      <c r="C160" s="378" t="s">
        <v>445</v>
      </c>
      <c r="D160" s="379">
        <v>43030</v>
      </c>
      <c r="E160" s="380">
        <v>75333.409999999989</v>
      </c>
      <c r="F160" s="379">
        <v>43030</v>
      </c>
      <c r="G160" s="379"/>
      <c r="H160" s="381">
        <f t="shared" si="21"/>
        <v>0</v>
      </c>
      <c r="I160" s="379">
        <v>43061</v>
      </c>
      <c r="J160" s="382">
        <f t="shared" si="22"/>
        <v>31</v>
      </c>
      <c r="K160" s="382">
        <f t="shared" si="18"/>
        <v>31</v>
      </c>
      <c r="L160" s="315">
        <f t="shared" si="19"/>
        <v>2335335.71</v>
      </c>
      <c r="N160" s="383">
        <f t="shared" si="23"/>
        <v>15</v>
      </c>
      <c r="O160" s="383">
        <f t="shared" si="24"/>
        <v>31</v>
      </c>
      <c r="P160" s="383">
        <f t="shared" si="25"/>
        <v>46</v>
      </c>
      <c r="Q160" s="384">
        <f t="shared" si="26"/>
        <v>3465336.8599999994</v>
      </c>
    </row>
    <row r="161" spans="1:17">
      <c r="A161" s="377">
        <f t="shared" si="20"/>
        <v>147</v>
      </c>
      <c r="B161" s="378" t="s">
        <v>459</v>
      </c>
      <c r="C161" s="378" t="s">
        <v>445</v>
      </c>
      <c r="D161" s="379">
        <v>43040</v>
      </c>
      <c r="E161" s="380">
        <v>189394.24</v>
      </c>
      <c r="F161" s="379">
        <v>43040</v>
      </c>
      <c r="G161" s="379"/>
      <c r="H161" s="381">
        <f t="shared" si="21"/>
        <v>0</v>
      </c>
      <c r="I161" s="379">
        <v>43073</v>
      </c>
      <c r="J161" s="382">
        <f t="shared" si="22"/>
        <v>33</v>
      </c>
      <c r="K161" s="382">
        <f t="shared" si="18"/>
        <v>33</v>
      </c>
      <c r="L161" s="315">
        <f t="shared" si="19"/>
        <v>6250009.9199999999</v>
      </c>
      <c r="N161" s="383">
        <f t="shared" si="23"/>
        <v>15</v>
      </c>
      <c r="O161" s="383">
        <f t="shared" si="24"/>
        <v>33</v>
      </c>
      <c r="P161" s="383">
        <f t="shared" si="25"/>
        <v>48</v>
      </c>
      <c r="Q161" s="384">
        <f t="shared" si="26"/>
        <v>9090923.5199999996</v>
      </c>
    </row>
    <row r="162" spans="1:17">
      <c r="A162" s="377">
        <f t="shared" si="20"/>
        <v>148</v>
      </c>
      <c r="B162" s="378" t="s">
        <v>459</v>
      </c>
      <c r="C162" s="378" t="s">
        <v>445</v>
      </c>
      <c r="D162" s="379">
        <v>43042</v>
      </c>
      <c r="E162" s="380">
        <v>159298.28</v>
      </c>
      <c r="F162" s="379">
        <v>43042</v>
      </c>
      <c r="G162" s="379"/>
      <c r="H162" s="381">
        <f t="shared" si="21"/>
        <v>0</v>
      </c>
      <c r="I162" s="379">
        <v>43073</v>
      </c>
      <c r="J162" s="382">
        <f t="shared" si="22"/>
        <v>31</v>
      </c>
      <c r="K162" s="382">
        <f t="shared" si="18"/>
        <v>31</v>
      </c>
      <c r="L162" s="315">
        <f t="shared" si="19"/>
        <v>4938246.68</v>
      </c>
      <c r="N162" s="383">
        <f t="shared" si="23"/>
        <v>15</v>
      </c>
      <c r="O162" s="383">
        <f t="shared" si="24"/>
        <v>31</v>
      </c>
      <c r="P162" s="383">
        <f t="shared" si="25"/>
        <v>46</v>
      </c>
      <c r="Q162" s="384">
        <f t="shared" si="26"/>
        <v>7327720.8799999999</v>
      </c>
    </row>
    <row r="163" spans="1:17">
      <c r="A163" s="377">
        <f t="shared" si="20"/>
        <v>149</v>
      </c>
      <c r="B163" s="378" t="s">
        <v>459</v>
      </c>
      <c r="C163" s="378" t="s">
        <v>445</v>
      </c>
      <c r="D163" s="379">
        <v>43051</v>
      </c>
      <c r="E163" s="380">
        <v>149395.97</v>
      </c>
      <c r="F163" s="379">
        <v>43051</v>
      </c>
      <c r="G163" s="379"/>
      <c r="H163" s="381">
        <f t="shared" si="21"/>
        <v>0</v>
      </c>
      <c r="I163" s="379">
        <v>43082</v>
      </c>
      <c r="J163" s="382">
        <f t="shared" si="22"/>
        <v>31</v>
      </c>
      <c r="K163" s="382">
        <f t="shared" si="18"/>
        <v>31</v>
      </c>
      <c r="L163" s="315">
        <f t="shared" si="19"/>
        <v>4631275.07</v>
      </c>
      <c r="N163" s="383">
        <f t="shared" si="23"/>
        <v>15</v>
      </c>
      <c r="O163" s="383">
        <f t="shared" si="24"/>
        <v>31</v>
      </c>
      <c r="P163" s="383">
        <f t="shared" si="25"/>
        <v>46</v>
      </c>
      <c r="Q163" s="384">
        <f t="shared" si="26"/>
        <v>6872214.6200000001</v>
      </c>
    </row>
    <row r="164" spans="1:17">
      <c r="A164" s="377">
        <f t="shared" si="20"/>
        <v>150</v>
      </c>
      <c r="B164" s="378" t="s">
        <v>459</v>
      </c>
      <c r="C164" s="378" t="s">
        <v>445</v>
      </c>
      <c r="D164" s="379">
        <v>43059</v>
      </c>
      <c r="E164" s="380">
        <v>118129.51000000001</v>
      </c>
      <c r="F164" s="379">
        <v>43059</v>
      </c>
      <c r="G164" s="379"/>
      <c r="H164" s="381">
        <f t="shared" si="21"/>
        <v>0</v>
      </c>
      <c r="I164" s="379">
        <v>43090</v>
      </c>
      <c r="J164" s="382">
        <f t="shared" si="22"/>
        <v>31</v>
      </c>
      <c r="K164" s="382">
        <f t="shared" si="18"/>
        <v>31</v>
      </c>
      <c r="L164" s="315">
        <f t="shared" si="19"/>
        <v>3662014.81</v>
      </c>
      <c r="N164" s="383">
        <f t="shared" si="23"/>
        <v>15</v>
      </c>
      <c r="O164" s="383">
        <f t="shared" si="24"/>
        <v>31</v>
      </c>
      <c r="P164" s="383">
        <f t="shared" si="25"/>
        <v>46</v>
      </c>
      <c r="Q164" s="384">
        <f t="shared" si="26"/>
        <v>5433957.4600000009</v>
      </c>
    </row>
    <row r="165" spans="1:17">
      <c r="A165" s="377">
        <f t="shared" si="20"/>
        <v>151</v>
      </c>
      <c r="B165" s="378" t="s">
        <v>459</v>
      </c>
      <c r="C165" s="378" t="s">
        <v>445</v>
      </c>
      <c r="D165" s="379">
        <v>43065</v>
      </c>
      <c r="E165" s="380">
        <v>73697.7</v>
      </c>
      <c r="F165" s="379">
        <v>43065</v>
      </c>
      <c r="G165" s="379"/>
      <c r="H165" s="381">
        <f t="shared" si="21"/>
        <v>0</v>
      </c>
      <c r="I165" s="379">
        <v>43096</v>
      </c>
      <c r="J165" s="382">
        <f t="shared" si="22"/>
        <v>31</v>
      </c>
      <c r="K165" s="382">
        <f t="shared" si="18"/>
        <v>31</v>
      </c>
      <c r="L165" s="315">
        <f t="shared" si="19"/>
        <v>2284628.7000000002</v>
      </c>
      <c r="N165" s="383">
        <f t="shared" si="23"/>
        <v>15</v>
      </c>
      <c r="O165" s="383">
        <f t="shared" si="24"/>
        <v>31</v>
      </c>
      <c r="P165" s="383">
        <f t="shared" si="25"/>
        <v>46</v>
      </c>
      <c r="Q165" s="384">
        <f t="shared" si="26"/>
        <v>3390094.1999999997</v>
      </c>
    </row>
    <row r="166" spans="1:17">
      <c r="A166" s="377">
        <f t="shared" si="20"/>
        <v>152</v>
      </c>
      <c r="B166" s="378" t="s">
        <v>459</v>
      </c>
      <c r="C166" s="378" t="s">
        <v>445</v>
      </c>
      <c r="D166" s="379">
        <v>42848</v>
      </c>
      <c r="E166" s="380">
        <v>148555.13</v>
      </c>
      <c r="F166" s="379">
        <v>42848</v>
      </c>
      <c r="G166" s="379"/>
      <c r="H166" s="381">
        <f t="shared" si="21"/>
        <v>0</v>
      </c>
      <c r="I166" s="379">
        <v>42879</v>
      </c>
      <c r="J166" s="382">
        <f t="shared" si="22"/>
        <v>31</v>
      </c>
      <c r="K166" s="382">
        <f t="shared" si="18"/>
        <v>31</v>
      </c>
      <c r="L166" s="315">
        <f t="shared" si="19"/>
        <v>4605209.03</v>
      </c>
      <c r="N166" s="383">
        <f t="shared" si="23"/>
        <v>15</v>
      </c>
      <c r="O166" s="383">
        <f t="shared" si="24"/>
        <v>31</v>
      </c>
      <c r="P166" s="383">
        <f t="shared" si="25"/>
        <v>46</v>
      </c>
      <c r="Q166" s="384">
        <f t="shared" si="26"/>
        <v>6833535.9800000004</v>
      </c>
    </row>
    <row r="167" spans="1:17">
      <c r="A167" s="377">
        <f t="shared" si="20"/>
        <v>153</v>
      </c>
      <c r="B167" s="378" t="s">
        <v>459</v>
      </c>
      <c r="C167" s="378" t="s">
        <v>445</v>
      </c>
      <c r="D167" s="379">
        <v>42853</v>
      </c>
      <c r="E167" s="380">
        <v>172943.06</v>
      </c>
      <c r="F167" s="379">
        <v>42853</v>
      </c>
      <c r="G167" s="379"/>
      <c r="H167" s="381">
        <f t="shared" si="21"/>
        <v>0</v>
      </c>
      <c r="I167" s="379">
        <v>42885</v>
      </c>
      <c r="J167" s="382">
        <f t="shared" si="22"/>
        <v>32</v>
      </c>
      <c r="K167" s="382">
        <f t="shared" si="18"/>
        <v>32</v>
      </c>
      <c r="L167" s="315">
        <f t="shared" si="19"/>
        <v>5534177.9199999999</v>
      </c>
      <c r="N167" s="383">
        <f t="shared" si="23"/>
        <v>15</v>
      </c>
      <c r="O167" s="383">
        <f t="shared" si="24"/>
        <v>32</v>
      </c>
      <c r="P167" s="383">
        <f t="shared" si="25"/>
        <v>47</v>
      </c>
      <c r="Q167" s="384">
        <f t="shared" si="26"/>
        <v>8128323.8200000003</v>
      </c>
    </row>
    <row r="168" spans="1:17">
      <c r="A168" s="377">
        <f t="shared" si="20"/>
        <v>154</v>
      </c>
      <c r="B168" s="378" t="s">
        <v>459</v>
      </c>
      <c r="C168" s="378" t="s">
        <v>445</v>
      </c>
      <c r="D168" s="379">
        <v>42864</v>
      </c>
      <c r="E168" s="380">
        <v>81778.84</v>
      </c>
      <c r="F168" s="379">
        <v>42864</v>
      </c>
      <c r="G168" s="379"/>
      <c r="H168" s="381">
        <f t="shared" si="21"/>
        <v>0</v>
      </c>
      <c r="I168" s="379">
        <v>42895</v>
      </c>
      <c r="J168" s="382">
        <f t="shared" si="22"/>
        <v>31</v>
      </c>
      <c r="K168" s="382">
        <f t="shared" si="18"/>
        <v>31</v>
      </c>
      <c r="L168" s="315">
        <f t="shared" si="19"/>
        <v>2535144.04</v>
      </c>
      <c r="N168" s="383">
        <f t="shared" si="23"/>
        <v>15</v>
      </c>
      <c r="O168" s="383">
        <f t="shared" si="24"/>
        <v>31</v>
      </c>
      <c r="P168" s="383">
        <f t="shared" si="25"/>
        <v>46</v>
      </c>
      <c r="Q168" s="384">
        <f t="shared" si="26"/>
        <v>3761826.6399999997</v>
      </c>
    </row>
    <row r="169" spans="1:17">
      <c r="A169" s="377">
        <f t="shared" si="20"/>
        <v>155</v>
      </c>
      <c r="B169" s="378" t="s">
        <v>459</v>
      </c>
      <c r="C169" s="378" t="s">
        <v>445</v>
      </c>
      <c r="D169" s="379">
        <v>42871</v>
      </c>
      <c r="E169" s="380">
        <v>346</v>
      </c>
      <c r="F169" s="379">
        <v>42871</v>
      </c>
      <c r="G169" s="379"/>
      <c r="H169" s="381">
        <f t="shared" si="21"/>
        <v>0</v>
      </c>
      <c r="I169" s="379">
        <v>42902</v>
      </c>
      <c r="J169" s="382">
        <f t="shared" si="22"/>
        <v>31</v>
      </c>
      <c r="K169" s="382">
        <f t="shared" si="18"/>
        <v>31</v>
      </c>
      <c r="L169" s="315">
        <f t="shared" si="19"/>
        <v>10726</v>
      </c>
      <c r="N169" s="383">
        <f t="shared" si="23"/>
        <v>15</v>
      </c>
      <c r="O169" s="383">
        <f t="shared" si="24"/>
        <v>31</v>
      </c>
      <c r="P169" s="383">
        <f t="shared" si="25"/>
        <v>46</v>
      </c>
      <c r="Q169" s="384">
        <f t="shared" si="26"/>
        <v>15916</v>
      </c>
    </row>
    <row r="170" spans="1:17">
      <c r="A170" s="377">
        <f t="shared" si="20"/>
        <v>156</v>
      </c>
      <c r="B170" s="378" t="s">
        <v>389</v>
      </c>
      <c r="C170" s="378" t="s">
        <v>445</v>
      </c>
      <c r="D170" s="379">
        <v>43070</v>
      </c>
      <c r="E170" s="380">
        <v>2843.35</v>
      </c>
      <c r="F170" s="379">
        <v>42795</v>
      </c>
      <c r="G170" s="379">
        <v>43100</v>
      </c>
      <c r="H170" s="381">
        <f t="shared" si="21"/>
        <v>152.5</v>
      </c>
      <c r="I170" s="379">
        <v>43102</v>
      </c>
      <c r="J170" s="382">
        <f t="shared" si="22"/>
        <v>2</v>
      </c>
      <c r="K170" s="382">
        <f t="shared" si="18"/>
        <v>154.5</v>
      </c>
      <c r="L170" s="315">
        <f t="shared" si="19"/>
        <v>439297.58</v>
      </c>
      <c r="N170" s="383">
        <f t="shared" si="23"/>
        <v>152.5</v>
      </c>
      <c r="O170" s="383">
        <f t="shared" si="24"/>
        <v>2</v>
      </c>
      <c r="P170" s="383">
        <f t="shared" si="25"/>
        <v>154.5</v>
      </c>
      <c r="Q170" s="384">
        <f t="shared" si="26"/>
        <v>439297.57500000001</v>
      </c>
    </row>
    <row r="171" spans="1:17">
      <c r="A171" s="377">
        <f t="shared" si="20"/>
        <v>157</v>
      </c>
      <c r="B171" s="378" t="s">
        <v>435</v>
      </c>
      <c r="C171" s="378" t="s">
        <v>445</v>
      </c>
      <c r="D171" s="379">
        <v>42942</v>
      </c>
      <c r="E171" s="380">
        <v>49693.06</v>
      </c>
      <c r="F171" s="379">
        <v>42940</v>
      </c>
      <c r="G171" s="379"/>
      <c r="H171" s="381">
        <f t="shared" si="21"/>
        <v>0</v>
      </c>
      <c r="I171" s="379">
        <v>42975</v>
      </c>
      <c r="J171" s="382">
        <f t="shared" si="22"/>
        <v>35</v>
      </c>
      <c r="K171" s="382">
        <f t="shared" si="18"/>
        <v>35</v>
      </c>
      <c r="L171" s="315">
        <f t="shared" si="19"/>
        <v>1739257.1</v>
      </c>
      <c r="N171" s="383">
        <f t="shared" si="23"/>
        <v>15</v>
      </c>
      <c r="O171" s="383">
        <f t="shared" si="24"/>
        <v>35</v>
      </c>
      <c r="P171" s="383">
        <f t="shared" si="25"/>
        <v>50</v>
      </c>
      <c r="Q171" s="384">
        <f t="shared" si="26"/>
        <v>2484653</v>
      </c>
    </row>
    <row r="172" spans="1:17">
      <c r="A172" s="377">
        <f t="shared" si="20"/>
        <v>158</v>
      </c>
      <c r="B172" s="378" t="s">
        <v>439</v>
      </c>
      <c r="C172" s="378" t="s">
        <v>445</v>
      </c>
      <c r="D172" s="379">
        <v>43080</v>
      </c>
      <c r="E172" s="380">
        <v>214.47</v>
      </c>
      <c r="F172" s="379">
        <v>43080</v>
      </c>
      <c r="G172" s="379"/>
      <c r="H172" s="381">
        <f t="shared" si="21"/>
        <v>0</v>
      </c>
      <c r="I172" s="379">
        <v>43091</v>
      </c>
      <c r="J172" s="382">
        <f t="shared" si="22"/>
        <v>11</v>
      </c>
      <c r="K172" s="382">
        <f t="shared" si="18"/>
        <v>11</v>
      </c>
      <c r="L172" s="315">
        <f t="shared" si="19"/>
        <v>2359.17</v>
      </c>
      <c r="N172" s="383">
        <f t="shared" si="23"/>
        <v>15</v>
      </c>
      <c r="O172" s="383">
        <f t="shared" si="24"/>
        <v>11</v>
      </c>
      <c r="P172" s="383">
        <f t="shared" si="25"/>
        <v>26</v>
      </c>
      <c r="Q172" s="384">
        <f t="shared" si="26"/>
        <v>5576.22</v>
      </c>
    </row>
    <row r="173" spans="1:17">
      <c r="A173" s="377">
        <f t="shared" si="20"/>
        <v>159</v>
      </c>
      <c r="B173" s="378" t="s">
        <v>463</v>
      </c>
      <c r="C173" s="378" t="s">
        <v>445</v>
      </c>
      <c r="D173" s="379">
        <v>43006</v>
      </c>
      <c r="E173" s="380">
        <v>59500</v>
      </c>
      <c r="F173" s="379">
        <v>43000</v>
      </c>
      <c r="G173" s="379"/>
      <c r="H173" s="381">
        <f t="shared" si="21"/>
        <v>0</v>
      </c>
      <c r="I173" s="379">
        <v>43038</v>
      </c>
      <c r="J173" s="382">
        <f t="shared" si="22"/>
        <v>38</v>
      </c>
      <c r="K173" s="382">
        <f t="shared" si="18"/>
        <v>38</v>
      </c>
      <c r="L173" s="315">
        <f t="shared" si="19"/>
        <v>2261000</v>
      </c>
      <c r="N173" s="383">
        <f t="shared" si="23"/>
        <v>15</v>
      </c>
      <c r="O173" s="383">
        <f t="shared" si="24"/>
        <v>38</v>
      </c>
      <c r="P173" s="383">
        <f t="shared" si="25"/>
        <v>53</v>
      </c>
      <c r="Q173" s="384">
        <f t="shared" si="26"/>
        <v>3153500</v>
      </c>
    </row>
    <row r="174" spans="1:17">
      <c r="A174" s="377">
        <f t="shared" si="20"/>
        <v>160</v>
      </c>
      <c r="B174" s="378" t="s">
        <v>464</v>
      </c>
      <c r="C174" s="378" t="s">
        <v>445</v>
      </c>
      <c r="D174" s="379">
        <v>42772</v>
      </c>
      <c r="E174" s="380">
        <v>62413.96</v>
      </c>
      <c r="F174" s="379">
        <v>42748</v>
      </c>
      <c r="G174" s="379"/>
      <c r="H174" s="381">
        <f t="shared" si="21"/>
        <v>0</v>
      </c>
      <c r="I174" s="379">
        <v>42839</v>
      </c>
      <c r="J174" s="382">
        <f t="shared" si="22"/>
        <v>91</v>
      </c>
      <c r="K174" s="382">
        <f t="shared" si="18"/>
        <v>91</v>
      </c>
      <c r="L174" s="315">
        <f t="shared" si="19"/>
        <v>5679670.3600000003</v>
      </c>
      <c r="N174" s="383">
        <f t="shared" si="23"/>
        <v>15</v>
      </c>
      <c r="O174" s="383">
        <f t="shared" si="24"/>
        <v>91</v>
      </c>
      <c r="P174" s="383">
        <f t="shared" si="25"/>
        <v>106</v>
      </c>
      <c r="Q174" s="384">
        <f t="shared" si="26"/>
        <v>6615879.7599999998</v>
      </c>
    </row>
    <row r="175" spans="1:17">
      <c r="A175" s="377">
        <f t="shared" si="20"/>
        <v>161</v>
      </c>
      <c r="B175" s="378" t="s">
        <v>464</v>
      </c>
      <c r="C175" s="378" t="s">
        <v>445</v>
      </c>
      <c r="D175" s="379">
        <v>42800</v>
      </c>
      <c r="E175" s="380">
        <v>62413.96</v>
      </c>
      <c r="F175" s="379">
        <v>42794</v>
      </c>
      <c r="G175" s="379"/>
      <c r="H175" s="381">
        <f t="shared" si="21"/>
        <v>0</v>
      </c>
      <c r="I175" s="379">
        <v>42839</v>
      </c>
      <c r="J175" s="382">
        <f t="shared" si="22"/>
        <v>45</v>
      </c>
      <c r="K175" s="382">
        <f t="shared" si="18"/>
        <v>45</v>
      </c>
      <c r="L175" s="315">
        <f t="shared" si="19"/>
        <v>2808628.2</v>
      </c>
      <c r="N175" s="383">
        <f t="shared" si="23"/>
        <v>15</v>
      </c>
      <c r="O175" s="383">
        <f t="shared" si="24"/>
        <v>45</v>
      </c>
      <c r="P175" s="383">
        <f t="shared" si="25"/>
        <v>60</v>
      </c>
      <c r="Q175" s="384">
        <f t="shared" si="26"/>
        <v>3744837.6</v>
      </c>
    </row>
    <row r="176" spans="1:17">
      <c r="A176" s="377">
        <f t="shared" si="20"/>
        <v>162</v>
      </c>
      <c r="B176" s="378" t="s">
        <v>376</v>
      </c>
      <c r="C176" s="378" t="s">
        <v>445</v>
      </c>
      <c r="D176" s="379">
        <v>43039</v>
      </c>
      <c r="E176" s="380">
        <v>42</v>
      </c>
      <c r="F176" s="379">
        <v>43018</v>
      </c>
      <c r="G176" s="379"/>
      <c r="H176" s="381">
        <f t="shared" si="21"/>
        <v>0</v>
      </c>
      <c r="I176" s="379">
        <v>43080</v>
      </c>
      <c r="J176" s="382">
        <f t="shared" si="22"/>
        <v>62</v>
      </c>
      <c r="K176" s="382">
        <f t="shared" si="18"/>
        <v>62</v>
      </c>
      <c r="L176" s="315">
        <f t="shared" si="19"/>
        <v>2604</v>
      </c>
      <c r="N176" s="383">
        <f t="shared" si="23"/>
        <v>15</v>
      </c>
      <c r="O176" s="383">
        <f t="shared" si="24"/>
        <v>62</v>
      </c>
      <c r="P176" s="383">
        <f t="shared" si="25"/>
        <v>77</v>
      </c>
      <c r="Q176" s="384">
        <f t="shared" si="26"/>
        <v>3234</v>
      </c>
    </row>
    <row r="177" spans="1:17">
      <c r="A177" s="377">
        <f t="shared" si="20"/>
        <v>163</v>
      </c>
      <c r="B177" s="378" t="s">
        <v>465</v>
      </c>
      <c r="C177" s="378" t="s">
        <v>445</v>
      </c>
      <c r="D177" s="379">
        <v>42885</v>
      </c>
      <c r="E177" s="380">
        <v>1000</v>
      </c>
      <c r="F177" s="379">
        <v>42883</v>
      </c>
      <c r="G177" s="379"/>
      <c r="H177" s="381">
        <f t="shared" si="21"/>
        <v>0</v>
      </c>
      <c r="I177" s="379">
        <v>42916</v>
      </c>
      <c r="J177" s="382">
        <f t="shared" si="22"/>
        <v>33</v>
      </c>
      <c r="K177" s="382">
        <f t="shared" si="18"/>
        <v>33</v>
      </c>
      <c r="L177" s="315">
        <f t="shared" si="19"/>
        <v>33000</v>
      </c>
      <c r="N177" s="383">
        <f t="shared" si="23"/>
        <v>15</v>
      </c>
      <c r="O177" s="383">
        <f t="shared" si="24"/>
        <v>33</v>
      </c>
      <c r="P177" s="383">
        <f t="shared" si="25"/>
        <v>48</v>
      </c>
      <c r="Q177" s="384">
        <f t="shared" si="26"/>
        <v>48000</v>
      </c>
    </row>
    <row r="178" spans="1:17">
      <c r="A178" s="377">
        <f t="shared" si="20"/>
        <v>164</v>
      </c>
      <c r="B178" s="378" t="s">
        <v>466</v>
      </c>
      <c r="C178" s="378" t="s">
        <v>445</v>
      </c>
      <c r="D178" s="379">
        <v>43089</v>
      </c>
      <c r="E178" s="380">
        <v>52113.3</v>
      </c>
      <c r="F178" s="379">
        <v>43060</v>
      </c>
      <c r="G178" s="379"/>
      <c r="H178" s="381">
        <f t="shared" si="21"/>
        <v>0</v>
      </c>
      <c r="I178" s="379">
        <v>43103</v>
      </c>
      <c r="J178" s="382">
        <f t="shared" si="22"/>
        <v>43</v>
      </c>
      <c r="K178" s="382">
        <f t="shared" si="18"/>
        <v>43</v>
      </c>
      <c r="L178" s="315">
        <f t="shared" si="19"/>
        <v>2240871.9</v>
      </c>
      <c r="N178" s="383">
        <f t="shared" si="23"/>
        <v>15</v>
      </c>
      <c r="O178" s="383">
        <f t="shared" si="24"/>
        <v>43</v>
      </c>
      <c r="P178" s="383">
        <f t="shared" si="25"/>
        <v>58</v>
      </c>
      <c r="Q178" s="384">
        <f t="shared" si="26"/>
        <v>3022571.4000000004</v>
      </c>
    </row>
    <row r="179" spans="1:17">
      <c r="A179" s="377">
        <f t="shared" si="20"/>
        <v>165</v>
      </c>
      <c r="B179" s="378" t="s">
        <v>389</v>
      </c>
      <c r="C179" s="378" t="s">
        <v>445</v>
      </c>
      <c r="D179" s="379">
        <v>43007</v>
      </c>
      <c r="E179" s="380">
        <v>792.2</v>
      </c>
      <c r="F179" s="379">
        <v>42978</v>
      </c>
      <c r="G179" s="379">
        <v>43004</v>
      </c>
      <c r="H179" s="381">
        <f t="shared" si="21"/>
        <v>13</v>
      </c>
      <c r="I179" s="379">
        <v>43038</v>
      </c>
      <c r="J179" s="382">
        <f t="shared" si="22"/>
        <v>34</v>
      </c>
      <c r="K179" s="382">
        <f t="shared" si="18"/>
        <v>47</v>
      </c>
      <c r="L179" s="315">
        <f t="shared" si="19"/>
        <v>37233.4</v>
      </c>
      <c r="N179" s="383">
        <f t="shared" si="23"/>
        <v>13</v>
      </c>
      <c r="O179" s="383">
        <f t="shared" si="24"/>
        <v>34</v>
      </c>
      <c r="P179" s="383">
        <f t="shared" si="25"/>
        <v>47</v>
      </c>
      <c r="Q179" s="384">
        <f t="shared" si="26"/>
        <v>37233.4</v>
      </c>
    </row>
    <row r="180" spans="1:17">
      <c r="A180" s="377">
        <f t="shared" si="20"/>
        <v>166</v>
      </c>
      <c r="B180" s="378" t="s">
        <v>389</v>
      </c>
      <c r="C180" s="378" t="s">
        <v>445</v>
      </c>
      <c r="D180" s="379">
        <v>42887</v>
      </c>
      <c r="E180" s="380">
        <v>2006.46</v>
      </c>
      <c r="F180" s="379">
        <v>42795</v>
      </c>
      <c r="G180" s="379">
        <v>43100</v>
      </c>
      <c r="H180" s="381">
        <f t="shared" si="21"/>
        <v>152.5</v>
      </c>
      <c r="I180" s="379">
        <v>42919</v>
      </c>
      <c r="J180" s="382">
        <f t="shared" si="22"/>
        <v>-181</v>
      </c>
      <c r="K180" s="382">
        <f t="shared" si="18"/>
        <v>-28.5</v>
      </c>
      <c r="L180" s="315">
        <f t="shared" si="19"/>
        <v>-57184.11</v>
      </c>
      <c r="N180" s="383">
        <f t="shared" si="23"/>
        <v>152.5</v>
      </c>
      <c r="O180" s="383">
        <f t="shared" si="24"/>
        <v>-181</v>
      </c>
      <c r="P180" s="383">
        <f t="shared" si="25"/>
        <v>-28.5</v>
      </c>
      <c r="Q180" s="384">
        <f t="shared" si="26"/>
        <v>-57184.11</v>
      </c>
    </row>
    <row r="181" spans="1:17">
      <c r="A181" s="377">
        <f t="shared" si="20"/>
        <v>167</v>
      </c>
      <c r="B181" s="378" t="s">
        <v>467</v>
      </c>
      <c r="C181" s="378" t="s">
        <v>445</v>
      </c>
      <c r="D181" s="379">
        <v>42949</v>
      </c>
      <c r="E181" s="380">
        <v>1288.8699999999999</v>
      </c>
      <c r="F181" s="379">
        <v>42949</v>
      </c>
      <c r="G181" s="379"/>
      <c r="H181" s="381">
        <f t="shared" si="21"/>
        <v>0</v>
      </c>
      <c r="I181" s="379">
        <v>42979</v>
      </c>
      <c r="J181" s="382">
        <f t="shared" si="22"/>
        <v>30</v>
      </c>
      <c r="K181" s="382">
        <f t="shared" si="18"/>
        <v>30</v>
      </c>
      <c r="L181" s="315">
        <f t="shared" si="19"/>
        <v>38666.1</v>
      </c>
      <c r="N181" s="383">
        <f t="shared" si="23"/>
        <v>15</v>
      </c>
      <c r="O181" s="383">
        <f t="shared" si="24"/>
        <v>30</v>
      </c>
      <c r="P181" s="383">
        <f t="shared" si="25"/>
        <v>45</v>
      </c>
      <c r="Q181" s="384">
        <f t="shared" si="26"/>
        <v>57999.149999999994</v>
      </c>
    </row>
    <row r="182" spans="1:17">
      <c r="A182" s="377">
        <f t="shared" si="20"/>
        <v>168</v>
      </c>
      <c r="B182" s="378" t="s">
        <v>468</v>
      </c>
      <c r="C182" s="378" t="s">
        <v>445</v>
      </c>
      <c r="D182" s="379">
        <v>42942</v>
      </c>
      <c r="E182" s="380">
        <v>1197.9000000000001</v>
      </c>
      <c r="F182" s="379">
        <v>42942</v>
      </c>
      <c r="G182" s="379"/>
      <c r="H182" s="381">
        <f t="shared" si="21"/>
        <v>0</v>
      </c>
      <c r="I182" s="379">
        <v>42954</v>
      </c>
      <c r="J182" s="382">
        <f t="shared" si="22"/>
        <v>12</v>
      </c>
      <c r="K182" s="382">
        <f t="shared" si="18"/>
        <v>12</v>
      </c>
      <c r="L182" s="315">
        <f t="shared" si="19"/>
        <v>14374.8</v>
      </c>
      <c r="N182" s="383">
        <f t="shared" si="23"/>
        <v>15</v>
      </c>
      <c r="O182" s="383">
        <f t="shared" si="24"/>
        <v>12</v>
      </c>
      <c r="P182" s="383">
        <f t="shared" si="25"/>
        <v>27</v>
      </c>
      <c r="Q182" s="384">
        <f t="shared" si="26"/>
        <v>32343.300000000003</v>
      </c>
    </row>
    <row r="183" spans="1:17">
      <c r="A183" s="377">
        <f t="shared" si="20"/>
        <v>169</v>
      </c>
      <c r="B183" s="378" t="s">
        <v>469</v>
      </c>
      <c r="C183" s="378" t="s">
        <v>445</v>
      </c>
      <c r="D183" s="379">
        <v>43019</v>
      </c>
      <c r="E183" s="380">
        <v>2053.4499999999998</v>
      </c>
      <c r="F183" s="379">
        <v>43013</v>
      </c>
      <c r="G183" s="379"/>
      <c r="H183" s="381">
        <f t="shared" si="21"/>
        <v>0</v>
      </c>
      <c r="I183" s="379">
        <v>43052</v>
      </c>
      <c r="J183" s="382">
        <f t="shared" si="22"/>
        <v>39</v>
      </c>
      <c r="K183" s="382">
        <f t="shared" si="18"/>
        <v>39</v>
      </c>
      <c r="L183" s="315">
        <f t="shared" si="19"/>
        <v>80084.55</v>
      </c>
      <c r="N183" s="383">
        <f t="shared" si="23"/>
        <v>15</v>
      </c>
      <c r="O183" s="383">
        <f t="shared" si="24"/>
        <v>39</v>
      </c>
      <c r="P183" s="383">
        <f t="shared" si="25"/>
        <v>54</v>
      </c>
      <c r="Q183" s="384">
        <f t="shared" si="26"/>
        <v>110886.29999999999</v>
      </c>
    </row>
    <row r="184" spans="1:17">
      <c r="A184" s="377">
        <f t="shared" si="20"/>
        <v>170</v>
      </c>
      <c r="B184" s="378" t="s">
        <v>443</v>
      </c>
      <c r="C184" s="378" t="s">
        <v>445</v>
      </c>
      <c r="D184" s="379">
        <v>42927</v>
      </c>
      <c r="E184" s="380">
        <v>118562.86</v>
      </c>
      <c r="F184" s="379">
        <v>42910</v>
      </c>
      <c r="G184" s="379"/>
      <c r="H184" s="381">
        <f t="shared" si="21"/>
        <v>0</v>
      </c>
      <c r="I184" s="379">
        <v>42958</v>
      </c>
      <c r="J184" s="382">
        <f t="shared" si="22"/>
        <v>48</v>
      </c>
      <c r="K184" s="382">
        <f t="shared" si="18"/>
        <v>48</v>
      </c>
      <c r="L184" s="315">
        <f t="shared" si="19"/>
        <v>5691017.2800000003</v>
      </c>
      <c r="N184" s="383">
        <f t="shared" si="23"/>
        <v>15</v>
      </c>
      <c r="O184" s="383">
        <f t="shared" si="24"/>
        <v>48</v>
      </c>
      <c r="P184" s="383">
        <f t="shared" si="25"/>
        <v>63</v>
      </c>
      <c r="Q184" s="384">
        <f t="shared" si="26"/>
        <v>7469460.1799999997</v>
      </c>
    </row>
    <row r="185" spans="1:17">
      <c r="A185" s="377">
        <f t="shared" si="20"/>
        <v>171</v>
      </c>
      <c r="B185" s="378" t="s">
        <v>443</v>
      </c>
      <c r="C185" s="378" t="s">
        <v>445</v>
      </c>
      <c r="D185" s="379">
        <v>42935</v>
      </c>
      <c r="E185" s="380">
        <v>160355.79999999999</v>
      </c>
      <c r="F185" s="379">
        <v>42931</v>
      </c>
      <c r="G185" s="379"/>
      <c r="H185" s="381">
        <f t="shared" si="21"/>
        <v>0</v>
      </c>
      <c r="I185" s="379">
        <v>42968</v>
      </c>
      <c r="J185" s="382">
        <f t="shared" si="22"/>
        <v>37</v>
      </c>
      <c r="K185" s="382">
        <f t="shared" si="18"/>
        <v>37</v>
      </c>
      <c r="L185" s="315">
        <f t="shared" si="19"/>
        <v>5933164.5999999996</v>
      </c>
      <c r="N185" s="383">
        <f t="shared" si="23"/>
        <v>15</v>
      </c>
      <c r="O185" s="383">
        <f t="shared" si="24"/>
        <v>37</v>
      </c>
      <c r="P185" s="383">
        <f t="shared" si="25"/>
        <v>52</v>
      </c>
      <c r="Q185" s="384">
        <f t="shared" si="26"/>
        <v>8338501.5999999996</v>
      </c>
    </row>
    <row r="186" spans="1:17">
      <c r="A186" s="377">
        <f t="shared" si="20"/>
        <v>172</v>
      </c>
      <c r="B186" s="378" t="s">
        <v>443</v>
      </c>
      <c r="C186" s="378" t="s">
        <v>445</v>
      </c>
      <c r="D186" s="379">
        <v>42954</v>
      </c>
      <c r="E186" s="380">
        <v>148218.71</v>
      </c>
      <c r="F186" s="379">
        <v>42945</v>
      </c>
      <c r="G186" s="379"/>
      <c r="H186" s="381">
        <f t="shared" si="21"/>
        <v>0</v>
      </c>
      <c r="I186" s="379">
        <v>42985</v>
      </c>
      <c r="J186" s="382">
        <f t="shared" si="22"/>
        <v>40</v>
      </c>
      <c r="K186" s="382">
        <f t="shared" si="18"/>
        <v>40</v>
      </c>
      <c r="L186" s="315">
        <f t="shared" si="19"/>
        <v>5928748.4000000004</v>
      </c>
      <c r="N186" s="383">
        <f t="shared" si="23"/>
        <v>15</v>
      </c>
      <c r="O186" s="383">
        <f t="shared" si="24"/>
        <v>40</v>
      </c>
      <c r="P186" s="383">
        <f t="shared" si="25"/>
        <v>55</v>
      </c>
      <c r="Q186" s="384">
        <f t="shared" si="26"/>
        <v>8152029.0499999998</v>
      </c>
    </row>
    <row r="187" spans="1:17">
      <c r="A187" s="377">
        <f t="shared" si="20"/>
        <v>173</v>
      </c>
      <c r="B187" s="378" t="s">
        <v>470</v>
      </c>
      <c r="C187" s="378" t="s">
        <v>445</v>
      </c>
      <c r="D187" s="379">
        <v>43069</v>
      </c>
      <c r="E187" s="380">
        <v>7209.78</v>
      </c>
      <c r="F187" s="379">
        <v>43040</v>
      </c>
      <c r="G187" s="379">
        <v>43069</v>
      </c>
      <c r="H187" s="381">
        <f t="shared" si="21"/>
        <v>14.5</v>
      </c>
      <c r="I187" s="379">
        <v>43102</v>
      </c>
      <c r="J187" s="382">
        <f t="shared" si="22"/>
        <v>33</v>
      </c>
      <c r="K187" s="382">
        <f t="shared" si="18"/>
        <v>47.5</v>
      </c>
      <c r="L187" s="315">
        <f t="shared" si="19"/>
        <v>342464.55</v>
      </c>
      <c r="N187" s="383">
        <f t="shared" si="23"/>
        <v>14.5</v>
      </c>
      <c r="O187" s="383">
        <f t="shared" si="24"/>
        <v>33</v>
      </c>
      <c r="P187" s="383">
        <f t="shared" si="25"/>
        <v>47.5</v>
      </c>
      <c r="Q187" s="384">
        <f t="shared" si="26"/>
        <v>342464.55</v>
      </c>
    </row>
    <row r="188" spans="1:17">
      <c r="A188" s="377">
        <f t="shared" si="20"/>
        <v>174</v>
      </c>
      <c r="B188" s="378" t="s">
        <v>471</v>
      </c>
      <c r="C188" s="378" t="s">
        <v>445</v>
      </c>
      <c r="D188" s="379">
        <v>42745</v>
      </c>
      <c r="E188" s="380">
        <v>754.05</v>
      </c>
      <c r="F188" s="379">
        <v>42742</v>
      </c>
      <c r="G188" s="379"/>
      <c r="H188" s="381">
        <f t="shared" si="21"/>
        <v>0</v>
      </c>
      <c r="I188" s="379">
        <v>42793</v>
      </c>
      <c r="J188" s="382">
        <f t="shared" si="22"/>
        <v>51</v>
      </c>
      <c r="K188" s="382">
        <f t="shared" si="18"/>
        <v>51</v>
      </c>
      <c r="L188" s="315">
        <f t="shared" si="19"/>
        <v>38456.550000000003</v>
      </c>
      <c r="N188" s="383">
        <f t="shared" si="23"/>
        <v>15</v>
      </c>
      <c r="O188" s="383">
        <f t="shared" si="24"/>
        <v>51</v>
      </c>
      <c r="P188" s="383">
        <f t="shared" si="25"/>
        <v>66</v>
      </c>
      <c r="Q188" s="384">
        <f t="shared" si="26"/>
        <v>49767.299999999996</v>
      </c>
    </row>
    <row r="189" spans="1:17">
      <c r="A189" s="377">
        <f t="shared" si="20"/>
        <v>175</v>
      </c>
      <c r="B189" s="378" t="s">
        <v>471</v>
      </c>
      <c r="C189" s="378" t="s">
        <v>445</v>
      </c>
      <c r="D189" s="379">
        <v>42899</v>
      </c>
      <c r="E189" s="380">
        <v>370</v>
      </c>
      <c r="F189" s="379">
        <v>42896</v>
      </c>
      <c r="G189" s="379"/>
      <c r="H189" s="381">
        <f t="shared" si="21"/>
        <v>0</v>
      </c>
      <c r="I189" s="379">
        <v>42947</v>
      </c>
      <c r="J189" s="382">
        <f t="shared" si="22"/>
        <v>51</v>
      </c>
      <c r="K189" s="382">
        <f t="shared" si="18"/>
        <v>51</v>
      </c>
      <c r="L189" s="315">
        <f t="shared" si="19"/>
        <v>18870</v>
      </c>
      <c r="N189" s="383">
        <f t="shared" si="23"/>
        <v>15</v>
      </c>
      <c r="O189" s="383">
        <f t="shared" si="24"/>
        <v>51</v>
      </c>
      <c r="P189" s="383">
        <f t="shared" si="25"/>
        <v>66</v>
      </c>
      <c r="Q189" s="384">
        <f t="shared" si="26"/>
        <v>24420</v>
      </c>
    </row>
    <row r="190" spans="1:17">
      <c r="A190" s="377">
        <f t="shared" si="20"/>
        <v>176</v>
      </c>
      <c r="B190" s="378" t="s">
        <v>472</v>
      </c>
      <c r="C190" s="378" t="s">
        <v>473</v>
      </c>
      <c r="D190" s="379">
        <v>42850</v>
      </c>
      <c r="E190" s="380">
        <v>64693</v>
      </c>
      <c r="F190" s="379">
        <v>42788</v>
      </c>
      <c r="G190" s="379">
        <v>42797</v>
      </c>
      <c r="H190" s="381">
        <f t="shared" si="21"/>
        <v>4.5</v>
      </c>
      <c r="I190" s="379">
        <v>42888</v>
      </c>
      <c r="J190" s="382">
        <f t="shared" si="22"/>
        <v>91</v>
      </c>
      <c r="K190" s="382">
        <f t="shared" si="18"/>
        <v>95.5</v>
      </c>
      <c r="L190" s="315">
        <f t="shared" si="19"/>
        <v>6178181.5</v>
      </c>
      <c r="N190" s="383">
        <f t="shared" si="23"/>
        <v>4.5</v>
      </c>
      <c r="O190" s="383">
        <f t="shared" si="24"/>
        <v>91</v>
      </c>
      <c r="P190" s="383">
        <f t="shared" si="25"/>
        <v>95.5</v>
      </c>
      <c r="Q190" s="384">
        <f t="shared" si="26"/>
        <v>6178181.5</v>
      </c>
    </row>
    <row r="191" spans="1:17">
      <c r="A191" s="377">
        <f t="shared" si="20"/>
        <v>177</v>
      </c>
      <c r="B191" s="378" t="s">
        <v>459</v>
      </c>
      <c r="C191" s="378" t="s">
        <v>474</v>
      </c>
      <c r="D191" s="379">
        <v>42985</v>
      </c>
      <c r="E191" s="380">
        <v>1145.1199999999999</v>
      </c>
      <c r="F191" s="379">
        <v>42985</v>
      </c>
      <c r="G191" s="379"/>
      <c r="H191" s="381">
        <f t="shared" si="21"/>
        <v>0</v>
      </c>
      <c r="I191" s="379">
        <v>43018</v>
      </c>
      <c r="J191" s="382">
        <f t="shared" si="22"/>
        <v>33</v>
      </c>
      <c r="K191" s="382">
        <f t="shared" si="18"/>
        <v>33</v>
      </c>
      <c r="L191" s="315">
        <f t="shared" si="19"/>
        <v>37788.959999999999</v>
      </c>
      <c r="N191" s="383">
        <f t="shared" si="23"/>
        <v>15</v>
      </c>
      <c r="O191" s="383">
        <f t="shared" si="24"/>
        <v>33</v>
      </c>
      <c r="P191" s="383">
        <f t="shared" si="25"/>
        <v>48</v>
      </c>
      <c r="Q191" s="384">
        <f t="shared" si="26"/>
        <v>54965.759999999995</v>
      </c>
    </row>
    <row r="192" spans="1:17">
      <c r="A192" s="377">
        <f t="shared" si="20"/>
        <v>178</v>
      </c>
      <c r="B192" s="378" t="s">
        <v>459</v>
      </c>
      <c r="C192" s="378" t="s">
        <v>474</v>
      </c>
      <c r="D192" s="379">
        <v>42905</v>
      </c>
      <c r="E192" s="380">
        <v>326.22000000000003</v>
      </c>
      <c r="F192" s="379">
        <v>42905</v>
      </c>
      <c r="G192" s="379"/>
      <c r="H192" s="381">
        <f t="shared" si="21"/>
        <v>0</v>
      </c>
      <c r="I192" s="379">
        <v>42936</v>
      </c>
      <c r="J192" s="382">
        <f t="shared" si="22"/>
        <v>31</v>
      </c>
      <c r="K192" s="382">
        <f t="shared" si="18"/>
        <v>31</v>
      </c>
      <c r="L192" s="315">
        <f t="shared" si="19"/>
        <v>10112.82</v>
      </c>
      <c r="N192" s="383">
        <f t="shared" si="23"/>
        <v>15</v>
      </c>
      <c r="O192" s="383">
        <f t="shared" si="24"/>
        <v>31</v>
      </c>
      <c r="P192" s="383">
        <f t="shared" si="25"/>
        <v>46</v>
      </c>
      <c r="Q192" s="384">
        <f t="shared" si="26"/>
        <v>15006.12</v>
      </c>
    </row>
    <row r="193" spans="1:24">
      <c r="A193" s="377">
        <f t="shared" si="20"/>
        <v>179</v>
      </c>
      <c r="B193" s="378" t="s">
        <v>459</v>
      </c>
      <c r="C193" s="378" t="s">
        <v>474</v>
      </c>
      <c r="D193" s="379">
        <v>42914</v>
      </c>
      <c r="E193" s="380">
        <v>690.44</v>
      </c>
      <c r="F193" s="379">
        <v>42914</v>
      </c>
      <c r="G193" s="379"/>
      <c r="H193" s="381">
        <f t="shared" si="21"/>
        <v>0</v>
      </c>
      <c r="I193" s="379">
        <v>42947</v>
      </c>
      <c r="J193" s="382">
        <f t="shared" si="22"/>
        <v>33</v>
      </c>
      <c r="K193" s="382">
        <f t="shared" si="18"/>
        <v>33</v>
      </c>
      <c r="L193" s="315">
        <f t="shared" si="19"/>
        <v>22784.52</v>
      </c>
      <c r="N193" s="383">
        <f t="shared" si="23"/>
        <v>15</v>
      </c>
      <c r="O193" s="383">
        <f t="shared" si="24"/>
        <v>33</v>
      </c>
      <c r="P193" s="383">
        <f t="shared" si="25"/>
        <v>48</v>
      </c>
      <c r="Q193" s="384">
        <f t="shared" si="26"/>
        <v>33141.120000000003</v>
      </c>
    </row>
    <row r="194" spans="1:24">
      <c r="A194" s="377">
        <f t="shared" si="20"/>
        <v>180</v>
      </c>
      <c r="B194" s="378" t="s">
        <v>459</v>
      </c>
      <c r="C194" s="378" t="s">
        <v>474</v>
      </c>
      <c r="D194" s="379">
        <v>42790</v>
      </c>
      <c r="E194" s="380">
        <v>3053.95</v>
      </c>
      <c r="F194" s="379">
        <v>42790</v>
      </c>
      <c r="G194" s="379"/>
      <c r="H194" s="381">
        <f t="shared" si="21"/>
        <v>0</v>
      </c>
      <c r="I194" s="379">
        <v>42821</v>
      </c>
      <c r="J194" s="382">
        <f t="shared" si="22"/>
        <v>31</v>
      </c>
      <c r="K194" s="382">
        <f t="shared" si="18"/>
        <v>31</v>
      </c>
      <c r="L194" s="315">
        <f t="shared" si="19"/>
        <v>94672.45</v>
      </c>
      <c r="N194" s="383">
        <f t="shared" si="23"/>
        <v>15</v>
      </c>
      <c r="O194" s="383">
        <f t="shared" si="24"/>
        <v>31</v>
      </c>
      <c r="P194" s="383">
        <f t="shared" si="25"/>
        <v>46</v>
      </c>
      <c r="Q194" s="384">
        <f t="shared" si="26"/>
        <v>140481.69999999998</v>
      </c>
    </row>
    <row r="195" spans="1:24">
      <c r="A195" s="377">
        <f t="shared" si="20"/>
        <v>181</v>
      </c>
      <c r="B195" s="378" t="s">
        <v>459</v>
      </c>
      <c r="C195" s="378" t="s">
        <v>474</v>
      </c>
      <c r="D195" s="379">
        <v>42999</v>
      </c>
      <c r="E195" s="380">
        <v>6214</v>
      </c>
      <c r="F195" s="379">
        <v>42999</v>
      </c>
      <c r="G195" s="379"/>
      <c r="H195" s="381">
        <f t="shared" si="21"/>
        <v>0</v>
      </c>
      <c r="I195" s="379">
        <v>43031</v>
      </c>
      <c r="J195" s="382">
        <f t="shared" si="22"/>
        <v>32</v>
      </c>
      <c r="K195" s="382">
        <f t="shared" si="18"/>
        <v>32</v>
      </c>
      <c r="L195" s="315">
        <f t="shared" si="19"/>
        <v>198848</v>
      </c>
      <c r="N195" s="383">
        <f t="shared" si="23"/>
        <v>15</v>
      </c>
      <c r="O195" s="383">
        <f t="shared" si="24"/>
        <v>32</v>
      </c>
      <c r="P195" s="383">
        <f t="shared" si="25"/>
        <v>47</v>
      </c>
      <c r="Q195" s="384">
        <f t="shared" si="26"/>
        <v>292058</v>
      </c>
    </row>
    <row r="196" spans="1:24">
      <c r="A196" s="377">
        <f t="shared" si="20"/>
        <v>182</v>
      </c>
      <c r="B196" s="378" t="s">
        <v>459</v>
      </c>
      <c r="C196" s="378" t="s">
        <v>474</v>
      </c>
      <c r="D196" s="379">
        <v>42879</v>
      </c>
      <c r="E196" s="380">
        <v>67.36</v>
      </c>
      <c r="F196" s="379">
        <v>42879</v>
      </c>
      <c r="G196" s="379"/>
      <c r="H196" s="381">
        <f t="shared" si="21"/>
        <v>0</v>
      </c>
      <c r="I196" s="379">
        <v>42909</v>
      </c>
      <c r="J196" s="382">
        <f t="shared" si="22"/>
        <v>30</v>
      </c>
      <c r="K196" s="382">
        <f t="shared" si="18"/>
        <v>30</v>
      </c>
      <c r="L196" s="315">
        <f t="shared" si="19"/>
        <v>2020.8</v>
      </c>
      <c r="N196" s="383">
        <f t="shared" si="23"/>
        <v>15</v>
      </c>
      <c r="O196" s="383">
        <f t="shared" si="24"/>
        <v>30</v>
      </c>
      <c r="P196" s="383">
        <f t="shared" si="25"/>
        <v>45</v>
      </c>
      <c r="Q196" s="384">
        <f t="shared" si="26"/>
        <v>3031.2</v>
      </c>
    </row>
    <row r="197" spans="1:24">
      <c r="A197" s="377">
        <f t="shared" si="20"/>
        <v>183</v>
      </c>
      <c r="B197" s="378" t="s">
        <v>430</v>
      </c>
      <c r="C197" s="378" t="s">
        <v>474</v>
      </c>
      <c r="D197" s="379">
        <v>42769</v>
      </c>
      <c r="E197" s="380">
        <v>49665.23</v>
      </c>
      <c r="F197" s="379">
        <v>42736</v>
      </c>
      <c r="G197" s="379">
        <v>42763</v>
      </c>
      <c r="H197" s="381">
        <f t="shared" si="21"/>
        <v>13.5</v>
      </c>
      <c r="I197" s="379">
        <v>42800</v>
      </c>
      <c r="J197" s="382">
        <f t="shared" si="22"/>
        <v>37</v>
      </c>
      <c r="K197" s="382">
        <f t="shared" si="18"/>
        <v>50.5</v>
      </c>
      <c r="L197" s="315">
        <f t="shared" si="19"/>
        <v>2508094.12</v>
      </c>
      <c r="M197" s="27"/>
      <c r="N197" s="383">
        <f t="shared" si="23"/>
        <v>13.5</v>
      </c>
      <c r="O197" s="383">
        <f t="shared" si="24"/>
        <v>37</v>
      </c>
      <c r="P197" s="383">
        <f t="shared" si="25"/>
        <v>50.5</v>
      </c>
      <c r="Q197" s="384">
        <f t="shared" si="26"/>
        <v>2508094.1150000002</v>
      </c>
      <c r="R197" s="27"/>
      <c r="S197" s="27"/>
      <c r="T197" s="27"/>
      <c r="U197" s="27"/>
      <c r="V197" s="27"/>
      <c r="W197" s="27"/>
      <c r="X197" s="27"/>
    </row>
    <row r="198" spans="1:24">
      <c r="A198" s="377">
        <f t="shared" si="20"/>
        <v>184</v>
      </c>
      <c r="B198" s="378" t="s">
        <v>430</v>
      </c>
      <c r="C198" s="378" t="s">
        <v>474</v>
      </c>
      <c r="D198" s="379">
        <v>42769</v>
      </c>
      <c r="E198" s="380">
        <v>51402.71</v>
      </c>
      <c r="F198" s="379">
        <v>42736</v>
      </c>
      <c r="G198" s="379">
        <v>42763</v>
      </c>
      <c r="H198" s="381">
        <f t="shared" si="21"/>
        <v>13.5</v>
      </c>
      <c r="I198" s="379">
        <v>42800</v>
      </c>
      <c r="J198" s="382">
        <f t="shared" si="22"/>
        <v>37</v>
      </c>
      <c r="K198" s="382">
        <f t="shared" si="18"/>
        <v>50.5</v>
      </c>
      <c r="L198" s="315">
        <f t="shared" si="19"/>
        <v>2595836.86</v>
      </c>
      <c r="M198" s="27"/>
      <c r="N198" s="383">
        <f t="shared" si="23"/>
        <v>13.5</v>
      </c>
      <c r="O198" s="383">
        <f t="shared" si="24"/>
        <v>37</v>
      </c>
      <c r="P198" s="383">
        <f t="shared" si="25"/>
        <v>50.5</v>
      </c>
      <c r="Q198" s="384">
        <f t="shared" si="26"/>
        <v>2595836.855</v>
      </c>
      <c r="R198" s="27"/>
      <c r="S198" s="27"/>
      <c r="T198" s="27"/>
      <c r="U198" s="27"/>
      <c r="V198" s="27"/>
      <c r="W198" s="27"/>
      <c r="X198" s="27"/>
    </row>
    <row r="199" spans="1:24">
      <c r="A199" s="377">
        <f t="shared" si="20"/>
        <v>185</v>
      </c>
      <c r="B199" s="378" t="s">
        <v>430</v>
      </c>
      <c r="C199" s="378" t="s">
        <v>474</v>
      </c>
      <c r="D199" s="379">
        <v>42769</v>
      </c>
      <c r="E199" s="380">
        <v>81937.3</v>
      </c>
      <c r="F199" s="379">
        <v>42736</v>
      </c>
      <c r="G199" s="379">
        <v>42763</v>
      </c>
      <c r="H199" s="381">
        <f t="shared" si="21"/>
        <v>13.5</v>
      </c>
      <c r="I199" s="379">
        <v>42800</v>
      </c>
      <c r="J199" s="382">
        <f t="shared" si="22"/>
        <v>37</v>
      </c>
      <c r="K199" s="382">
        <f t="shared" si="18"/>
        <v>50.5</v>
      </c>
      <c r="L199" s="315">
        <f t="shared" si="19"/>
        <v>4137833.65</v>
      </c>
      <c r="M199" s="27"/>
      <c r="N199" s="383">
        <f t="shared" si="23"/>
        <v>13.5</v>
      </c>
      <c r="O199" s="383">
        <f t="shared" si="24"/>
        <v>37</v>
      </c>
      <c r="P199" s="383">
        <f t="shared" si="25"/>
        <v>50.5</v>
      </c>
      <c r="Q199" s="384">
        <f t="shared" si="26"/>
        <v>4137833.6500000004</v>
      </c>
      <c r="R199" s="27"/>
      <c r="S199" s="27"/>
      <c r="T199" s="27"/>
      <c r="U199" s="27"/>
      <c r="V199" s="27"/>
      <c r="W199" s="27"/>
      <c r="X199" s="27"/>
    </row>
    <row r="200" spans="1:24">
      <c r="A200" s="377">
        <f t="shared" si="20"/>
        <v>186</v>
      </c>
      <c r="B200" s="378" t="s">
        <v>475</v>
      </c>
      <c r="C200" s="378" t="s">
        <v>474</v>
      </c>
      <c r="D200" s="379">
        <v>42773</v>
      </c>
      <c r="E200" s="380">
        <v>53736.7</v>
      </c>
      <c r="F200" s="379">
        <v>42736</v>
      </c>
      <c r="G200" s="379">
        <v>42763</v>
      </c>
      <c r="H200" s="381">
        <f t="shared" si="21"/>
        <v>13.5</v>
      </c>
      <c r="I200" s="379">
        <v>42804</v>
      </c>
      <c r="J200" s="382">
        <f t="shared" si="22"/>
        <v>41</v>
      </c>
      <c r="K200" s="382">
        <f t="shared" si="18"/>
        <v>54.5</v>
      </c>
      <c r="L200" s="315">
        <f t="shared" si="19"/>
        <v>2928650.15</v>
      </c>
      <c r="M200" s="27"/>
      <c r="N200" s="383">
        <f t="shared" si="23"/>
        <v>13.5</v>
      </c>
      <c r="O200" s="383">
        <f t="shared" si="24"/>
        <v>41</v>
      </c>
      <c r="P200" s="383">
        <f t="shared" si="25"/>
        <v>54.5</v>
      </c>
      <c r="Q200" s="384">
        <f t="shared" si="26"/>
        <v>2928650.15</v>
      </c>
      <c r="R200" s="27"/>
      <c r="S200" s="27"/>
      <c r="T200" s="27"/>
      <c r="U200" s="27"/>
      <c r="V200" s="27"/>
      <c r="W200" s="27"/>
      <c r="X200" s="27"/>
    </row>
    <row r="201" spans="1:24">
      <c r="A201" s="377">
        <f t="shared" si="20"/>
        <v>187</v>
      </c>
      <c r="B201" s="378" t="s">
        <v>430</v>
      </c>
      <c r="C201" s="378" t="s">
        <v>474</v>
      </c>
      <c r="D201" s="379">
        <v>42796</v>
      </c>
      <c r="E201" s="380">
        <v>86628.68</v>
      </c>
      <c r="F201" s="379">
        <v>42764</v>
      </c>
      <c r="G201" s="379">
        <v>42791</v>
      </c>
      <c r="H201" s="381">
        <f t="shared" si="21"/>
        <v>13.5</v>
      </c>
      <c r="I201" s="379">
        <v>42828</v>
      </c>
      <c r="J201" s="382">
        <f t="shared" si="22"/>
        <v>37</v>
      </c>
      <c r="K201" s="382">
        <f t="shared" si="18"/>
        <v>50.5</v>
      </c>
      <c r="L201" s="315">
        <f t="shared" si="19"/>
        <v>4374748.34</v>
      </c>
      <c r="M201" s="27"/>
      <c r="N201" s="383">
        <f t="shared" si="23"/>
        <v>13.5</v>
      </c>
      <c r="O201" s="383">
        <f t="shared" si="24"/>
        <v>37</v>
      </c>
      <c r="P201" s="383">
        <f t="shared" si="25"/>
        <v>50.5</v>
      </c>
      <c r="Q201" s="384">
        <f t="shared" si="26"/>
        <v>4374748.34</v>
      </c>
      <c r="R201" s="27"/>
      <c r="S201" s="27"/>
      <c r="T201" s="27"/>
      <c r="U201" s="27"/>
      <c r="V201" s="27"/>
      <c r="W201" s="27"/>
      <c r="X201" s="27"/>
    </row>
    <row r="202" spans="1:24">
      <c r="A202" s="377">
        <f t="shared" si="20"/>
        <v>188</v>
      </c>
      <c r="B202" s="378" t="s">
        <v>430</v>
      </c>
      <c r="C202" s="378" t="s">
        <v>474</v>
      </c>
      <c r="D202" s="379">
        <v>42831</v>
      </c>
      <c r="E202" s="380">
        <v>53376.2</v>
      </c>
      <c r="F202" s="379">
        <v>42792</v>
      </c>
      <c r="G202" s="379">
        <v>42826</v>
      </c>
      <c r="H202" s="381">
        <f t="shared" si="21"/>
        <v>17</v>
      </c>
      <c r="I202" s="379">
        <v>42863</v>
      </c>
      <c r="J202" s="382">
        <f t="shared" si="22"/>
        <v>37</v>
      </c>
      <c r="K202" s="382">
        <f t="shared" si="18"/>
        <v>54</v>
      </c>
      <c r="L202" s="315">
        <f t="shared" si="19"/>
        <v>2882314.8</v>
      </c>
      <c r="M202" s="27"/>
      <c r="N202" s="383">
        <f t="shared" si="23"/>
        <v>17</v>
      </c>
      <c r="O202" s="383">
        <f t="shared" si="24"/>
        <v>37</v>
      </c>
      <c r="P202" s="383">
        <f t="shared" si="25"/>
        <v>54</v>
      </c>
      <c r="Q202" s="384">
        <f t="shared" si="26"/>
        <v>2882314.8</v>
      </c>
      <c r="R202" s="27"/>
      <c r="S202" s="27"/>
      <c r="T202" s="27"/>
      <c r="U202" s="27"/>
      <c r="V202" s="27"/>
      <c r="W202" s="27"/>
      <c r="X202" s="27"/>
    </row>
    <row r="203" spans="1:24">
      <c r="A203" s="377">
        <f t="shared" si="20"/>
        <v>189</v>
      </c>
      <c r="B203" s="378" t="s">
        <v>430</v>
      </c>
      <c r="C203" s="378" t="s">
        <v>474</v>
      </c>
      <c r="D203" s="379">
        <v>42831</v>
      </c>
      <c r="E203" s="380">
        <v>82338.78</v>
      </c>
      <c r="F203" s="379">
        <v>42792</v>
      </c>
      <c r="G203" s="379">
        <v>42826</v>
      </c>
      <c r="H203" s="381">
        <f t="shared" si="21"/>
        <v>17</v>
      </c>
      <c r="I203" s="379">
        <v>42863</v>
      </c>
      <c r="J203" s="382">
        <f t="shared" si="22"/>
        <v>37</v>
      </c>
      <c r="K203" s="382">
        <f t="shared" si="18"/>
        <v>54</v>
      </c>
      <c r="L203" s="315">
        <f t="shared" si="19"/>
        <v>4446294.12</v>
      </c>
      <c r="M203" s="27"/>
      <c r="N203" s="383">
        <f t="shared" si="23"/>
        <v>17</v>
      </c>
      <c r="O203" s="383">
        <f t="shared" si="24"/>
        <v>37</v>
      </c>
      <c r="P203" s="383">
        <f t="shared" si="25"/>
        <v>54</v>
      </c>
      <c r="Q203" s="384">
        <f t="shared" si="26"/>
        <v>4446294.12</v>
      </c>
      <c r="R203" s="27"/>
      <c r="S203" s="27"/>
      <c r="T203" s="27"/>
      <c r="U203" s="27"/>
      <c r="V203" s="27"/>
      <c r="W203" s="27"/>
      <c r="X203" s="27"/>
    </row>
    <row r="204" spans="1:24">
      <c r="A204" s="377">
        <f t="shared" si="20"/>
        <v>190</v>
      </c>
      <c r="B204" s="378" t="s">
        <v>475</v>
      </c>
      <c r="C204" s="378" t="s">
        <v>474</v>
      </c>
      <c r="D204" s="379">
        <v>42832</v>
      </c>
      <c r="E204" s="380">
        <v>76570.070000000007</v>
      </c>
      <c r="F204" s="379">
        <v>42792</v>
      </c>
      <c r="G204" s="379">
        <v>42826</v>
      </c>
      <c r="H204" s="381">
        <f t="shared" si="21"/>
        <v>17</v>
      </c>
      <c r="I204" s="379">
        <v>42872</v>
      </c>
      <c r="J204" s="382">
        <f t="shared" si="22"/>
        <v>46</v>
      </c>
      <c r="K204" s="382">
        <f t="shared" si="18"/>
        <v>63</v>
      </c>
      <c r="L204" s="315">
        <f t="shared" si="19"/>
        <v>4823914.41</v>
      </c>
      <c r="M204" s="27"/>
      <c r="N204" s="383">
        <f t="shared" si="23"/>
        <v>17</v>
      </c>
      <c r="O204" s="383">
        <f t="shared" si="24"/>
        <v>46</v>
      </c>
      <c r="P204" s="383">
        <f t="shared" si="25"/>
        <v>63</v>
      </c>
      <c r="Q204" s="384">
        <f t="shared" si="26"/>
        <v>4823914.41</v>
      </c>
      <c r="R204" s="27"/>
      <c r="S204" s="27"/>
      <c r="T204" s="27"/>
      <c r="U204" s="27"/>
      <c r="V204" s="27"/>
      <c r="W204" s="27"/>
      <c r="X204" s="27"/>
    </row>
    <row r="205" spans="1:24">
      <c r="A205" s="377">
        <f t="shared" si="20"/>
        <v>191</v>
      </c>
      <c r="B205" s="378" t="s">
        <v>475</v>
      </c>
      <c r="C205" s="378" t="s">
        <v>474</v>
      </c>
      <c r="D205" s="379">
        <v>42860</v>
      </c>
      <c r="E205" s="380">
        <v>60714.77</v>
      </c>
      <c r="F205" s="379">
        <v>42827</v>
      </c>
      <c r="G205" s="379">
        <v>42854</v>
      </c>
      <c r="H205" s="381">
        <f t="shared" si="21"/>
        <v>13.5</v>
      </c>
      <c r="I205" s="379">
        <v>42892</v>
      </c>
      <c r="J205" s="382">
        <f t="shared" si="22"/>
        <v>38</v>
      </c>
      <c r="K205" s="382">
        <f t="shared" si="18"/>
        <v>51.5</v>
      </c>
      <c r="L205" s="315">
        <f t="shared" si="19"/>
        <v>3126810.66</v>
      </c>
      <c r="M205" s="27"/>
      <c r="N205" s="383">
        <f t="shared" si="23"/>
        <v>13.5</v>
      </c>
      <c r="O205" s="383">
        <f t="shared" si="24"/>
        <v>38</v>
      </c>
      <c r="P205" s="383">
        <f t="shared" si="25"/>
        <v>51.5</v>
      </c>
      <c r="Q205" s="384">
        <f t="shared" si="26"/>
        <v>3126810.6549999998</v>
      </c>
      <c r="R205" s="27"/>
      <c r="S205" s="27"/>
      <c r="T205" s="27"/>
      <c r="U205" s="27"/>
      <c r="V205" s="27"/>
      <c r="W205" s="27"/>
      <c r="X205" s="27"/>
    </row>
    <row r="206" spans="1:24">
      <c r="A206" s="377">
        <f t="shared" si="20"/>
        <v>192</v>
      </c>
      <c r="B206" s="378" t="s">
        <v>430</v>
      </c>
      <c r="C206" s="378" t="s">
        <v>474</v>
      </c>
      <c r="D206" s="379">
        <v>42859</v>
      </c>
      <c r="E206" s="380">
        <v>58187.46</v>
      </c>
      <c r="F206" s="379">
        <v>42827</v>
      </c>
      <c r="G206" s="379">
        <v>42854</v>
      </c>
      <c r="H206" s="381">
        <f t="shared" si="21"/>
        <v>13.5</v>
      </c>
      <c r="I206" s="379">
        <v>42891</v>
      </c>
      <c r="J206" s="382">
        <f t="shared" si="22"/>
        <v>37</v>
      </c>
      <c r="K206" s="382">
        <f t="shared" si="18"/>
        <v>50.5</v>
      </c>
      <c r="L206" s="315">
        <f t="shared" si="19"/>
        <v>2938466.73</v>
      </c>
      <c r="M206" s="27"/>
      <c r="N206" s="383">
        <f t="shared" si="23"/>
        <v>13.5</v>
      </c>
      <c r="O206" s="383">
        <f t="shared" si="24"/>
        <v>37</v>
      </c>
      <c r="P206" s="383">
        <f t="shared" si="25"/>
        <v>50.5</v>
      </c>
      <c r="Q206" s="384">
        <f t="shared" si="26"/>
        <v>2938466.73</v>
      </c>
      <c r="R206" s="27"/>
      <c r="S206" s="27"/>
      <c r="T206" s="27"/>
      <c r="U206" s="27"/>
      <c r="V206" s="27"/>
      <c r="W206" s="27"/>
      <c r="X206" s="27"/>
    </row>
    <row r="207" spans="1:24">
      <c r="A207" s="377">
        <f t="shared" si="20"/>
        <v>193</v>
      </c>
      <c r="B207" s="378" t="s">
        <v>475</v>
      </c>
      <c r="C207" s="378" t="s">
        <v>474</v>
      </c>
      <c r="D207" s="379">
        <v>42894</v>
      </c>
      <c r="E207" s="380">
        <v>83334.070000000007</v>
      </c>
      <c r="F207" s="379">
        <v>42855</v>
      </c>
      <c r="G207" s="379">
        <v>42889</v>
      </c>
      <c r="H207" s="381">
        <f t="shared" si="21"/>
        <v>17</v>
      </c>
      <c r="I207" s="379">
        <v>42926</v>
      </c>
      <c r="J207" s="382">
        <f t="shared" si="22"/>
        <v>37</v>
      </c>
      <c r="K207" s="382">
        <f t="shared" ref="K207:K270" si="27">H207+J207</f>
        <v>54</v>
      </c>
      <c r="L207" s="315">
        <f t="shared" ref="L207:L270" si="28">ROUND(E207*K207,2)</f>
        <v>4500039.78</v>
      </c>
      <c r="M207" s="27"/>
      <c r="N207" s="383">
        <f t="shared" si="23"/>
        <v>17</v>
      </c>
      <c r="O207" s="383">
        <f t="shared" si="24"/>
        <v>37</v>
      </c>
      <c r="P207" s="383">
        <f t="shared" si="25"/>
        <v>54</v>
      </c>
      <c r="Q207" s="384">
        <f t="shared" si="26"/>
        <v>4500039.78</v>
      </c>
      <c r="R207" s="27"/>
      <c r="S207" s="27"/>
      <c r="T207" s="27"/>
      <c r="U207" s="27"/>
      <c r="V207" s="27"/>
      <c r="W207" s="27"/>
      <c r="X207" s="27"/>
    </row>
    <row r="208" spans="1:24">
      <c r="A208" s="377">
        <f t="shared" ref="A208:A271" si="29">A207+1</f>
        <v>194</v>
      </c>
      <c r="B208" s="378" t="s">
        <v>475</v>
      </c>
      <c r="C208" s="378" t="s">
        <v>474</v>
      </c>
      <c r="D208" s="379">
        <v>42894</v>
      </c>
      <c r="E208" s="380">
        <v>52229.72</v>
      </c>
      <c r="F208" s="379">
        <v>42855</v>
      </c>
      <c r="G208" s="379">
        <v>42889</v>
      </c>
      <c r="H208" s="381">
        <f t="shared" ref="H208:H271" si="30">IF(G208="",0,(G208-F208)/2)</f>
        <v>17</v>
      </c>
      <c r="I208" s="379">
        <v>42926</v>
      </c>
      <c r="J208" s="382">
        <f t="shared" ref="J208:J271" si="31">IF(G208="",I208-F208,I208-G208)</f>
        <v>37</v>
      </c>
      <c r="K208" s="382">
        <f t="shared" si="27"/>
        <v>54</v>
      </c>
      <c r="L208" s="315">
        <f t="shared" si="28"/>
        <v>2820404.88</v>
      </c>
      <c r="M208" s="27"/>
      <c r="N208" s="383">
        <f t="shared" ref="N208:N271" si="32">IF(G208="",30/2,H208)</f>
        <v>17</v>
      </c>
      <c r="O208" s="383">
        <f t="shared" ref="O208:O271" si="33">J208</f>
        <v>37</v>
      </c>
      <c r="P208" s="383">
        <f t="shared" ref="P208:P271" si="34">N208+O208</f>
        <v>54</v>
      </c>
      <c r="Q208" s="384">
        <f t="shared" ref="Q208:Q271" si="35">E208*P208</f>
        <v>2820404.88</v>
      </c>
      <c r="R208" s="27"/>
      <c r="S208" s="27"/>
      <c r="T208" s="27"/>
      <c r="U208" s="27"/>
      <c r="V208" s="27"/>
      <c r="W208" s="27"/>
      <c r="X208" s="27"/>
    </row>
    <row r="209" spans="1:24">
      <c r="A209" s="377">
        <f t="shared" si="29"/>
        <v>195</v>
      </c>
      <c r="B209" s="378" t="s">
        <v>430</v>
      </c>
      <c r="C209" s="378" t="s">
        <v>474</v>
      </c>
      <c r="D209" s="379">
        <v>42893</v>
      </c>
      <c r="E209" s="380">
        <v>52909.52</v>
      </c>
      <c r="F209" s="379">
        <v>42855</v>
      </c>
      <c r="G209" s="379">
        <v>42889</v>
      </c>
      <c r="H209" s="381">
        <f t="shared" si="30"/>
        <v>17</v>
      </c>
      <c r="I209" s="379">
        <v>42929</v>
      </c>
      <c r="J209" s="382">
        <f t="shared" si="31"/>
        <v>40</v>
      </c>
      <c r="K209" s="382">
        <f t="shared" si="27"/>
        <v>57</v>
      </c>
      <c r="L209" s="315">
        <f t="shared" si="28"/>
        <v>3015842.64</v>
      </c>
      <c r="M209" s="27"/>
      <c r="N209" s="383">
        <f t="shared" si="32"/>
        <v>17</v>
      </c>
      <c r="O209" s="383">
        <f t="shared" si="33"/>
        <v>40</v>
      </c>
      <c r="P209" s="383">
        <f t="shared" si="34"/>
        <v>57</v>
      </c>
      <c r="Q209" s="384">
        <f t="shared" si="35"/>
        <v>3015842.6399999997</v>
      </c>
      <c r="R209" s="27"/>
      <c r="S209" s="27"/>
      <c r="T209" s="27"/>
      <c r="U209" s="27"/>
      <c r="V209" s="27"/>
      <c r="W209" s="27"/>
      <c r="X209" s="27"/>
    </row>
    <row r="210" spans="1:24">
      <c r="A210" s="377">
        <f t="shared" si="29"/>
        <v>196</v>
      </c>
      <c r="B210" s="378" t="s">
        <v>430</v>
      </c>
      <c r="C210" s="378" t="s">
        <v>474</v>
      </c>
      <c r="D210" s="379">
        <v>42893</v>
      </c>
      <c r="E210" s="380">
        <v>79981.929999999993</v>
      </c>
      <c r="F210" s="379">
        <v>42855</v>
      </c>
      <c r="G210" s="379">
        <v>42889</v>
      </c>
      <c r="H210" s="381">
        <f t="shared" si="30"/>
        <v>17</v>
      </c>
      <c r="I210" s="379">
        <v>42929</v>
      </c>
      <c r="J210" s="382">
        <f t="shared" si="31"/>
        <v>40</v>
      </c>
      <c r="K210" s="382">
        <f t="shared" si="27"/>
        <v>57</v>
      </c>
      <c r="L210" s="315">
        <f t="shared" si="28"/>
        <v>4558970.01</v>
      </c>
      <c r="M210" s="27"/>
      <c r="N210" s="383">
        <f t="shared" si="32"/>
        <v>17</v>
      </c>
      <c r="O210" s="383">
        <f t="shared" si="33"/>
        <v>40</v>
      </c>
      <c r="P210" s="383">
        <f t="shared" si="34"/>
        <v>57</v>
      </c>
      <c r="Q210" s="384">
        <f t="shared" si="35"/>
        <v>4558970.01</v>
      </c>
      <c r="R210" s="27"/>
      <c r="S210" s="27"/>
      <c r="T210" s="27"/>
      <c r="U210" s="27"/>
      <c r="V210" s="27"/>
      <c r="W210" s="27"/>
      <c r="X210" s="27"/>
    </row>
    <row r="211" spans="1:24">
      <c r="A211" s="377">
        <f t="shared" si="29"/>
        <v>197</v>
      </c>
      <c r="B211" s="378" t="s">
        <v>430</v>
      </c>
      <c r="C211" s="378" t="s">
        <v>474</v>
      </c>
      <c r="D211" s="379">
        <v>42893</v>
      </c>
      <c r="E211" s="380">
        <v>66893.08</v>
      </c>
      <c r="F211" s="379">
        <v>42855</v>
      </c>
      <c r="G211" s="379">
        <v>42889</v>
      </c>
      <c r="H211" s="381">
        <f t="shared" si="30"/>
        <v>17</v>
      </c>
      <c r="I211" s="379">
        <v>42937</v>
      </c>
      <c r="J211" s="382">
        <f t="shared" si="31"/>
        <v>48</v>
      </c>
      <c r="K211" s="382">
        <f t="shared" si="27"/>
        <v>65</v>
      </c>
      <c r="L211" s="315">
        <f t="shared" si="28"/>
        <v>4348050.2</v>
      </c>
      <c r="M211" s="27"/>
      <c r="N211" s="383">
        <f t="shared" si="32"/>
        <v>17</v>
      </c>
      <c r="O211" s="383">
        <f t="shared" si="33"/>
        <v>48</v>
      </c>
      <c r="P211" s="383">
        <f t="shared" si="34"/>
        <v>65</v>
      </c>
      <c r="Q211" s="384">
        <f t="shared" si="35"/>
        <v>4348050.2</v>
      </c>
      <c r="R211" s="27"/>
      <c r="S211" s="27"/>
      <c r="T211" s="27"/>
      <c r="U211" s="27"/>
      <c r="V211" s="27"/>
      <c r="W211" s="27"/>
      <c r="X211" s="27"/>
    </row>
    <row r="212" spans="1:24">
      <c r="A212" s="377">
        <f t="shared" si="29"/>
        <v>198</v>
      </c>
      <c r="B212" s="378" t="s">
        <v>475</v>
      </c>
      <c r="C212" s="378" t="s">
        <v>474</v>
      </c>
      <c r="D212" s="379">
        <v>42923</v>
      </c>
      <c r="E212" s="380">
        <v>50774.73</v>
      </c>
      <c r="F212" s="379">
        <v>42890</v>
      </c>
      <c r="G212" s="379">
        <v>42917</v>
      </c>
      <c r="H212" s="381">
        <f t="shared" si="30"/>
        <v>13.5</v>
      </c>
      <c r="I212" s="379">
        <v>42954</v>
      </c>
      <c r="J212" s="382">
        <f t="shared" si="31"/>
        <v>37</v>
      </c>
      <c r="K212" s="382">
        <f t="shared" si="27"/>
        <v>50.5</v>
      </c>
      <c r="L212" s="315">
        <f t="shared" si="28"/>
        <v>2564123.87</v>
      </c>
      <c r="M212" s="27"/>
      <c r="N212" s="383">
        <f t="shared" si="32"/>
        <v>13.5</v>
      </c>
      <c r="O212" s="383">
        <f t="shared" si="33"/>
        <v>37</v>
      </c>
      <c r="P212" s="383">
        <f t="shared" si="34"/>
        <v>50.5</v>
      </c>
      <c r="Q212" s="384">
        <f t="shared" si="35"/>
        <v>2564123.8650000002</v>
      </c>
      <c r="R212" s="27"/>
      <c r="S212" s="27"/>
      <c r="T212" s="27"/>
      <c r="U212" s="27"/>
      <c r="V212" s="27"/>
      <c r="W212" s="27"/>
      <c r="X212" s="27"/>
    </row>
    <row r="213" spans="1:24">
      <c r="A213" s="377">
        <f t="shared" si="29"/>
        <v>199</v>
      </c>
      <c r="B213" s="378" t="s">
        <v>475</v>
      </c>
      <c r="C213" s="378" t="s">
        <v>474</v>
      </c>
      <c r="D213" s="379">
        <v>42923</v>
      </c>
      <c r="E213" s="380">
        <v>77168.62</v>
      </c>
      <c r="F213" s="379">
        <v>42890</v>
      </c>
      <c r="G213" s="379">
        <v>42917</v>
      </c>
      <c r="H213" s="381">
        <f t="shared" si="30"/>
        <v>13.5</v>
      </c>
      <c r="I213" s="379">
        <v>42954</v>
      </c>
      <c r="J213" s="382">
        <f t="shared" si="31"/>
        <v>37</v>
      </c>
      <c r="K213" s="382">
        <f t="shared" si="27"/>
        <v>50.5</v>
      </c>
      <c r="L213" s="315">
        <f t="shared" si="28"/>
        <v>3897015.31</v>
      </c>
      <c r="M213" s="27"/>
      <c r="N213" s="383">
        <f t="shared" si="32"/>
        <v>13.5</v>
      </c>
      <c r="O213" s="383">
        <f t="shared" si="33"/>
        <v>37</v>
      </c>
      <c r="P213" s="383">
        <f t="shared" si="34"/>
        <v>50.5</v>
      </c>
      <c r="Q213" s="384">
        <f t="shared" si="35"/>
        <v>3897015.3099999996</v>
      </c>
      <c r="R213" s="27"/>
      <c r="S213" s="27"/>
      <c r="T213" s="27"/>
      <c r="U213" s="27"/>
      <c r="V213" s="27"/>
      <c r="W213" s="27"/>
      <c r="X213" s="27"/>
    </row>
    <row r="214" spans="1:24">
      <c r="A214" s="377">
        <f t="shared" si="29"/>
        <v>200</v>
      </c>
      <c r="B214" s="378" t="s">
        <v>430</v>
      </c>
      <c r="C214" s="378" t="s">
        <v>474</v>
      </c>
      <c r="D214" s="379">
        <v>42922</v>
      </c>
      <c r="E214" s="380">
        <v>64303.87</v>
      </c>
      <c r="F214" s="379">
        <v>42890</v>
      </c>
      <c r="G214" s="379">
        <v>42916</v>
      </c>
      <c r="H214" s="381">
        <f t="shared" si="30"/>
        <v>13</v>
      </c>
      <c r="I214" s="379">
        <v>42954</v>
      </c>
      <c r="J214" s="382">
        <f t="shared" si="31"/>
        <v>38</v>
      </c>
      <c r="K214" s="382">
        <f t="shared" si="27"/>
        <v>51</v>
      </c>
      <c r="L214" s="315">
        <f t="shared" si="28"/>
        <v>3279497.37</v>
      </c>
      <c r="M214" s="27"/>
      <c r="N214" s="383">
        <f t="shared" si="32"/>
        <v>13</v>
      </c>
      <c r="O214" s="383">
        <f t="shared" si="33"/>
        <v>38</v>
      </c>
      <c r="P214" s="383">
        <f t="shared" si="34"/>
        <v>51</v>
      </c>
      <c r="Q214" s="384">
        <f t="shared" si="35"/>
        <v>3279497.37</v>
      </c>
      <c r="R214" s="27"/>
      <c r="S214" s="27"/>
      <c r="T214" s="27"/>
      <c r="U214" s="27"/>
      <c r="V214" s="27"/>
      <c r="W214" s="27"/>
      <c r="X214" s="27"/>
    </row>
    <row r="215" spans="1:24">
      <c r="A215" s="377">
        <f t="shared" si="29"/>
        <v>201</v>
      </c>
      <c r="B215" s="378" t="s">
        <v>430</v>
      </c>
      <c r="C215" s="378" t="s">
        <v>474</v>
      </c>
      <c r="D215" s="379">
        <v>42922</v>
      </c>
      <c r="E215" s="380">
        <v>71782.600000000006</v>
      </c>
      <c r="F215" s="379">
        <v>42890</v>
      </c>
      <c r="G215" s="379">
        <v>42916</v>
      </c>
      <c r="H215" s="381">
        <f t="shared" si="30"/>
        <v>13</v>
      </c>
      <c r="I215" s="379">
        <v>42954</v>
      </c>
      <c r="J215" s="382">
        <f t="shared" si="31"/>
        <v>38</v>
      </c>
      <c r="K215" s="382">
        <f t="shared" si="27"/>
        <v>51</v>
      </c>
      <c r="L215" s="315">
        <f t="shared" si="28"/>
        <v>3660912.6</v>
      </c>
      <c r="M215" s="27"/>
      <c r="N215" s="383">
        <f t="shared" si="32"/>
        <v>13</v>
      </c>
      <c r="O215" s="383">
        <f t="shared" si="33"/>
        <v>38</v>
      </c>
      <c r="P215" s="383">
        <f t="shared" si="34"/>
        <v>51</v>
      </c>
      <c r="Q215" s="384">
        <f t="shared" si="35"/>
        <v>3660912.6</v>
      </c>
      <c r="R215" s="27"/>
      <c r="S215" s="27"/>
      <c r="T215" s="27"/>
      <c r="U215" s="27"/>
      <c r="V215" s="27"/>
      <c r="W215" s="27"/>
      <c r="X215" s="27"/>
    </row>
    <row r="216" spans="1:24">
      <c r="A216" s="377">
        <f t="shared" si="29"/>
        <v>202</v>
      </c>
      <c r="B216" s="378" t="s">
        <v>430</v>
      </c>
      <c r="C216" s="378" t="s">
        <v>474</v>
      </c>
      <c r="D216" s="379">
        <v>42922</v>
      </c>
      <c r="E216" s="380">
        <v>63536.7</v>
      </c>
      <c r="F216" s="379">
        <v>42890</v>
      </c>
      <c r="G216" s="379">
        <v>42916</v>
      </c>
      <c r="H216" s="381">
        <f t="shared" si="30"/>
        <v>13</v>
      </c>
      <c r="I216" s="379">
        <v>42954</v>
      </c>
      <c r="J216" s="382">
        <f t="shared" si="31"/>
        <v>38</v>
      </c>
      <c r="K216" s="382">
        <f t="shared" si="27"/>
        <v>51</v>
      </c>
      <c r="L216" s="315">
        <f t="shared" si="28"/>
        <v>3240371.7</v>
      </c>
      <c r="M216" s="27"/>
      <c r="N216" s="383">
        <f t="shared" si="32"/>
        <v>13</v>
      </c>
      <c r="O216" s="383">
        <f t="shared" si="33"/>
        <v>38</v>
      </c>
      <c r="P216" s="383">
        <f t="shared" si="34"/>
        <v>51</v>
      </c>
      <c r="Q216" s="384">
        <f t="shared" si="35"/>
        <v>3240371.6999999997</v>
      </c>
      <c r="R216" s="27"/>
      <c r="S216" s="27"/>
      <c r="T216" s="27"/>
      <c r="U216" s="27"/>
      <c r="V216" s="27"/>
      <c r="W216" s="27"/>
      <c r="X216" s="27"/>
    </row>
    <row r="217" spans="1:24">
      <c r="A217" s="377">
        <f t="shared" si="29"/>
        <v>203</v>
      </c>
      <c r="B217" s="378" t="s">
        <v>430</v>
      </c>
      <c r="C217" s="378" t="s">
        <v>474</v>
      </c>
      <c r="D217" s="379">
        <v>42950</v>
      </c>
      <c r="E217" s="380">
        <v>92608.8</v>
      </c>
      <c r="F217" s="379">
        <v>42918</v>
      </c>
      <c r="G217" s="379">
        <v>42945</v>
      </c>
      <c r="H217" s="381">
        <f t="shared" si="30"/>
        <v>13.5</v>
      </c>
      <c r="I217" s="379">
        <v>42986</v>
      </c>
      <c r="J217" s="382">
        <f t="shared" si="31"/>
        <v>41</v>
      </c>
      <c r="K217" s="382">
        <f t="shared" si="27"/>
        <v>54.5</v>
      </c>
      <c r="L217" s="315">
        <f t="shared" si="28"/>
        <v>5047179.5999999996</v>
      </c>
      <c r="M217" s="27"/>
      <c r="N217" s="383">
        <f t="shared" si="32"/>
        <v>13.5</v>
      </c>
      <c r="O217" s="383">
        <f t="shared" si="33"/>
        <v>41</v>
      </c>
      <c r="P217" s="383">
        <f t="shared" si="34"/>
        <v>54.5</v>
      </c>
      <c r="Q217" s="384">
        <f t="shared" si="35"/>
        <v>5047179.6000000006</v>
      </c>
      <c r="R217" s="27"/>
      <c r="S217" s="27"/>
      <c r="T217" s="27"/>
      <c r="U217" s="27"/>
      <c r="V217" s="27"/>
      <c r="W217" s="27"/>
      <c r="X217" s="27"/>
    </row>
    <row r="218" spans="1:24">
      <c r="A218" s="377">
        <f t="shared" si="29"/>
        <v>204</v>
      </c>
      <c r="B218" s="378" t="s">
        <v>430</v>
      </c>
      <c r="C218" s="378" t="s">
        <v>474</v>
      </c>
      <c r="D218" s="379">
        <v>42950</v>
      </c>
      <c r="E218" s="380">
        <v>76133.86</v>
      </c>
      <c r="F218" s="379">
        <v>42918</v>
      </c>
      <c r="G218" s="379">
        <v>42945</v>
      </c>
      <c r="H218" s="381">
        <f t="shared" si="30"/>
        <v>13.5</v>
      </c>
      <c r="I218" s="379">
        <v>42986</v>
      </c>
      <c r="J218" s="382">
        <f t="shared" si="31"/>
        <v>41</v>
      </c>
      <c r="K218" s="382">
        <f t="shared" si="27"/>
        <v>54.5</v>
      </c>
      <c r="L218" s="315">
        <f t="shared" si="28"/>
        <v>4149295.37</v>
      </c>
      <c r="M218" s="27"/>
      <c r="N218" s="383">
        <f t="shared" si="32"/>
        <v>13.5</v>
      </c>
      <c r="O218" s="383">
        <f t="shared" si="33"/>
        <v>41</v>
      </c>
      <c r="P218" s="383">
        <f t="shared" si="34"/>
        <v>54.5</v>
      </c>
      <c r="Q218" s="384">
        <f t="shared" si="35"/>
        <v>4149295.37</v>
      </c>
      <c r="R218" s="27"/>
      <c r="S218" s="27"/>
      <c r="T218" s="27"/>
      <c r="U218" s="27"/>
      <c r="V218" s="27"/>
      <c r="W218" s="27"/>
      <c r="X218" s="27"/>
    </row>
    <row r="219" spans="1:24">
      <c r="A219" s="377">
        <f t="shared" si="29"/>
        <v>205</v>
      </c>
      <c r="B219" s="378" t="s">
        <v>430</v>
      </c>
      <c r="C219" s="378" t="s">
        <v>474</v>
      </c>
      <c r="D219" s="379">
        <v>42950</v>
      </c>
      <c r="E219" s="380">
        <v>83681.3</v>
      </c>
      <c r="F219" s="379">
        <v>42918</v>
      </c>
      <c r="G219" s="379">
        <v>42945</v>
      </c>
      <c r="H219" s="381">
        <f t="shared" si="30"/>
        <v>13.5</v>
      </c>
      <c r="I219" s="379">
        <v>42986</v>
      </c>
      <c r="J219" s="382">
        <f t="shared" si="31"/>
        <v>41</v>
      </c>
      <c r="K219" s="382">
        <f t="shared" si="27"/>
        <v>54.5</v>
      </c>
      <c r="L219" s="315">
        <f t="shared" si="28"/>
        <v>4560630.8499999996</v>
      </c>
      <c r="M219" s="27"/>
      <c r="N219" s="383">
        <f t="shared" si="32"/>
        <v>13.5</v>
      </c>
      <c r="O219" s="383">
        <f t="shared" si="33"/>
        <v>41</v>
      </c>
      <c r="P219" s="383">
        <f t="shared" si="34"/>
        <v>54.5</v>
      </c>
      <c r="Q219" s="384">
        <f t="shared" si="35"/>
        <v>4560630.8500000006</v>
      </c>
      <c r="R219" s="27"/>
      <c r="S219" s="27"/>
      <c r="T219" s="27"/>
      <c r="U219" s="27"/>
      <c r="V219" s="27"/>
      <c r="W219" s="27"/>
      <c r="X219" s="27"/>
    </row>
    <row r="220" spans="1:24">
      <c r="A220" s="377">
        <f t="shared" si="29"/>
        <v>206</v>
      </c>
      <c r="B220" s="378" t="s">
        <v>475</v>
      </c>
      <c r="C220" s="378" t="s">
        <v>474</v>
      </c>
      <c r="D220" s="379">
        <v>42951</v>
      </c>
      <c r="E220" s="380">
        <v>62972.4</v>
      </c>
      <c r="F220" s="379">
        <v>42918</v>
      </c>
      <c r="G220" s="379">
        <v>42945</v>
      </c>
      <c r="H220" s="381">
        <f t="shared" si="30"/>
        <v>13.5</v>
      </c>
      <c r="I220" s="379">
        <v>42986</v>
      </c>
      <c r="J220" s="382">
        <f t="shared" si="31"/>
        <v>41</v>
      </c>
      <c r="K220" s="382">
        <f t="shared" si="27"/>
        <v>54.5</v>
      </c>
      <c r="L220" s="315">
        <f t="shared" si="28"/>
        <v>3431995.8</v>
      </c>
      <c r="M220" s="27"/>
      <c r="N220" s="383">
        <f t="shared" si="32"/>
        <v>13.5</v>
      </c>
      <c r="O220" s="383">
        <f t="shared" si="33"/>
        <v>41</v>
      </c>
      <c r="P220" s="383">
        <f t="shared" si="34"/>
        <v>54.5</v>
      </c>
      <c r="Q220" s="384">
        <f t="shared" si="35"/>
        <v>3431995.8000000003</v>
      </c>
      <c r="R220" s="27"/>
      <c r="S220" s="27"/>
      <c r="T220" s="27"/>
      <c r="U220" s="27"/>
      <c r="V220" s="27"/>
      <c r="W220" s="27"/>
      <c r="X220" s="27"/>
    </row>
    <row r="221" spans="1:24">
      <c r="A221" s="377">
        <f t="shared" si="29"/>
        <v>207</v>
      </c>
      <c r="B221" s="378" t="s">
        <v>475</v>
      </c>
      <c r="C221" s="378" t="s">
        <v>474</v>
      </c>
      <c r="D221" s="379">
        <v>42987</v>
      </c>
      <c r="E221" s="380">
        <v>56672.7</v>
      </c>
      <c r="F221" s="379">
        <v>42953</v>
      </c>
      <c r="G221" s="379">
        <v>42980</v>
      </c>
      <c r="H221" s="381">
        <f t="shared" si="30"/>
        <v>13.5</v>
      </c>
      <c r="I221" s="379">
        <v>43018</v>
      </c>
      <c r="J221" s="382">
        <f t="shared" si="31"/>
        <v>38</v>
      </c>
      <c r="K221" s="382">
        <f t="shared" si="27"/>
        <v>51.5</v>
      </c>
      <c r="L221" s="315">
        <f t="shared" si="28"/>
        <v>2918644.05</v>
      </c>
      <c r="M221" s="27"/>
      <c r="N221" s="383">
        <f t="shared" si="32"/>
        <v>13.5</v>
      </c>
      <c r="O221" s="383">
        <f t="shared" si="33"/>
        <v>38</v>
      </c>
      <c r="P221" s="383">
        <f t="shared" si="34"/>
        <v>51.5</v>
      </c>
      <c r="Q221" s="384">
        <f t="shared" si="35"/>
        <v>2918644.05</v>
      </c>
      <c r="R221" s="27"/>
      <c r="S221" s="27"/>
      <c r="T221" s="27"/>
      <c r="U221" s="27"/>
      <c r="V221" s="27"/>
      <c r="W221" s="27"/>
      <c r="X221" s="27"/>
    </row>
    <row r="222" spans="1:24">
      <c r="A222" s="377">
        <f t="shared" si="29"/>
        <v>208</v>
      </c>
      <c r="B222" s="378" t="s">
        <v>475</v>
      </c>
      <c r="C222" s="378" t="s">
        <v>474</v>
      </c>
      <c r="D222" s="379">
        <v>42986</v>
      </c>
      <c r="E222" s="380">
        <v>58737.43</v>
      </c>
      <c r="F222" s="379">
        <v>42953</v>
      </c>
      <c r="G222" s="379">
        <v>42980</v>
      </c>
      <c r="H222" s="381">
        <f t="shared" si="30"/>
        <v>13.5</v>
      </c>
      <c r="I222" s="379">
        <v>43018</v>
      </c>
      <c r="J222" s="382">
        <f t="shared" si="31"/>
        <v>38</v>
      </c>
      <c r="K222" s="382">
        <f t="shared" si="27"/>
        <v>51.5</v>
      </c>
      <c r="L222" s="315">
        <f t="shared" si="28"/>
        <v>3024977.65</v>
      </c>
      <c r="M222" s="27"/>
      <c r="N222" s="383">
        <f t="shared" si="32"/>
        <v>13.5</v>
      </c>
      <c r="O222" s="383">
        <f t="shared" si="33"/>
        <v>38</v>
      </c>
      <c r="P222" s="383">
        <f t="shared" si="34"/>
        <v>51.5</v>
      </c>
      <c r="Q222" s="384">
        <f t="shared" si="35"/>
        <v>3024977.645</v>
      </c>
      <c r="R222" s="27"/>
      <c r="S222" s="27"/>
      <c r="T222" s="27"/>
      <c r="U222" s="27"/>
      <c r="V222" s="27"/>
      <c r="W222" s="27"/>
      <c r="X222" s="27"/>
    </row>
    <row r="223" spans="1:24">
      <c r="A223" s="377">
        <f t="shared" si="29"/>
        <v>209</v>
      </c>
      <c r="B223" s="378" t="s">
        <v>430</v>
      </c>
      <c r="C223" s="378" t="s">
        <v>474</v>
      </c>
      <c r="D223" s="379">
        <v>42985</v>
      </c>
      <c r="E223" s="380">
        <v>182471.05</v>
      </c>
      <c r="F223" s="379">
        <v>42946</v>
      </c>
      <c r="G223" s="379">
        <v>42980</v>
      </c>
      <c r="H223" s="381">
        <f t="shared" si="30"/>
        <v>17</v>
      </c>
      <c r="I223" s="379">
        <v>43018</v>
      </c>
      <c r="J223" s="382">
        <f t="shared" si="31"/>
        <v>38</v>
      </c>
      <c r="K223" s="382">
        <f t="shared" si="27"/>
        <v>55</v>
      </c>
      <c r="L223" s="315">
        <f t="shared" si="28"/>
        <v>10035907.75</v>
      </c>
      <c r="M223" s="27"/>
      <c r="N223" s="383">
        <f t="shared" si="32"/>
        <v>17</v>
      </c>
      <c r="O223" s="383">
        <f t="shared" si="33"/>
        <v>38</v>
      </c>
      <c r="P223" s="383">
        <f t="shared" si="34"/>
        <v>55</v>
      </c>
      <c r="Q223" s="384">
        <f t="shared" si="35"/>
        <v>10035907.75</v>
      </c>
      <c r="R223" s="27"/>
      <c r="S223" s="27"/>
      <c r="T223" s="27"/>
      <c r="U223" s="27"/>
      <c r="V223" s="27"/>
      <c r="W223" s="27"/>
      <c r="X223" s="27"/>
    </row>
    <row r="224" spans="1:24">
      <c r="A224" s="377">
        <f t="shared" si="29"/>
        <v>210</v>
      </c>
      <c r="B224" s="378" t="s">
        <v>430</v>
      </c>
      <c r="C224" s="378" t="s">
        <v>474</v>
      </c>
      <c r="D224" s="379">
        <v>42985</v>
      </c>
      <c r="E224" s="380">
        <v>132231.25</v>
      </c>
      <c r="F224" s="379">
        <v>42946</v>
      </c>
      <c r="G224" s="379">
        <v>42980</v>
      </c>
      <c r="H224" s="381">
        <f t="shared" si="30"/>
        <v>17</v>
      </c>
      <c r="I224" s="379">
        <v>43018</v>
      </c>
      <c r="J224" s="382">
        <f t="shared" si="31"/>
        <v>38</v>
      </c>
      <c r="K224" s="382">
        <f t="shared" si="27"/>
        <v>55</v>
      </c>
      <c r="L224" s="315">
        <f t="shared" si="28"/>
        <v>7272718.75</v>
      </c>
      <c r="M224" s="27"/>
      <c r="N224" s="383">
        <f t="shared" si="32"/>
        <v>17</v>
      </c>
      <c r="O224" s="383">
        <f t="shared" si="33"/>
        <v>38</v>
      </c>
      <c r="P224" s="383">
        <f t="shared" si="34"/>
        <v>55</v>
      </c>
      <c r="Q224" s="384">
        <f t="shared" si="35"/>
        <v>7272718.75</v>
      </c>
      <c r="R224" s="27"/>
      <c r="S224" s="27"/>
      <c r="T224" s="27"/>
      <c r="U224" s="27"/>
      <c r="V224" s="27"/>
      <c r="W224" s="27"/>
      <c r="X224" s="27"/>
    </row>
    <row r="225" spans="1:24">
      <c r="A225" s="377">
        <f t="shared" si="29"/>
        <v>211</v>
      </c>
      <c r="B225" s="378" t="s">
        <v>475</v>
      </c>
      <c r="C225" s="378" t="s">
        <v>474</v>
      </c>
      <c r="D225" s="379">
        <v>42986</v>
      </c>
      <c r="E225" s="380">
        <v>78532.66</v>
      </c>
      <c r="F225" s="379">
        <v>42946</v>
      </c>
      <c r="G225" s="379">
        <v>42980</v>
      </c>
      <c r="H225" s="381">
        <f t="shared" si="30"/>
        <v>17</v>
      </c>
      <c r="I225" s="379">
        <v>43018</v>
      </c>
      <c r="J225" s="382">
        <f t="shared" si="31"/>
        <v>38</v>
      </c>
      <c r="K225" s="382">
        <f t="shared" si="27"/>
        <v>55</v>
      </c>
      <c r="L225" s="315">
        <f t="shared" si="28"/>
        <v>4319296.3</v>
      </c>
      <c r="M225" s="27"/>
      <c r="N225" s="383">
        <f t="shared" si="32"/>
        <v>17</v>
      </c>
      <c r="O225" s="383">
        <f t="shared" si="33"/>
        <v>38</v>
      </c>
      <c r="P225" s="383">
        <f t="shared" si="34"/>
        <v>55</v>
      </c>
      <c r="Q225" s="384">
        <f t="shared" si="35"/>
        <v>4319296.3</v>
      </c>
      <c r="R225" s="27"/>
      <c r="S225" s="27"/>
      <c r="T225" s="27"/>
      <c r="U225" s="27"/>
      <c r="V225" s="27"/>
      <c r="W225" s="27"/>
      <c r="X225" s="27"/>
    </row>
    <row r="226" spans="1:24">
      <c r="A226" s="377">
        <f t="shared" si="29"/>
        <v>212</v>
      </c>
      <c r="B226" s="378" t="s">
        <v>430</v>
      </c>
      <c r="C226" s="378" t="s">
        <v>474</v>
      </c>
      <c r="D226" s="379">
        <v>43013</v>
      </c>
      <c r="E226" s="380">
        <v>24466.13</v>
      </c>
      <c r="F226" s="379">
        <v>42981</v>
      </c>
      <c r="G226" s="379">
        <v>43008</v>
      </c>
      <c r="H226" s="381">
        <f t="shared" si="30"/>
        <v>13.5</v>
      </c>
      <c r="I226" s="379">
        <v>43045</v>
      </c>
      <c r="J226" s="382">
        <f t="shared" si="31"/>
        <v>37</v>
      </c>
      <c r="K226" s="382">
        <f t="shared" si="27"/>
        <v>50.5</v>
      </c>
      <c r="L226" s="315">
        <f t="shared" si="28"/>
        <v>1235539.57</v>
      </c>
      <c r="M226" s="27"/>
      <c r="N226" s="383">
        <f t="shared" si="32"/>
        <v>13.5</v>
      </c>
      <c r="O226" s="383">
        <f t="shared" si="33"/>
        <v>37</v>
      </c>
      <c r="P226" s="383">
        <f t="shared" si="34"/>
        <v>50.5</v>
      </c>
      <c r="Q226" s="384">
        <f t="shared" si="35"/>
        <v>1235539.5649999999</v>
      </c>
      <c r="R226" s="27"/>
      <c r="S226" s="27"/>
      <c r="T226" s="27"/>
      <c r="U226" s="27"/>
      <c r="V226" s="27"/>
      <c r="W226" s="27"/>
      <c r="X226" s="27"/>
    </row>
    <row r="227" spans="1:24">
      <c r="A227" s="377">
        <f t="shared" si="29"/>
        <v>213</v>
      </c>
      <c r="B227" s="378" t="s">
        <v>430</v>
      </c>
      <c r="C227" s="378" t="s">
        <v>474</v>
      </c>
      <c r="D227" s="379">
        <v>43013</v>
      </c>
      <c r="E227" s="380">
        <v>118525.37</v>
      </c>
      <c r="F227" s="379">
        <v>42981</v>
      </c>
      <c r="G227" s="379">
        <v>43008</v>
      </c>
      <c r="H227" s="381">
        <f t="shared" si="30"/>
        <v>13.5</v>
      </c>
      <c r="I227" s="379">
        <v>43045</v>
      </c>
      <c r="J227" s="382">
        <f t="shared" si="31"/>
        <v>37</v>
      </c>
      <c r="K227" s="382">
        <f t="shared" si="27"/>
        <v>50.5</v>
      </c>
      <c r="L227" s="315">
        <f t="shared" si="28"/>
        <v>5985531.1900000004</v>
      </c>
      <c r="M227" s="27"/>
      <c r="N227" s="383">
        <f t="shared" si="32"/>
        <v>13.5</v>
      </c>
      <c r="O227" s="383">
        <f t="shared" si="33"/>
        <v>37</v>
      </c>
      <c r="P227" s="383">
        <f t="shared" si="34"/>
        <v>50.5</v>
      </c>
      <c r="Q227" s="384">
        <f t="shared" si="35"/>
        <v>5985531.1849999996</v>
      </c>
      <c r="R227" s="27"/>
      <c r="S227" s="27"/>
      <c r="T227" s="27"/>
      <c r="U227" s="27"/>
      <c r="V227" s="27"/>
      <c r="W227" s="27"/>
      <c r="X227" s="27"/>
    </row>
    <row r="228" spans="1:24">
      <c r="A228" s="377">
        <f t="shared" si="29"/>
        <v>214</v>
      </c>
      <c r="B228" s="378" t="s">
        <v>430</v>
      </c>
      <c r="C228" s="378" t="s">
        <v>474</v>
      </c>
      <c r="D228" s="379">
        <v>43013</v>
      </c>
      <c r="E228" s="380">
        <v>92830.81</v>
      </c>
      <c r="F228" s="379">
        <v>42981</v>
      </c>
      <c r="G228" s="379">
        <v>43008</v>
      </c>
      <c r="H228" s="381">
        <f t="shared" si="30"/>
        <v>13.5</v>
      </c>
      <c r="I228" s="379">
        <v>43045</v>
      </c>
      <c r="J228" s="382">
        <f t="shared" si="31"/>
        <v>37</v>
      </c>
      <c r="K228" s="382">
        <f t="shared" si="27"/>
        <v>50.5</v>
      </c>
      <c r="L228" s="315">
        <f t="shared" si="28"/>
        <v>4687955.91</v>
      </c>
      <c r="M228" s="27"/>
      <c r="N228" s="383">
        <f t="shared" si="32"/>
        <v>13.5</v>
      </c>
      <c r="O228" s="383">
        <f t="shared" si="33"/>
        <v>37</v>
      </c>
      <c r="P228" s="383">
        <f t="shared" si="34"/>
        <v>50.5</v>
      </c>
      <c r="Q228" s="384">
        <f t="shared" si="35"/>
        <v>4687955.9050000003</v>
      </c>
      <c r="R228" s="27"/>
      <c r="S228" s="27"/>
      <c r="T228" s="27"/>
      <c r="U228" s="27"/>
      <c r="V228" s="27"/>
      <c r="W228" s="27"/>
      <c r="X228" s="27"/>
    </row>
    <row r="229" spans="1:24">
      <c r="A229" s="377">
        <f t="shared" si="29"/>
        <v>215</v>
      </c>
      <c r="B229" s="378" t="s">
        <v>475</v>
      </c>
      <c r="C229" s="378" t="s">
        <v>474</v>
      </c>
      <c r="D229" s="379">
        <v>43042</v>
      </c>
      <c r="E229" s="380">
        <v>69607.820000000007</v>
      </c>
      <c r="F229" s="379">
        <v>43009</v>
      </c>
      <c r="G229" s="379">
        <v>43036</v>
      </c>
      <c r="H229" s="381">
        <f t="shared" si="30"/>
        <v>13.5</v>
      </c>
      <c r="I229" s="379">
        <v>43073</v>
      </c>
      <c r="J229" s="382">
        <f t="shared" si="31"/>
        <v>37</v>
      </c>
      <c r="K229" s="382">
        <f t="shared" si="27"/>
        <v>50.5</v>
      </c>
      <c r="L229" s="315">
        <f t="shared" si="28"/>
        <v>3515194.91</v>
      </c>
      <c r="M229" s="27"/>
      <c r="N229" s="383">
        <f t="shared" si="32"/>
        <v>13.5</v>
      </c>
      <c r="O229" s="383">
        <f t="shared" si="33"/>
        <v>37</v>
      </c>
      <c r="P229" s="383">
        <f t="shared" si="34"/>
        <v>50.5</v>
      </c>
      <c r="Q229" s="384">
        <f t="shared" si="35"/>
        <v>3515194.91</v>
      </c>
      <c r="R229" s="27"/>
      <c r="S229" s="27"/>
      <c r="T229" s="27"/>
      <c r="U229" s="27"/>
      <c r="V229" s="27"/>
      <c r="W229" s="27"/>
      <c r="X229" s="27"/>
    </row>
    <row r="230" spans="1:24">
      <c r="A230" s="377">
        <f t="shared" si="29"/>
        <v>216</v>
      </c>
      <c r="B230" s="378" t="s">
        <v>430</v>
      </c>
      <c r="C230" s="378" t="s">
        <v>474</v>
      </c>
      <c r="D230" s="379">
        <v>43041</v>
      </c>
      <c r="E230" s="380">
        <v>143604.74</v>
      </c>
      <c r="F230" s="379">
        <v>43009</v>
      </c>
      <c r="G230" s="379">
        <v>43036</v>
      </c>
      <c r="H230" s="381">
        <f t="shared" si="30"/>
        <v>13.5</v>
      </c>
      <c r="I230" s="379">
        <v>43073</v>
      </c>
      <c r="J230" s="382">
        <f t="shared" si="31"/>
        <v>37</v>
      </c>
      <c r="K230" s="382">
        <f t="shared" si="27"/>
        <v>50.5</v>
      </c>
      <c r="L230" s="315">
        <f t="shared" si="28"/>
        <v>7252039.3700000001</v>
      </c>
      <c r="M230" s="27"/>
      <c r="N230" s="383">
        <f t="shared" si="32"/>
        <v>13.5</v>
      </c>
      <c r="O230" s="383">
        <f t="shared" si="33"/>
        <v>37</v>
      </c>
      <c r="P230" s="383">
        <f t="shared" si="34"/>
        <v>50.5</v>
      </c>
      <c r="Q230" s="384">
        <f t="shared" si="35"/>
        <v>7252039.3699999992</v>
      </c>
      <c r="R230" s="27"/>
      <c r="S230" s="27"/>
      <c r="T230" s="27"/>
      <c r="U230" s="27"/>
      <c r="V230" s="27"/>
      <c r="W230" s="27"/>
      <c r="X230" s="27"/>
    </row>
    <row r="231" spans="1:24">
      <c r="A231" s="377">
        <f t="shared" si="29"/>
        <v>217</v>
      </c>
      <c r="B231" s="378" t="s">
        <v>430</v>
      </c>
      <c r="C231" s="378" t="s">
        <v>474</v>
      </c>
      <c r="D231" s="379">
        <v>43041</v>
      </c>
      <c r="E231" s="380">
        <v>90717.93</v>
      </c>
      <c r="F231" s="379">
        <v>43009</v>
      </c>
      <c r="G231" s="379">
        <v>43036</v>
      </c>
      <c r="H231" s="381">
        <f t="shared" si="30"/>
        <v>13.5</v>
      </c>
      <c r="I231" s="379">
        <v>43073</v>
      </c>
      <c r="J231" s="382">
        <f t="shared" si="31"/>
        <v>37</v>
      </c>
      <c r="K231" s="382">
        <f t="shared" si="27"/>
        <v>50.5</v>
      </c>
      <c r="L231" s="315">
        <f t="shared" si="28"/>
        <v>4581255.47</v>
      </c>
      <c r="M231" s="27"/>
      <c r="N231" s="383">
        <f t="shared" si="32"/>
        <v>13.5</v>
      </c>
      <c r="O231" s="383">
        <f t="shared" si="33"/>
        <v>37</v>
      </c>
      <c r="P231" s="383">
        <f t="shared" si="34"/>
        <v>50.5</v>
      </c>
      <c r="Q231" s="384">
        <f t="shared" si="35"/>
        <v>4581255.4649999999</v>
      </c>
      <c r="R231" s="27"/>
      <c r="S231" s="27"/>
      <c r="T231" s="27"/>
      <c r="U231" s="27"/>
      <c r="V231" s="27"/>
      <c r="W231" s="27"/>
      <c r="X231" s="27"/>
    </row>
    <row r="232" spans="1:24">
      <c r="A232" s="377">
        <f t="shared" si="29"/>
        <v>218</v>
      </c>
      <c r="B232" s="378" t="s">
        <v>475</v>
      </c>
      <c r="C232" s="378" t="s">
        <v>474</v>
      </c>
      <c r="D232" s="379">
        <v>42986</v>
      </c>
      <c r="E232" s="380">
        <v>79388.429999999993</v>
      </c>
      <c r="F232" s="379">
        <v>43009</v>
      </c>
      <c r="G232" s="379">
        <v>43036</v>
      </c>
      <c r="H232" s="381">
        <f t="shared" si="30"/>
        <v>13.5</v>
      </c>
      <c r="I232" s="379">
        <v>43073</v>
      </c>
      <c r="J232" s="382">
        <f t="shared" si="31"/>
        <v>37</v>
      </c>
      <c r="K232" s="382">
        <f t="shared" si="27"/>
        <v>50.5</v>
      </c>
      <c r="L232" s="315">
        <f t="shared" si="28"/>
        <v>4009115.72</v>
      </c>
      <c r="M232" s="27"/>
      <c r="N232" s="383">
        <f t="shared" si="32"/>
        <v>13.5</v>
      </c>
      <c r="O232" s="383">
        <f t="shared" si="33"/>
        <v>37</v>
      </c>
      <c r="P232" s="383">
        <f t="shared" si="34"/>
        <v>50.5</v>
      </c>
      <c r="Q232" s="384">
        <f t="shared" si="35"/>
        <v>4009115.7149999999</v>
      </c>
      <c r="R232" s="27"/>
      <c r="S232" s="27"/>
      <c r="T232" s="27"/>
      <c r="U232" s="27"/>
      <c r="V232" s="27"/>
      <c r="W232" s="27"/>
      <c r="X232" s="27"/>
    </row>
    <row r="233" spans="1:24">
      <c r="A233" s="377">
        <f t="shared" si="29"/>
        <v>219</v>
      </c>
      <c r="B233" s="378" t="s">
        <v>475</v>
      </c>
      <c r="C233" s="378" t="s">
        <v>474</v>
      </c>
      <c r="D233" s="379">
        <v>43076</v>
      </c>
      <c r="E233" s="380">
        <v>55174.45</v>
      </c>
      <c r="F233" s="379">
        <v>43037</v>
      </c>
      <c r="G233" s="379">
        <v>43071</v>
      </c>
      <c r="H233" s="381">
        <f t="shared" si="30"/>
        <v>17</v>
      </c>
      <c r="I233" s="379">
        <v>43108</v>
      </c>
      <c r="J233" s="382">
        <f t="shared" si="31"/>
        <v>37</v>
      </c>
      <c r="K233" s="382">
        <f t="shared" si="27"/>
        <v>54</v>
      </c>
      <c r="L233" s="315">
        <f t="shared" si="28"/>
        <v>2979420.3</v>
      </c>
      <c r="M233" s="27"/>
      <c r="N233" s="383">
        <f t="shared" si="32"/>
        <v>17</v>
      </c>
      <c r="O233" s="383">
        <f t="shared" si="33"/>
        <v>37</v>
      </c>
      <c r="P233" s="383">
        <f t="shared" si="34"/>
        <v>54</v>
      </c>
      <c r="Q233" s="384">
        <f t="shared" si="35"/>
        <v>2979420.3</v>
      </c>
      <c r="R233" s="27"/>
      <c r="S233" s="27"/>
      <c r="T233" s="27"/>
      <c r="U233" s="27"/>
      <c r="V233" s="27"/>
      <c r="W233" s="27"/>
      <c r="X233" s="27"/>
    </row>
    <row r="234" spans="1:24">
      <c r="A234" s="377">
        <f t="shared" si="29"/>
        <v>220</v>
      </c>
      <c r="B234" s="378" t="s">
        <v>430</v>
      </c>
      <c r="C234" s="378" t="s">
        <v>474</v>
      </c>
      <c r="D234" s="379">
        <v>43071</v>
      </c>
      <c r="E234" s="380">
        <v>202499.16</v>
      </c>
      <c r="F234" s="379">
        <v>43037</v>
      </c>
      <c r="G234" s="379">
        <v>43071</v>
      </c>
      <c r="H234" s="381">
        <f t="shared" si="30"/>
        <v>17</v>
      </c>
      <c r="I234" s="379">
        <v>43103</v>
      </c>
      <c r="J234" s="382">
        <f t="shared" si="31"/>
        <v>32</v>
      </c>
      <c r="K234" s="382">
        <f t="shared" si="27"/>
        <v>49</v>
      </c>
      <c r="L234" s="315">
        <f t="shared" si="28"/>
        <v>9922458.8399999999</v>
      </c>
      <c r="M234" s="27"/>
      <c r="N234" s="383">
        <f t="shared" si="32"/>
        <v>17</v>
      </c>
      <c r="O234" s="383">
        <f t="shared" si="33"/>
        <v>32</v>
      </c>
      <c r="P234" s="383">
        <f t="shared" si="34"/>
        <v>49</v>
      </c>
      <c r="Q234" s="384">
        <f t="shared" si="35"/>
        <v>9922458.8399999999</v>
      </c>
      <c r="R234" s="27"/>
      <c r="S234" s="27"/>
      <c r="T234" s="27"/>
      <c r="U234" s="27"/>
      <c r="V234" s="27"/>
      <c r="W234" s="27"/>
      <c r="X234" s="27"/>
    </row>
    <row r="235" spans="1:24">
      <c r="A235" s="377">
        <f t="shared" si="29"/>
        <v>221</v>
      </c>
      <c r="B235" s="378" t="s">
        <v>430</v>
      </c>
      <c r="C235" s="378" t="s">
        <v>474</v>
      </c>
      <c r="D235" s="379">
        <v>43071</v>
      </c>
      <c r="E235" s="380">
        <v>99984.39</v>
      </c>
      <c r="F235" s="379">
        <v>43037</v>
      </c>
      <c r="G235" s="379">
        <v>43071</v>
      </c>
      <c r="H235" s="381">
        <f t="shared" si="30"/>
        <v>17</v>
      </c>
      <c r="I235" s="379">
        <v>43103</v>
      </c>
      <c r="J235" s="382">
        <f t="shared" si="31"/>
        <v>32</v>
      </c>
      <c r="K235" s="382">
        <f t="shared" si="27"/>
        <v>49</v>
      </c>
      <c r="L235" s="315">
        <f t="shared" si="28"/>
        <v>4899235.1100000003</v>
      </c>
      <c r="M235" s="27"/>
      <c r="N235" s="383">
        <f t="shared" si="32"/>
        <v>17</v>
      </c>
      <c r="O235" s="383">
        <f t="shared" si="33"/>
        <v>32</v>
      </c>
      <c r="P235" s="383">
        <f t="shared" si="34"/>
        <v>49</v>
      </c>
      <c r="Q235" s="384">
        <f t="shared" si="35"/>
        <v>4899235.1100000003</v>
      </c>
      <c r="R235" s="27"/>
      <c r="S235" s="27"/>
      <c r="T235" s="27"/>
      <c r="U235" s="27"/>
      <c r="V235" s="27"/>
      <c r="W235" s="27"/>
      <c r="X235" s="27"/>
    </row>
    <row r="236" spans="1:24">
      <c r="A236" s="377">
        <f t="shared" si="29"/>
        <v>222</v>
      </c>
      <c r="B236" s="378" t="s">
        <v>475</v>
      </c>
      <c r="C236" s="378" t="s">
        <v>474</v>
      </c>
      <c r="D236" s="379">
        <v>43076</v>
      </c>
      <c r="E236" s="380">
        <v>78801.34</v>
      </c>
      <c r="F236" s="379">
        <v>43037</v>
      </c>
      <c r="G236" s="379">
        <v>43071</v>
      </c>
      <c r="H236" s="381">
        <f t="shared" si="30"/>
        <v>17</v>
      </c>
      <c r="I236" s="379">
        <v>43108</v>
      </c>
      <c r="J236" s="382">
        <f t="shared" si="31"/>
        <v>37</v>
      </c>
      <c r="K236" s="382">
        <f t="shared" si="27"/>
        <v>54</v>
      </c>
      <c r="L236" s="315">
        <f t="shared" si="28"/>
        <v>4255272.3600000003</v>
      </c>
      <c r="M236" s="27"/>
      <c r="N236" s="383">
        <f t="shared" si="32"/>
        <v>17</v>
      </c>
      <c r="O236" s="383">
        <f t="shared" si="33"/>
        <v>37</v>
      </c>
      <c r="P236" s="383">
        <f t="shared" si="34"/>
        <v>54</v>
      </c>
      <c r="Q236" s="384">
        <f t="shared" si="35"/>
        <v>4255272.3599999994</v>
      </c>
      <c r="R236" s="27"/>
      <c r="S236" s="27"/>
      <c r="T236" s="27"/>
      <c r="U236" s="27"/>
      <c r="V236" s="27"/>
      <c r="W236" s="27"/>
      <c r="X236" s="27"/>
    </row>
    <row r="237" spans="1:24">
      <c r="A237" s="377">
        <f t="shared" si="29"/>
        <v>223</v>
      </c>
      <c r="B237" s="378" t="s">
        <v>475</v>
      </c>
      <c r="C237" s="378" t="s">
        <v>474</v>
      </c>
      <c r="D237" s="379">
        <v>43069</v>
      </c>
      <c r="E237" s="380">
        <v>107856.62</v>
      </c>
      <c r="F237" s="379">
        <v>43037</v>
      </c>
      <c r="G237" s="379">
        <v>43071</v>
      </c>
      <c r="H237" s="381">
        <f t="shared" si="30"/>
        <v>17</v>
      </c>
      <c r="I237" s="379">
        <v>43102</v>
      </c>
      <c r="J237" s="382">
        <f t="shared" si="31"/>
        <v>31</v>
      </c>
      <c r="K237" s="382">
        <f t="shared" si="27"/>
        <v>48</v>
      </c>
      <c r="L237" s="315">
        <f t="shared" si="28"/>
        <v>5177117.76</v>
      </c>
      <c r="M237" s="27"/>
      <c r="N237" s="383">
        <f t="shared" si="32"/>
        <v>17</v>
      </c>
      <c r="O237" s="383">
        <f t="shared" si="33"/>
        <v>31</v>
      </c>
      <c r="P237" s="383">
        <f t="shared" si="34"/>
        <v>48</v>
      </c>
      <c r="Q237" s="384">
        <f t="shared" si="35"/>
        <v>5177117.76</v>
      </c>
      <c r="R237" s="27"/>
      <c r="S237" s="27"/>
      <c r="T237" s="27"/>
      <c r="U237" s="27"/>
      <c r="V237" s="27"/>
      <c r="W237" s="27"/>
      <c r="X237" s="27"/>
    </row>
    <row r="238" spans="1:24">
      <c r="A238" s="377">
        <f t="shared" si="29"/>
        <v>224</v>
      </c>
      <c r="B238" s="378" t="s">
        <v>442</v>
      </c>
      <c r="C238" s="378" t="s">
        <v>474</v>
      </c>
      <c r="D238" s="379">
        <v>42776</v>
      </c>
      <c r="E238" s="380">
        <v>59661.45</v>
      </c>
      <c r="F238" s="379">
        <v>42736</v>
      </c>
      <c r="G238" s="379">
        <v>42763</v>
      </c>
      <c r="H238" s="381">
        <f t="shared" si="30"/>
        <v>13.5</v>
      </c>
      <c r="I238" s="379">
        <v>42807</v>
      </c>
      <c r="J238" s="382">
        <f t="shared" si="31"/>
        <v>44</v>
      </c>
      <c r="K238" s="382">
        <f t="shared" si="27"/>
        <v>57.5</v>
      </c>
      <c r="L238" s="315">
        <f t="shared" si="28"/>
        <v>3430533.38</v>
      </c>
      <c r="M238" s="27"/>
      <c r="N238" s="383">
        <f t="shared" si="32"/>
        <v>13.5</v>
      </c>
      <c r="O238" s="383">
        <f t="shared" si="33"/>
        <v>44</v>
      </c>
      <c r="P238" s="383">
        <f t="shared" si="34"/>
        <v>57.5</v>
      </c>
      <c r="Q238" s="384">
        <f t="shared" si="35"/>
        <v>3430533.375</v>
      </c>
      <c r="R238" s="27"/>
      <c r="S238" s="27"/>
      <c r="T238" s="27"/>
      <c r="U238" s="27"/>
      <c r="V238" s="27"/>
      <c r="W238" s="27"/>
      <c r="X238" s="27"/>
    </row>
    <row r="239" spans="1:24">
      <c r="A239" s="377">
        <f t="shared" si="29"/>
        <v>225</v>
      </c>
      <c r="B239" s="378" t="s">
        <v>442</v>
      </c>
      <c r="C239" s="378" t="s">
        <v>474</v>
      </c>
      <c r="D239" s="379">
        <v>42804</v>
      </c>
      <c r="E239" s="380">
        <v>52913.84</v>
      </c>
      <c r="F239" s="379">
        <v>42767</v>
      </c>
      <c r="G239" s="379">
        <v>42791</v>
      </c>
      <c r="H239" s="381">
        <f t="shared" si="30"/>
        <v>12</v>
      </c>
      <c r="I239" s="379">
        <v>42835</v>
      </c>
      <c r="J239" s="382">
        <f t="shared" si="31"/>
        <v>44</v>
      </c>
      <c r="K239" s="382">
        <f t="shared" si="27"/>
        <v>56</v>
      </c>
      <c r="L239" s="315">
        <f t="shared" si="28"/>
        <v>2963175.04</v>
      </c>
      <c r="M239" s="27"/>
      <c r="N239" s="383">
        <f t="shared" si="32"/>
        <v>12</v>
      </c>
      <c r="O239" s="383">
        <f t="shared" si="33"/>
        <v>44</v>
      </c>
      <c r="P239" s="383">
        <f t="shared" si="34"/>
        <v>56</v>
      </c>
      <c r="Q239" s="384">
        <f t="shared" si="35"/>
        <v>2963175.04</v>
      </c>
      <c r="R239" s="27"/>
      <c r="S239" s="27"/>
      <c r="T239" s="27"/>
      <c r="U239" s="27"/>
      <c r="V239" s="27"/>
      <c r="W239" s="27"/>
      <c r="X239" s="27"/>
    </row>
    <row r="240" spans="1:24">
      <c r="A240" s="377">
        <f t="shared" si="29"/>
        <v>226</v>
      </c>
      <c r="B240" s="378" t="s">
        <v>442</v>
      </c>
      <c r="C240" s="378" t="s">
        <v>474</v>
      </c>
      <c r="D240" s="379">
        <v>42839</v>
      </c>
      <c r="E240" s="380">
        <v>75324.789999999994</v>
      </c>
      <c r="F240" s="379">
        <v>42795</v>
      </c>
      <c r="G240" s="379">
        <v>42826</v>
      </c>
      <c r="H240" s="381">
        <f t="shared" si="30"/>
        <v>15.5</v>
      </c>
      <c r="I240" s="379">
        <v>42870</v>
      </c>
      <c r="J240" s="382">
        <f t="shared" si="31"/>
        <v>44</v>
      </c>
      <c r="K240" s="382">
        <f t="shared" si="27"/>
        <v>59.5</v>
      </c>
      <c r="L240" s="315">
        <f t="shared" si="28"/>
        <v>4481825.01</v>
      </c>
      <c r="M240" s="27"/>
      <c r="N240" s="383">
        <f t="shared" si="32"/>
        <v>15.5</v>
      </c>
      <c r="O240" s="383">
        <f t="shared" si="33"/>
        <v>44</v>
      </c>
      <c r="P240" s="383">
        <f t="shared" si="34"/>
        <v>59.5</v>
      </c>
      <c r="Q240" s="384">
        <f t="shared" si="35"/>
        <v>4481825.0049999999</v>
      </c>
      <c r="R240" s="27"/>
      <c r="S240" s="27"/>
      <c r="T240" s="27"/>
      <c r="U240" s="27"/>
      <c r="V240" s="27"/>
      <c r="W240" s="27"/>
      <c r="X240" s="27"/>
    </row>
    <row r="241" spans="1:24">
      <c r="A241" s="377">
        <f t="shared" si="29"/>
        <v>227</v>
      </c>
      <c r="B241" s="378" t="s">
        <v>442</v>
      </c>
      <c r="C241" s="378" t="s">
        <v>474</v>
      </c>
      <c r="D241" s="379">
        <v>42874</v>
      </c>
      <c r="E241" s="380">
        <v>56658.47</v>
      </c>
      <c r="F241" s="379">
        <v>42826</v>
      </c>
      <c r="G241" s="379">
        <v>42854</v>
      </c>
      <c r="H241" s="381">
        <f t="shared" si="30"/>
        <v>14</v>
      </c>
      <c r="I241" s="379">
        <v>42902</v>
      </c>
      <c r="J241" s="382">
        <f t="shared" si="31"/>
        <v>48</v>
      </c>
      <c r="K241" s="382">
        <f t="shared" si="27"/>
        <v>62</v>
      </c>
      <c r="L241" s="315">
        <f t="shared" si="28"/>
        <v>3512825.14</v>
      </c>
      <c r="M241" s="27"/>
      <c r="N241" s="383">
        <f t="shared" si="32"/>
        <v>14</v>
      </c>
      <c r="O241" s="383">
        <f t="shared" si="33"/>
        <v>48</v>
      </c>
      <c r="P241" s="383">
        <f t="shared" si="34"/>
        <v>62</v>
      </c>
      <c r="Q241" s="384">
        <f t="shared" si="35"/>
        <v>3512825.14</v>
      </c>
      <c r="R241" s="27"/>
      <c r="S241" s="27"/>
      <c r="T241" s="27"/>
      <c r="U241" s="27"/>
      <c r="V241" s="27"/>
      <c r="W241" s="27"/>
      <c r="X241" s="27"/>
    </row>
    <row r="242" spans="1:24">
      <c r="A242" s="377">
        <f t="shared" si="29"/>
        <v>228</v>
      </c>
      <c r="B242" s="378" t="s">
        <v>442</v>
      </c>
      <c r="C242" s="378" t="s">
        <v>474</v>
      </c>
      <c r="D242" s="379">
        <v>42937</v>
      </c>
      <c r="E242" s="380">
        <v>50699.16</v>
      </c>
      <c r="F242" s="379">
        <v>42887</v>
      </c>
      <c r="G242" s="379">
        <v>42917</v>
      </c>
      <c r="H242" s="381">
        <f t="shared" si="30"/>
        <v>15</v>
      </c>
      <c r="I242" s="379">
        <v>42968</v>
      </c>
      <c r="J242" s="382">
        <f t="shared" si="31"/>
        <v>51</v>
      </c>
      <c r="K242" s="382">
        <f t="shared" si="27"/>
        <v>66</v>
      </c>
      <c r="L242" s="315">
        <f t="shared" si="28"/>
        <v>3346144.56</v>
      </c>
      <c r="M242" s="27"/>
      <c r="N242" s="383">
        <f t="shared" si="32"/>
        <v>15</v>
      </c>
      <c r="O242" s="383">
        <f t="shared" si="33"/>
        <v>51</v>
      </c>
      <c r="P242" s="383">
        <f t="shared" si="34"/>
        <v>66</v>
      </c>
      <c r="Q242" s="384">
        <f t="shared" si="35"/>
        <v>3346144.56</v>
      </c>
      <c r="R242" s="27"/>
      <c r="S242" s="27"/>
      <c r="T242" s="27"/>
      <c r="U242" s="27"/>
      <c r="V242" s="27"/>
      <c r="W242" s="27"/>
      <c r="X242" s="27"/>
    </row>
    <row r="243" spans="1:24">
      <c r="A243" s="377">
        <f t="shared" si="29"/>
        <v>229</v>
      </c>
      <c r="B243" s="378" t="s">
        <v>442</v>
      </c>
      <c r="C243" s="378" t="s">
        <v>474</v>
      </c>
      <c r="D243" s="379">
        <v>43064</v>
      </c>
      <c r="E243" s="380">
        <v>54140.44</v>
      </c>
      <c r="F243" s="379">
        <v>43058</v>
      </c>
      <c r="G243" s="379">
        <v>43064</v>
      </c>
      <c r="H243" s="381">
        <f t="shared" si="30"/>
        <v>3</v>
      </c>
      <c r="I243" s="379">
        <v>43108</v>
      </c>
      <c r="J243" s="382">
        <f t="shared" si="31"/>
        <v>44</v>
      </c>
      <c r="K243" s="382">
        <f t="shared" si="27"/>
        <v>47</v>
      </c>
      <c r="L243" s="315">
        <f t="shared" si="28"/>
        <v>2544600.6800000002</v>
      </c>
      <c r="M243" s="27"/>
      <c r="N243" s="383">
        <f t="shared" si="32"/>
        <v>3</v>
      </c>
      <c r="O243" s="383">
        <f t="shared" si="33"/>
        <v>44</v>
      </c>
      <c r="P243" s="383">
        <f t="shared" si="34"/>
        <v>47</v>
      </c>
      <c r="Q243" s="384">
        <f t="shared" si="35"/>
        <v>2544600.6800000002</v>
      </c>
      <c r="R243" s="27"/>
      <c r="S243" s="27"/>
      <c r="T243" s="27"/>
      <c r="U243" s="27"/>
      <c r="V243" s="27"/>
      <c r="W243" s="27"/>
      <c r="X243" s="27"/>
    </row>
    <row r="244" spans="1:24">
      <c r="A244" s="377">
        <f t="shared" si="29"/>
        <v>230</v>
      </c>
      <c r="B244" s="378" t="s">
        <v>433</v>
      </c>
      <c r="C244" s="378" t="s">
        <v>474</v>
      </c>
      <c r="D244" s="379">
        <v>42829</v>
      </c>
      <c r="E244" s="380">
        <v>70179.69</v>
      </c>
      <c r="F244" s="379">
        <v>42792</v>
      </c>
      <c r="G244" s="379">
        <v>42826</v>
      </c>
      <c r="H244" s="381">
        <f t="shared" si="30"/>
        <v>17</v>
      </c>
      <c r="I244" s="379">
        <v>42860</v>
      </c>
      <c r="J244" s="382">
        <f t="shared" si="31"/>
        <v>34</v>
      </c>
      <c r="K244" s="382">
        <f t="shared" si="27"/>
        <v>51</v>
      </c>
      <c r="L244" s="315">
        <f t="shared" si="28"/>
        <v>3579164.19</v>
      </c>
      <c r="M244" s="27"/>
      <c r="N244" s="383">
        <f t="shared" si="32"/>
        <v>17</v>
      </c>
      <c r="O244" s="383">
        <f t="shared" si="33"/>
        <v>34</v>
      </c>
      <c r="P244" s="383">
        <f t="shared" si="34"/>
        <v>51</v>
      </c>
      <c r="Q244" s="384">
        <f t="shared" si="35"/>
        <v>3579164.19</v>
      </c>
      <c r="R244" s="27"/>
      <c r="S244" s="27"/>
      <c r="T244" s="27"/>
      <c r="U244" s="27"/>
      <c r="V244" s="27"/>
      <c r="W244" s="27"/>
      <c r="X244" s="27"/>
    </row>
    <row r="245" spans="1:24">
      <c r="A245" s="377">
        <f t="shared" si="29"/>
        <v>231</v>
      </c>
      <c r="B245" s="378" t="s">
        <v>433</v>
      </c>
      <c r="C245" s="378" t="s">
        <v>474</v>
      </c>
      <c r="D245" s="379">
        <v>42857</v>
      </c>
      <c r="E245" s="380">
        <v>56911.11</v>
      </c>
      <c r="F245" s="379">
        <v>42827</v>
      </c>
      <c r="G245" s="379">
        <v>42854</v>
      </c>
      <c r="H245" s="381">
        <f t="shared" si="30"/>
        <v>13.5</v>
      </c>
      <c r="I245" s="379">
        <v>42888</v>
      </c>
      <c r="J245" s="382">
        <f t="shared" si="31"/>
        <v>34</v>
      </c>
      <c r="K245" s="382">
        <f t="shared" si="27"/>
        <v>47.5</v>
      </c>
      <c r="L245" s="315">
        <f t="shared" si="28"/>
        <v>2703277.73</v>
      </c>
      <c r="M245" s="27"/>
      <c r="N245" s="383">
        <f t="shared" si="32"/>
        <v>13.5</v>
      </c>
      <c r="O245" s="383">
        <f t="shared" si="33"/>
        <v>34</v>
      </c>
      <c r="P245" s="383">
        <f t="shared" si="34"/>
        <v>47.5</v>
      </c>
      <c r="Q245" s="384">
        <f t="shared" si="35"/>
        <v>2703277.7250000001</v>
      </c>
      <c r="R245" s="27"/>
      <c r="S245" s="27"/>
      <c r="T245" s="27"/>
      <c r="U245" s="27"/>
      <c r="V245" s="27"/>
      <c r="W245" s="27"/>
      <c r="X245" s="27"/>
    </row>
    <row r="246" spans="1:24">
      <c r="A246" s="377">
        <f t="shared" si="29"/>
        <v>232</v>
      </c>
      <c r="B246" s="378" t="s">
        <v>433</v>
      </c>
      <c r="C246" s="378" t="s">
        <v>474</v>
      </c>
      <c r="D246" s="379">
        <v>42892</v>
      </c>
      <c r="E246" s="380">
        <v>55797.72</v>
      </c>
      <c r="F246" s="379">
        <v>42855</v>
      </c>
      <c r="G246" s="379">
        <v>42889</v>
      </c>
      <c r="H246" s="381">
        <f t="shared" si="30"/>
        <v>17</v>
      </c>
      <c r="I246" s="379">
        <v>42928</v>
      </c>
      <c r="J246" s="382">
        <f t="shared" si="31"/>
        <v>39</v>
      </c>
      <c r="K246" s="382">
        <f t="shared" si="27"/>
        <v>56</v>
      </c>
      <c r="L246" s="315">
        <f t="shared" si="28"/>
        <v>3124672.32</v>
      </c>
      <c r="M246" s="27"/>
      <c r="N246" s="383">
        <f t="shared" si="32"/>
        <v>17</v>
      </c>
      <c r="O246" s="383">
        <f t="shared" si="33"/>
        <v>39</v>
      </c>
      <c r="P246" s="383">
        <f t="shared" si="34"/>
        <v>56</v>
      </c>
      <c r="Q246" s="384">
        <f t="shared" si="35"/>
        <v>3124672.3200000003</v>
      </c>
      <c r="R246" s="27"/>
      <c r="S246" s="27"/>
      <c r="T246" s="27"/>
      <c r="U246" s="27"/>
      <c r="V246" s="27"/>
      <c r="W246" s="27"/>
      <c r="X246" s="27"/>
    </row>
    <row r="247" spans="1:24">
      <c r="A247" s="377">
        <f t="shared" si="29"/>
        <v>233</v>
      </c>
      <c r="B247" s="378" t="s">
        <v>433</v>
      </c>
      <c r="C247" s="378" t="s">
        <v>474</v>
      </c>
      <c r="D247" s="379">
        <v>42948</v>
      </c>
      <c r="E247" s="380">
        <v>76610.97</v>
      </c>
      <c r="F247" s="379">
        <v>42918</v>
      </c>
      <c r="G247" s="379">
        <v>42945</v>
      </c>
      <c r="H247" s="381">
        <f t="shared" si="30"/>
        <v>13.5</v>
      </c>
      <c r="I247" s="379">
        <v>42986</v>
      </c>
      <c r="J247" s="382">
        <f t="shared" si="31"/>
        <v>41</v>
      </c>
      <c r="K247" s="382">
        <f t="shared" si="27"/>
        <v>54.5</v>
      </c>
      <c r="L247" s="315">
        <f t="shared" si="28"/>
        <v>4175297.87</v>
      </c>
      <c r="M247" s="27"/>
      <c r="N247" s="383">
        <f t="shared" si="32"/>
        <v>13.5</v>
      </c>
      <c r="O247" s="383">
        <f t="shared" si="33"/>
        <v>41</v>
      </c>
      <c r="P247" s="383">
        <f t="shared" si="34"/>
        <v>54.5</v>
      </c>
      <c r="Q247" s="384">
        <f t="shared" si="35"/>
        <v>4175297.8650000002</v>
      </c>
      <c r="R247" s="27"/>
      <c r="S247" s="27"/>
      <c r="T247" s="27"/>
      <c r="U247" s="27"/>
      <c r="V247" s="27"/>
      <c r="W247" s="27"/>
      <c r="X247" s="27"/>
    </row>
    <row r="248" spans="1:24">
      <c r="A248" s="377">
        <f t="shared" si="29"/>
        <v>234</v>
      </c>
      <c r="B248" s="378" t="s">
        <v>433</v>
      </c>
      <c r="C248" s="378" t="s">
        <v>474</v>
      </c>
      <c r="D248" s="379">
        <v>42983</v>
      </c>
      <c r="E248" s="380">
        <v>92174.46</v>
      </c>
      <c r="F248" s="379">
        <v>42946</v>
      </c>
      <c r="G248" s="379">
        <v>42980</v>
      </c>
      <c r="H248" s="381">
        <f t="shared" si="30"/>
        <v>17</v>
      </c>
      <c r="I248" s="379">
        <v>43014</v>
      </c>
      <c r="J248" s="382">
        <f t="shared" si="31"/>
        <v>34</v>
      </c>
      <c r="K248" s="382">
        <f t="shared" si="27"/>
        <v>51</v>
      </c>
      <c r="L248" s="315">
        <f t="shared" si="28"/>
        <v>4700897.46</v>
      </c>
      <c r="M248" s="27"/>
      <c r="N248" s="383">
        <f t="shared" si="32"/>
        <v>17</v>
      </c>
      <c r="O248" s="383">
        <f t="shared" si="33"/>
        <v>34</v>
      </c>
      <c r="P248" s="383">
        <f t="shared" si="34"/>
        <v>51</v>
      </c>
      <c r="Q248" s="384">
        <f t="shared" si="35"/>
        <v>4700897.46</v>
      </c>
      <c r="R248" s="27"/>
      <c r="S248" s="27"/>
      <c r="T248" s="27"/>
      <c r="U248" s="27"/>
      <c r="V248" s="27"/>
      <c r="W248" s="27"/>
      <c r="X248" s="27"/>
    </row>
    <row r="249" spans="1:24">
      <c r="A249" s="377">
        <f t="shared" si="29"/>
        <v>235</v>
      </c>
      <c r="B249" s="378" t="s">
        <v>433</v>
      </c>
      <c r="C249" s="378" t="s">
        <v>474</v>
      </c>
      <c r="D249" s="379">
        <v>43011</v>
      </c>
      <c r="E249" s="380">
        <v>56425.01</v>
      </c>
      <c r="F249" s="379">
        <v>42981</v>
      </c>
      <c r="G249" s="379">
        <v>43008</v>
      </c>
      <c r="H249" s="381">
        <f t="shared" si="30"/>
        <v>13.5</v>
      </c>
      <c r="I249" s="379">
        <v>43042</v>
      </c>
      <c r="J249" s="382">
        <f t="shared" si="31"/>
        <v>34</v>
      </c>
      <c r="K249" s="382">
        <f t="shared" si="27"/>
        <v>47.5</v>
      </c>
      <c r="L249" s="315">
        <f t="shared" si="28"/>
        <v>2680187.98</v>
      </c>
      <c r="M249" s="27"/>
      <c r="N249" s="383">
        <f t="shared" si="32"/>
        <v>13.5</v>
      </c>
      <c r="O249" s="383">
        <f t="shared" si="33"/>
        <v>34</v>
      </c>
      <c r="P249" s="383">
        <f t="shared" si="34"/>
        <v>47.5</v>
      </c>
      <c r="Q249" s="384">
        <f t="shared" si="35"/>
        <v>2680187.9750000001</v>
      </c>
      <c r="R249" s="27"/>
      <c r="S249" s="27"/>
      <c r="T249" s="27"/>
      <c r="U249" s="27"/>
      <c r="V249" s="27"/>
      <c r="W249" s="27"/>
      <c r="X249" s="27"/>
    </row>
    <row r="250" spans="1:24">
      <c r="A250" s="377">
        <f t="shared" si="29"/>
        <v>236</v>
      </c>
      <c r="B250" s="378" t="s">
        <v>433</v>
      </c>
      <c r="C250" s="378" t="s">
        <v>474</v>
      </c>
      <c r="D250" s="379">
        <v>42829</v>
      </c>
      <c r="E250" s="380">
        <v>57959.11</v>
      </c>
      <c r="F250" s="379">
        <v>42792</v>
      </c>
      <c r="G250" s="379">
        <v>42826</v>
      </c>
      <c r="H250" s="381">
        <f t="shared" si="30"/>
        <v>17</v>
      </c>
      <c r="I250" s="379">
        <v>42860</v>
      </c>
      <c r="J250" s="382">
        <f t="shared" si="31"/>
        <v>34</v>
      </c>
      <c r="K250" s="382">
        <f t="shared" si="27"/>
        <v>51</v>
      </c>
      <c r="L250" s="315">
        <f t="shared" si="28"/>
        <v>2955914.61</v>
      </c>
      <c r="M250" s="27"/>
      <c r="N250" s="383">
        <f t="shared" si="32"/>
        <v>17</v>
      </c>
      <c r="O250" s="383">
        <f t="shared" si="33"/>
        <v>34</v>
      </c>
      <c r="P250" s="383">
        <f t="shared" si="34"/>
        <v>51</v>
      </c>
      <c r="Q250" s="384">
        <f t="shared" si="35"/>
        <v>2955914.61</v>
      </c>
      <c r="R250" s="27"/>
      <c r="S250" s="27"/>
      <c r="T250" s="27"/>
      <c r="U250" s="27"/>
      <c r="V250" s="27"/>
      <c r="W250" s="27"/>
      <c r="X250" s="27"/>
    </row>
    <row r="251" spans="1:24">
      <c r="A251" s="377">
        <f t="shared" si="29"/>
        <v>237</v>
      </c>
      <c r="B251" s="378" t="s">
        <v>433</v>
      </c>
      <c r="C251" s="378" t="s">
        <v>474</v>
      </c>
      <c r="D251" s="379">
        <v>42857</v>
      </c>
      <c r="E251" s="380">
        <v>56688.03</v>
      </c>
      <c r="F251" s="379">
        <v>42827</v>
      </c>
      <c r="G251" s="379">
        <v>42854</v>
      </c>
      <c r="H251" s="381">
        <f t="shared" si="30"/>
        <v>13.5</v>
      </c>
      <c r="I251" s="379">
        <v>42888</v>
      </c>
      <c r="J251" s="382">
        <f t="shared" si="31"/>
        <v>34</v>
      </c>
      <c r="K251" s="382">
        <f t="shared" si="27"/>
        <v>47.5</v>
      </c>
      <c r="L251" s="315">
        <f t="shared" si="28"/>
        <v>2692681.43</v>
      </c>
      <c r="M251" s="27"/>
      <c r="N251" s="383">
        <f t="shared" si="32"/>
        <v>13.5</v>
      </c>
      <c r="O251" s="383">
        <f t="shared" si="33"/>
        <v>34</v>
      </c>
      <c r="P251" s="383">
        <f t="shared" si="34"/>
        <v>47.5</v>
      </c>
      <c r="Q251" s="384">
        <f t="shared" si="35"/>
        <v>2692681.4249999998</v>
      </c>
      <c r="R251" s="27"/>
      <c r="S251" s="27"/>
      <c r="T251" s="27"/>
      <c r="U251" s="27"/>
      <c r="V251" s="27"/>
      <c r="W251" s="27"/>
      <c r="X251" s="27"/>
    </row>
    <row r="252" spans="1:24">
      <c r="A252" s="377">
        <f t="shared" si="29"/>
        <v>238</v>
      </c>
      <c r="B252" s="378" t="s">
        <v>433</v>
      </c>
      <c r="C252" s="378" t="s">
        <v>474</v>
      </c>
      <c r="D252" s="379">
        <v>43074</v>
      </c>
      <c r="E252" s="380">
        <v>62471.7</v>
      </c>
      <c r="F252" s="379">
        <v>43037</v>
      </c>
      <c r="G252" s="379">
        <v>43071</v>
      </c>
      <c r="H252" s="381">
        <f t="shared" si="30"/>
        <v>17</v>
      </c>
      <c r="I252" s="379">
        <v>43105</v>
      </c>
      <c r="J252" s="382">
        <f t="shared" si="31"/>
        <v>34</v>
      </c>
      <c r="K252" s="382">
        <f t="shared" si="27"/>
        <v>51</v>
      </c>
      <c r="L252" s="315">
        <f t="shared" si="28"/>
        <v>3186056.7</v>
      </c>
      <c r="M252" s="27"/>
      <c r="N252" s="383">
        <f t="shared" si="32"/>
        <v>17</v>
      </c>
      <c r="O252" s="383">
        <f t="shared" si="33"/>
        <v>34</v>
      </c>
      <c r="P252" s="383">
        <f t="shared" si="34"/>
        <v>51</v>
      </c>
      <c r="Q252" s="384">
        <f t="shared" si="35"/>
        <v>3186056.6999999997</v>
      </c>
      <c r="R252" s="27"/>
      <c r="S252" s="27"/>
      <c r="T252" s="27"/>
      <c r="U252" s="27"/>
      <c r="V252" s="27"/>
      <c r="W252" s="27"/>
      <c r="X252" s="27"/>
    </row>
    <row r="253" spans="1:24">
      <c r="A253" s="377">
        <f t="shared" si="29"/>
        <v>239</v>
      </c>
      <c r="B253" s="378" t="s">
        <v>433</v>
      </c>
      <c r="C253" s="378" t="s">
        <v>474</v>
      </c>
      <c r="D253" s="379">
        <v>42766</v>
      </c>
      <c r="E253" s="380">
        <v>105572.75</v>
      </c>
      <c r="F253" s="379">
        <v>42736</v>
      </c>
      <c r="G253" s="379">
        <v>42763</v>
      </c>
      <c r="H253" s="381">
        <f t="shared" si="30"/>
        <v>13.5</v>
      </c>
      <c r="I253" s="379">
        <v>42797</v>
      </c>
      <c r="J253" s="382">
        <f t="shared" si="31"/>
        <v>34</v>
      </c>
      <c r="K253" s="382">
        <f t="shared" si="27"/>
        <v>47.5</v>
      </c>
      <c r="L253" s="315">
        <f t="shared" si="28"/>
        <v>5014705.63</v>
      </c>
      <c r="M253" s="27"/>
      <c r="N253" s="383">
        <f t="shared" si="32"/>
        <v>13.5</v>
      </c>
      <c r="O253" s="383">
        <f t="shared" si="33"/>
        <v>34</v>
      </c>
      <c r="P253" s="383">
        <f t="shared" si="34"/>
        <v>47.5</v>
      </c>
      <c r="Q253" s="384">
        <f t="shared" si="35"/>
        <v>5014705.625</v>
      </c>
      <c r="R253" s="27"/>
      <c r="S253" s="27"/>
      <c r="T253" s="27"/>
      <c r="U253" s="27"/>
      <c r="V253" s="27"/>
      <c r="W253" s="27"/>
      <c r="X253" s="27"/>
    </row>
    <row r="254" spans="1:24">
      <c r="A254" s="377">
        <f t="shared" si="29"/>
        <v>240</v>
      </c>
      <c r="B254" s="378" t="s">
        <v>433</v>
      </c>
      <c r="C254" s="378" t="s">
        <v>474</v>
      </c>
      <c r="D254" s="379">
        <v>42920</v>
      </c>
      <c r="E254" s="380">
        <v>58702.93</v>
      </c>
      <c r="F254" s="379">
        <v>42890</v>
      </c>
      <c r="G254" s="379">
        <v>42917</v>
      </c>
      <c r="H254" s="381">
        <f t="shared" si="30"/>
        <v>13.5</v>
      </c>
      <c r="I254" s="379">
        <v>42951</v>
      </c>
      <c r="J254" s="382">
        <f t="shared" si="31"/>
        <v>34</v>
      </c>
      <c r="K254" s="382">
        <f t="shared" si="27"/>
        <v>47.5</v>
      </c>
      <c r="L254" s="315">
        <f t="shared" si="28"/>
        <v>2788389.18</v>
      </c>
      <c r="M254" s="27"/>
      <c r="N254" s="383">
        <f t="shared" si="32"/>
        <v>13.5</v>
      </c>
      <c r="O254" s="383">
        <f t="shared" si="33"/>
        <v>34</v>
      </c>
      <c r="P254" s="383">
        <f t="shared" si="34"/>
        <v>47.5</v>
      </c>
      <c r="Q254" s="384">
        <f t="shared" si="35"/>
        <v>2788389.1749999998</v>
      </c>
      <c r="R254" s="27"/>
      <c r="S254" s="27"/>
      <c r="T254" s="27"/>
      <c r="U254" s="27"/>
      <c r="V254" s="27"/>
      <c r="W254" s="27"/>
      <c r="X254" s="27"/>
    </row>
    <row r="255" spans="1:24">
      <c r="A255" s="377">
        <f t="shared" si="29"/>
        <v>241</v>
      </c>
      <c r="B255" s="378" t="s">
        <v>433</v>
      </c>
      <c r="C255" s="378" t="s">
        <v>474</v>
      </c>
      <c r="D255" s="379">
        <v>42794</v>
      </c>
      <c r="E255" s="380">
        <v>81242.740000000005</v>
      </c>
      <c r="F255" s="379">
        <v>42764</v>
      </c>
      <c r="G255" s="379">
        <v>42791</v>
      </c>
      <c r="H255" s="381">
        <f t="shared" si="30"/>
        <v>13.5</v>
      </c>
      <c r="I255" s="379">
        <v>42825</v>
      </c>
      <c r="J255" s="382">
        <f t="shared" si="31"/>
        <v>34</v>
      </c>
      <c r="K255" s="382">
        <f t="shared" si="27"/>
        <v>47.5</v>
      </c>
      <c r="L255" s="315">
        <f t="shared" si="28"/>
        <v>3859030.15</v>
      </c>
      <c r="M255" s="27"/>
      <c r="N255" s="383">
        <f t="shared" si="32"/>
        <v>13.5</v>
      </c>
      <c r="O255" s="383">
        <f t="shared" si="33"/>
        <v>34</v>
      </c>
      <c r="P255" s="383">
        <f t="shared" si="34"/>
        <v>47.5</v>
      </c>
      <c r="Q255" s="384">
        <f t="shared" si="35"/>
        <v>3859030.1500000004</v>
      </c>
      <c r="R255" s="27"/>
      <c r="S255" s="27"/>
      <c r="T255" s="27"/>
      <c r="U255" s="27"/>
      <c r="V255" s="27"/>
      <c r="W255" s="27"/>
      <c r="X255" s="27"/>
    </row>
    <row r="256" spans="1:24">
      <c r="A256" s="377">
        <f t="shared" si="29"/>
        <v>242</v>
      </c>
      <c r="B256" s="378" t="s">
        <v>433</v>
      </c>
      <c r="C256" s="378" t="s">
        <v>474</v>
      </c>
      <c r="D256" s="379">
        <v>42829</v>
      </c>
      <c r="E256" s="380">
        <v>88928.34</v>
      </c>
      <c r="F256" s="379">
        <v>42792</v>
      </c>
      <c r="G256" s="379">
        <v>42826</v>
      </c>
      <c r="H256" s="381">
        <f t="shared" si="30"/>
        <v>17</v>
      </c>
      <c r="I256" s="379">
        <v>42860</v>
      </c>
      <c r="J256" s="382">
        <f t="shared" si="31"/>
        <v>34</v>
      </c>
      <c r="K256" s="382">
        <f t="shared" si="27"/>
        <v>51</v>
      </c>
      <c r="L256" s="315">
        <f t="shared" si="28"/>
        <v>4535345.34</v>
      </c>
      <c r="M256" s="27"/>
      <c r="N256" s="383">
        <f t="shared" si="32"/>
        <v>17</v>
      </c>
      <c r="O256" s="383">
        <f t="shared" si="33"/>
        <v>34</v>
      </c>
      <c r="P256" s="383">
        <f t="shared" si="34"/>
        <v>51</v>
      </c>
      <c r="Q256" s="384">
        <f t="shared" si="35"/>
        <v>4535345.34</v>
      </c>
      <c r="R256" s="27"/>
      <c r="S256" s="27"/>
      <c r="T256" s="27"/>
      <c r="U256" s="27"/>
      <c r="V256" s="27"/>
      <c r="W256" s="27"/>
      <c r="X256" s="27"/>
    </row>
    <row r="257" spans="1:24">
      <c r="A257" s="377">
        <f t="shared" si="29"/>
        <v>243</v>
      </c>
      <c r="B257" s="378" t="s">
        <v>433</v>
      </c>
      <c r="C257" s="378" t="s">
        <v>474</v>
      </c>
      <c r="D257" s="379">
        <v>42857</v>
      </c>
      <c r="E257" s="380">
        <v>82872.28</v>
      </c>
      <c r="F257" s="379">
        <v>42827</v>
      </c>
      <c r="G257" s="379">
        <v>42854</v>
      </c>
      <c r="H257" s="381">
        <f t="shared" si="30"/>
        <v>13.5</v>
      </c>
      <c r="I257" s="379">
        <v>42888</v>
      </c>
      <c r="J257" s="382">
        <f t="shared" si="31"/>
        <v>34</v>
      </c>
      <c r="K257" s="382">
        <f t="shared" si="27"/>
        <v>47.5</v>
      </c>
      <c r="L257" s="315">
        <f t="shared" si="28"/>
        <v>3936433.3</v>
      </c>
      <c r="M257" s="27"/>
      <c r="N257" s="383">
        <f t="shared" si="32"/>
        <v>13.5</v>
      </c>
      <c r="O257" s="383">
        <f t="shared" si="33"/>
        <v>34</v>
      </c>
      <c r="P257" s="383">
        <f t="shared" si="34"/>
        <v>47.5</v>
      </c>
      <c r="Q257" s="384">
        <f t="shared" si="35"/>
        <v>3936433.3</v>
      </c>
      <c r="R257" s="27"/>
      <c r="S257" s="27"/>
      <c r="T257" s="27"/>
      <c r="U257" s="27"/>
      <c r="V257" s="27"/>
      <c r="W257" s="27"/>
      <c r="X257" s="27"/>
    </row>
    <row r="258" spans="1:24">
      <c r="A258" s="377">
        <f t="shared" si="29"/>
        <v>244</v>
      </c>
      <c r="B258" s="378" t="s">
        <v>433</v>
      </c>
      <c r="C258" s="378" t="s">
        <v>474</v>
      </c>
      <c r="D258" s="379">
        <v>42892</v>
      </c>
      <c r="E258" s="380">
        <v>56455.57</v>
      </c>
      <c r="F258" s="379">
        <v>42855</v>
      </c>
      <c r="G258" s="379">
        <v>42889</v>
      </c>
      <c r="H258" s="381">
        <f t="shared" si="30"/>
        <v>17</v>
      </c>
      <c r="I258" s="379">
        <v>42928</v>
      </c>
      <c r="J258" s="382">
        <f t="shared" si="31"/>
        <v>39</v>
      </c>
      <c r="K258" s="382">
        <f t="shared" si="27"/>
        <v>56</v>
      </c>
      <c r="L258" s="315">
        <f t="shared" si="28"/>
        <v>3161511.92</v>
      </c>
      <c r="M258" s="27"/>
      <c r="N258" s="383">
        <f t="shared" si="32"/>
        <v>17</v>
      </c>
      <c r="O258" s="383">
        <f t="shared" si="33"/>
        <v>39</v>
      </c>
      <c r="P258" s="383">
        <f t="shared" si="34"/>
        <v>56</v>
      </c>
      <c r="Q258" s="384">
        <f t="shared" si="35"/>
        <v>3161511.92</v>
      </c>
      <c r="R258" s="27"/>
      <c r="S258" s="27"/>
      <c r="T258" s="27"/>
      <c r="U258" s="27"/>
      <c r="V258" s="27"/>
      <c r="W258" s="27"/>
      <c r="X258" s="27"/>
    </row>
    <row r="259" spans="1:24">
      <c r="A259" s="377">
        <f t="shared" si="29"/>
        <v>245</v>
      </c>
      <c r="B259" s="378" t="s">
        <v>433</v>
      </c>
      <c r="C259" s="378" t="s">
        <v>474</v>
      </c>
      <c r="D259" s="379">
        <v>42948</v>
      </c>
      <c r="E259" s="380">
        <v>50142.59</v>
      </c>
      <c r="F259" s="379">
        <v>42918</v>
      </c>
      <c r="G259" s="379">
        <v>42945</v>
      </c>
      <c r="H259" s="381">
        <f t="shared" si="30"/>
        <v>13.5</v>
      </c>
      <c r="I259" s="379">
        <v>42986</v>
      </c>
      <c r="J259" s="382">
        <f t="shared" si="31"/>
        <v>41</v>
      </c>
      <c r="K259" s="382">
        <f t="shared" si="27"/>
        <v>54.5</v>
      </c>
      <c r="L259" s="315">
        <f t="shared" si="28"/>
        <v>2732771.16</v>
      </c>
      <c r="M259" s="27"/>
      <c r="N259" s="383">
        <f t="shared" si="32"/>
        <v>13.5</v>
      </c>
      <c r="O259" s="383">
        <f t="shared" si="33"/>
        <v>41</v>
      </c>
      <c r="P259" s="383">
        <f t="shared" si="34"/>
        <v>54.5</v>
      </c>
      <c r="Q259" s="384">
        <f t="shared" si="35"/>
        <v>2732771.1549999998</v>
      </c>
      <c r="R259" s="27"/>
      <c r="S259" s="27"/>
      <c r="T259" s="27"/>
      <c r="U259" s="27"/>
      <c r="V259" s="27"/>
      <c r="W259" s="27"/>
      <c r="X259" s="27"/>
    </row>
    <row r="260" spans="1:24">
      <c r="A260" s="377">
        <f t="shared" si="29"/>
        <v>246</v>
      </c>
      <c r="B260" s="378" t="s">
        <v>433</v>
      </c>
      <c r="C260" s="378" t="s">
        <v>474</v>
      </c>
      <c r="D260" s="379">
        <v>42983</v>
      </c>
      <c r="E260" s="380">
        <v>90289.42</v>
      </c>
      <c r="F260" s="379">
        <v>42946</v>
      </c>
      <c r="G260" s="379">
        <v>42980</v>
      </c>
      <c r="H260" s="381">
        <f t="shared" si="30"/>
        <v>17</v>
      </c>
      <c r="I260" s="379">
        <v>43014</v>
      </c>
      <c r="J260" s="382">
        <f t="shared" si="31"/>
        <v>34</v>
      </c>
      <c r="K260" s="382">
        <f t="shared" si="27"/>
        <v>51</v>
      </c>
      <c r="L260" s="315">
        <f t="shared" si="28"/>
        <v>4604760.42</v>
      </c>
      <c r="M260" s="27"/>
      <c r="N260" s="383">
        <f t="shared" si="32"/>
        <v>17</v>
      </c>
      <c r="O260" s="383">
        <f t="shared" si="33"/>
        <v>34</v>
      </c>
      <c r="P260" s="383">
        <f t="shared" si="34"/>
        <v>51</v>
      </c>
      <c r="Q260" s="384">
        <f t="shared" si="35"/>
        <v>4604760.42</v>
      </c>
      <c r="R260" s="27"/>
      <c r="S260" s="27"/>
      <c r="T260" s="27"/>
      <c r="U260" s="27"/>
      <c r="V260" s="27"/>
      <c r="W260" s="27"/>
      <c r="X260" s="27"/>
    </row>
    <row r="261" spans="1:24">
      <c r="A261" s="377">
        <f t="shared" si="29"/>
        <v>247</v>
      </c>
      <c r="B261" s="378" t="s">
        <v>433</v>
      </c>
      <c r="C261" s="378" t="s">
        <v>474</v>
      </c>
      <c r="D261" s="379">
        <v>43011</v>
      </c>
      <c r="E261" s="380">
        <v>57767.55</v>
      </c>
      <c r="F261" s="379">
        <v>42981</v>
      </c>
      <c r="G261" s="379">
        <v>43008</v>
      </c>
      <c r="H261" s="381">
        <f t="shared" si="30"/>
        <v>13.5</v>
      </c>
      <c r="I261" s="379">
        <v>43042</v>
      </c>
      <c r="J261" s="382">
        <f t="shared" si="31"/>
        <v>34</v>
      </c>
      <c r="K261" s="382">
        <f t="shared" si="27"/>
        <v>47.5</v>
      </c>
      <c r="L261" s="315">
        <f t="shared" si="28"/>
        <v>2743958.63</v>
      </c>
      <c r="M261" s="27"/>
      <c r="N261" s="383">
        <f t="shared" si="32"/>
        <v>13.5</v>
      </c>
      <c r="O261" s="383">
        <f t="shared" si="33"/>
        <v>34</v>
      </c>
      <c r="P261" s="383">
        <f t="shared" si="34"/>
        <v>47.5</v>
      </c>
      <c r="Q261" s="384">
        <f t="shared" si="35"/>
        <v>2743958.625</v>
      </c>
      <c r="R261" s="27"/>
      <c r="S261" s="27"/>
      <c r="T261" s="27"/>
      <c r="U261" s="27"/>
      <c r="V261" s="27"/>
      <c r="W261" s="27"/>
      <c r="X261" s="27"/>
    </row>
    <row r="262" spans="1:24">
      <c r="A262" s="377">
        <f t="shared" si="29"/>
        <v>248</v>
      </c>
      <c r="B262" s="378" t="s">
        <v>433</v>
      </c>
      <c r="C262" s="378" t="s">
        <v>474</v>
      </c>
      <c r="D262" s="379">
        <v>43036</v>
      </c>
      <c r="E262" s="380">
        <v>66596.38</v>
      </c>
      <c r="F262" s="379">
        <v>43009</v>
      </c>
      <c r="G262" s="379">
        <v>43036</v>
      </c>
      <c r="H262" s="381">
        <f t="shared" si="30"/>
        <v>13.5</v>
      </c>
      <c r="I262" s="379">
        <v>43069</v>
      </c>
      <c r="J262" s="382">
        <f t="shared" si="31"/>
        <v>33</v>
      </c>
      <c r="K262" s="382">
        <f t="shared" si="27"/>
        <v>46.5</v>
      </c>
      <c r="L262" s="315">
        <f t="shared" si="28"/>
        <v>3096731.67</v>
      </c>
      <c r="M262" s="27"/>
      <c r="N262" s="383">
        <f t="shared" si="32"/>
        <v>13.5</v>
      </c>
      <c r="O262" s="383">
        <f t="shared" si="33"/>
        <v>33</v>
      </c>
      <c r="P262" s="383">
        <f t="shared" si="34"/>
        <v>46.5</v>
      </c>
      <c r="Q262" s="384">
        <f t="shared" si="35"/>
        <v>3096731.6700000004</v>
      </c>
      <c r="R262" s="27"/>
      <c r="S262" s="27"/>
      <c r="T262" s="27"/>
      <c r="U262" s="27"/>
      <c r="V262" s="27"/>
      <c r="W262" s="27"/>
      <c r="X262" s="27"/>
    </row>
    <row r="263" spans="1:24">
      <c r="A263" s="377">
        <f t="shared" si="29"/>
        <v>249</v>
      </c>
      <c r="B263" s="378" t="s">
        <v>433</v>
      </c>
      <c r="C263" s="378" t="s">
        <v>474</v>
      </c>
      <c r="D263" s="379">
        <v>43074</v>
      </c>
      <c r="E263" s="380">
        <v>130123.37</v>
      </c>
      <c r="F263" s="379">
        <v>43037</v>
      </c>
      <c r="G263" s="379">
        <v>43071</v>
      </c>
      <c r="H263" s="381">
        <f t="shared" si="30"/>
        <v>17</v>
      </c>
      <c r="I263" s="379">
        <v>43105</v>
      </c>
      <c r="J263" s="382">
        <f t="shared" si="31"/>
        <v>34</v>
      </c>
      <c r="K263" s="382">
        <f t="shared" si="27"/>
        <v>51</v>
      </c>
      <c r="L263" s="315">
        <f t="shared" si="28"/>
        <v>6636291.8700000001</v>
      </c>
      <c r="M263" s="27"/>
      <c r="N263" s="383">
        <f t="shared" si="32"/>
        <v>17</v>
      </c>
      <c r="O263" s="383">
        <f t="shared" si="33"/>
        <v>34</v>
      </c>
      <c r="P263" s="383">
        <f t="shared" si="34"/>
        <v>51</v>
      </c>
      <c r="Q263" s="384">
        <f t="shared" si="35"/>
        <v>6636291.8700000001</v>
      </c>
      <c r="R263" s="27"/>
      <c r="S263" s="27"/>
      <c r="T263" s="27"/>
      <c r="U263" s="27"/>
      <c r="V263" s="27"/>
      <c r="W263" s="27"/>
      <c r="X263" s="27"/>
    </row>
    <row r="264" spans="1:24">
      <c r="A264" s="377">
        <f t="shared" si="29"/>
        <v>250</v>
      </c>
      <c r="B264" s="378" t="s">
        <v>476</v>
      </c>
      <c r="C264" s="378" t="s">
        <v>474</v>
      </c>
      <c r="D264" s="379">
        <v>42955</v>
      </c>
      <c r="E264" s="380">
        <v>1106.3399999999999</v>
      </c>
      <c r="F264" s="379">
        <v>42934</v>
      </c>
      <c r="G264" s="379">
        <v>42937</v>
      </c>
      <c r="H264" s="381">
        <f t="shared" si="30"/>
        <v>1.5</v>
      </c>
      <c r="I264" s="379">
        <v>42986</v>
      </c>
      <c r="J264" s="382">
        <f t="shared" si="31"/>
        <v>49</v>
      </c>
      <c r="K264" s="382">
        <f t="shared" si="27"/>
        <v>50.5</v>
      </c>
      <c r="L264" s="315">
        <f t="shared" si="28"/>
        <v>55870.17</v>
      </c>
      <c r="M264" s="27"/>
      <c r="N264" s="383">
        <f t="shared" si="32"/>
        <v>1.5</v>
      </c>
      <c r="O264" s="383">
        <f t="shared" si="33"/>
        <v>49</v>
      </c>
      <c r="P264" s="383">
        <f t="shared" si="34"/>
        <v>50.5</v>
      </c>
      <c r="Q264" s="384">
        <f t="shared" si="35"/>
        <v>55870.17</v>
      </c>
      <c r="R264" s="27"/>
      <c r="S264" s="27"/>
      <c r="T264" s="27"/>
      <c r="U264" s="27"/>
      <c r="V264" s="27"/>
      <c r="W264" s="27"/>
      <c r="X264" s="27"/>
    </row>
    <row r="265" spans="1:24">
      <c r="A265" s="377">
        <f t="shared" si="29"/>
        <v>251</v>
      </c>
      <c r="B265" s="378" t="s">
        <v>448</v>
      </c>
      <c r="C265" s="378" t="s">
        <v>474</v>
      </c>
      <c r="D265" s="379">
        <v>43017</v>
      </c>
      <c r="E265" s="380">
        <v>3725.75</v>
      </c>
      <c r="F265" s="379">
        <v>43017</v>
      </c>
      <c r="G265" s="379"/>
      <c r="H265" s="381">
        <f t="shared" si="30"/>
        <v>0</v>
      </c>
      <c r="I265" s="379">
        <v>43033</v>
      </c>
      <c r="J265" s="382">
        <f t="shared" si="31"/>
        <v>16</v>
      </c>
      <c r="K265" s="382">
        <f t="shared" si="27"/>
        <v>16</v>
      </c>
      <c r="L265" s="315">
        <f t="shared" si="28"/>
        <v>59612</v>
      </c>
      <c r="M265" s="27"/>
      <c r="N265" s="383">
        <f t="shared" si="32"/>
        <v>15</v>
      </c>
      <c r="O265" s="383">
        <f t="shared" si="33"/>
        <v>16</v>
      </c>
      <c r="P265" s="383">
        <f t="shared" si="34"/>
        <v>31</v>
      </c>
      <c r="Q265" s="384">
        <f t="shared" si="35"/>
        <v>115498.25</v>
      </c>
      <c r="R265" s="27"/>
      <c r="S265" s="27"/>
      <c r="T265" s="27"/>
      <c r="U265" s="27"/>
      <c r="V265" s="27"/>
      <c r="W265" s="27"/>
      <c r="X265" s="27"/>
    </row>
    <row r="266" spans="1:24">
      <c r="A266" s="377">
        <f t="shared" si="29"/>
        <v>252</v>
      </c>
      <c r="B266" s="378" t="s">
        <v>477</v>
      </c>
      <c r="C266" s="378" t="s">
        <v>474</v>
      </c>
      <c r="D266" s="379">
        <v>42764</v>
      </c>
      <c r="E266" s="380">
        <v>635.29999999999995</v>
      </c>
      <c r="F266" s="379">
        <v>42751</v>
      </c>
      <c r="G266" s="379">
        <v>42764</v>
      </c>
      <c r="H266" s="381">
        <f t="shared" si="30"/>
        <v>6.5</v>
      </c>
      <c r="I266" s="379">
        <v>42787</v>
      </c>
      <c r="J266" s="382">
        <f t="shared" si="31"/>
        <v>23</v>
      </c>
      <c r="K266" s="382">
        <f t="shared" si="27"/>
        <v>29.5</v>
      </c>
      <c r="L266" s="315">
        <f t="shared" si="28"/>
        <v>18741.349999999999</v>
      </c>
      <c r="M266" s="27"/>
      <c r="N266" s="383">
        <f t="shared" si="32"/>
        <v>6.5</v>
      </c>
      <c r="O266" s="383">
        <f t="shared" si="33"/>
        <v>23</v>
      </c>
      <c r="P266" s="383">
        <f t="shared" si="34"/>
        <v>29.5</v>
      </c>
      <c r="Q266" s="384">
        <f t="shared" si="35"/>
        <v>18741.349999999999</v>
      </c>
      <c r="R266" s="27"/>
      <c r="S266" s="27"/>
      <c r="T266" s="27"/>
      <c r="U266" s="27"/>
      <c r="V266" s="27"/>
      <c r="W266" s="27"/>
      <c r="X266" s="27"/>
    </row>
    <row r="267" spans="1:24">
      <c r="A267" s="377">
        <f t="shared" si="29"/>
        <v>253</v>
      </c>
      <c r="B267" s="378" t="s">
        <v>459</v>
      </c>
      <c r="C267" s="378" t="s">
        <v>474</v>
      </c>
      <c r="D267" s="379">
        <v>42966</v>
      </c>
      <c r="E267" s="380">
        <v>67.36</v>
      </c>
      <c r="F267" s="379">
        <v>42966</v>
      </c>
      <c r="G267" s="379"/>
      <c r="H267" s="381">
        <f t="shared" si="30"/>
        <v>0</v>
      </c>
      <c r="I267" s="379">
        <v>42997</v>
      </c>
      <c r="J267" s="382">
        <f t="shared" si="31"/>
        <v>31</v>
      </c>
      <c r="K267" s="382">
        <f t="shared" si="27"/>
        <v>31</v>
      </c>
      <c r="L267" s="315">
        <f t="shared" si="28"/>
        <v>2088.16</v>
      </c>
      <c r="M267" s="27"/>
      <c r="N267" s="383">
        <f t="shared" si="32"/>
        <v>15</v>
      </c>
      <c r="O267" s="383">
        <f t="shared" si="33"/>
        <v>31</v>
      </c>
      <c r="P267" s="383">
        <f t="shared" si="34"/>
        <v>46</v>
      </c>
      <c r="Q267" s="384">
        <f t="shared" si="35"/>
        <v>3098.56</v>
      </c>
      <c r="R267" s="27"/>
      <c r="S267" s="27"/>
      <c r="T267" s="27"/>
      <c r="U267" s="27"/>
      <c r="V267" s="27"/>
      <c r="W267" s="27"/>
      <c r="X267" s="27"/>
    </row>
    <row r="268" spans="1:24">
      <c r="A268" s="377">
        <f t="shared" si="29"/>
        <v>254</v>
      </c>
      <c r="B268" s="378" t="s">
        <v>459</v>
      </c>
      <c r="C268" s="378" t="s">
        <v>474</v>
      </c>
      <c r="D268" s="379">
        <v>42898</v>
      </c>
      <c r="E268" s="380">
        <v>578.09</v>
      </c>
      <c r="F268" s="379">
        <v>42898</v>
      </c>
      <c r="G268" s="379"/>
      <c r="H268" s="381">
        <f t="shared" si="30"/>
        <v>0</v>
      </c>
      <c r="I268" s="379">
        <v>42929</v>
      </c>
      <c r="J268" s="382">
        <f t="shared" si="31"/>
        <v>31</v>
      </c>
      <c r="K268" s="382">
        <f t="shared" si="27"/>
        <v>31</v>
      </c>
      <c r="L268" s="315">
        <f t="shared" si="28"/>
        <v>17920.79</v>
      </c>
      <c r="M268" s="27"/>
      <c r="N268" s="383">
        <f t="shared" si="32"/>
        <v>15</v>
      </c>
      <c r="O268" s="383">
        <f t="shared" si="33"/>
        <v>31</v>
      </c>
      <c r="P268" s="383">
        <f t="shared" si="34"/>
        <v>46</v>
      </c>
      <c r="Q268" s="384">
        <f t="shared" si="35"/>
        <v>26592.140000000003</v>
      </c>
      <c r="R268" s="27"/>
      <c r="S268" s="27"/>
      <c r="T268" s="27"/>
      <c r="U268" s="27"/>
      <c r="V268" s="27"/>
      <c r="W268" s="27"/>
      <c r="X268" s="27"/>
    </row>
    <row r="269" spans="1:24">
      <c r="A269" s="377">
        <f t="shared" si="29"/>
        <v>255</v>
      </c>
      <c r="B269" s="378" t="s">
        <v>459</v>
      </c>
      <c r="C269" s="378" t="s">
        <v>474</v>
      </c>
      <c r="D269" s="379">
        <v>42930</v>
      </c>
      <c r="E269" s="380">
        <v>407.32</v>
      </c>
      <c r="F269" s="379">
        <v>42930</v>
      </c>
      <c r="G269" s="379"/>
      <c r="H269" s="381">
        <f t="shared" si="30"/>
        <v>0</v>
      </c>
      <c r="I269" s="379">
        <v>42961</v>
      </c>
      <c r="J269" s="382">
        <f t="shared" si="31"/>
        <v>31</v>
      </c>
      <c r="K269" s="382">
        <f t="shared" si="27"/>
        <v>31</v>
      </c>
      <c r="L269" s="315">
        <f t="shared" si="28"/>
        <v>12626.92</v>
      </c>
      <c r="M269" s="27"/>
      <c r="N269" s="383">
        <f t="shared" si="32"/>
        <v>15</v>
      </c>
      <c r="O269" s="383">
        <f t="shared" si="33"/>
        <v>31</v>
      </c>
      <c r="P269" s="383">
        <f t="shared" si="34"/>
        <v>46</v>
      </c>
      <c r="Q269" s="384">
        <f t="shared" si="35"/>
        <v>18736.72</v>
      </c>
      <c r="R269" s="27"/>
      <c r="S269" s="27"/>
      <c r="T269" s="27"/>
      <c r="U269" s="27"/>
      <c r="V269" s="27"/>
      <c r="W269" s="27"/>
      <c r="X269" s="27"/>
    </row>
    <row r="270" spans="1:24">
      <c r="A270" s="377">
        <f t="shared" si="29"/>
        <v>256</v>
      </c>
      <c r="B270" s="378" t="s">
        <v>450</v>
      </c>
      <c r="C270" s="378" t="s">
        <v>474</v>
      </c>
      <c r="D270" s="379">
        <v>42772</v>
      </c>
      <c r="E270" s="380">
        <v>1499.6299999999999</v>
      </c>
      <c r="F270" s="379">
        <v>42772</v>
      </c>
      <c r="G270" s="379"/>
      <c r="H270" s="381">
        <f t="shared" si="30"/>
        <v>0</v>
      </c>
      <c r="I270" s="379">
        <v>42788</v>
      </c>
      <c r="J270" s="382">
        <f t="shared" si="31"/>
        <v>16</v>
      </c>
      <c r="K270" s="382">
        <f t="shared" si="27"/>
        <v>16</v>
      </c>
      <c r="L270" s="315">
        <f t="shared" si="28"/>
        <v>23994.080000000002</v>
      </c>
      <c r="M270" s="27"/>
      <c r="N270" s="383">
        <f t="shared" si="32"/>
        <v>15</v>
      </c>
      <c r="O270" s="383">
        <f t="shared" si="33"/>
        <v>16</v>
      </c>
      <c r="P270" s="383">
        <f t="shared" si="34"/>
        <v>31</v>
      </c>
      <c r="Q270" s="384">
        <f t="shared" si="35"/>
        <v>46488.53</v>
      </c>
      <c r="R270" s="27"/>
      <c r="S270" s="27"/>
      <c r="T270" s="27"/>
      <c r="U270" s="27"/>
      <c r="V270" s="27"/>
      <c r="W270" s="27"/>
      <c r="X270" s="27"/>
    </row>
    <row r="271" spans="1:24">
      <c r="A271" s="377">
        <f t="shared" si="29"/>
        <v>257</v>
      </c>
      <c r="B271" s="378" t="s">
        <v>478</v>
      </c>
      <c r="C271" s="378" t="s">
        <v>474</v>
      </c>
      <c r="D271" s="379">
        <v>42773</v>
      </c>
      <c r="E271" s="380">
        <v>359058.84</v>
      </c>
      <c r="F271" s="379">
        <v>42736</v>
      </c>
      <c r="G271" s="379">
        <v>42766</v>
      </c>
      <c r="H271" s="381">
        <f t="shared" si="30"/>
        <v>15</v>
      </c>
      <c r="I271" s="379">
        <v>42804</v>
      </c>
      <c r="J271" s="382">
        <f t="shared" si="31"/>
        <v>38</v>
      </c>
      <c r="K271" s="382">
        <f t="shared" ref="K271:K334" si="36">H271+J271</f>
        <v>53</v>
      </c>
      <c r="L271" s="315">
        <f t="shared" ref="L271:L334" si="37">ROUND(E271*K271,2)</f>
        <v>19030118.52</v>
      </c>
      <c r="M271" s="27"/>
      <c r="N271" s="383">
        <f t="shared" si="32"/>
        <v>15</v>
      </c>
      <c r="O271" s="383">
        <f t="shared" si="33"/>
        <v>38</v>
      </c>
      <c r="P271" s="383">
        <f t="shared" si="34"/>
        <v>53</v>
      </c>
      <c r="Q271" s="384">
        <f t="shared" si="35"/>
        <v>19030118.52</v>
      </c>
      <c r="R271" s="27"/>
      <c r="S271" s="27"/>
      <c r="T271" s="27"/>
      <c r="U271" s="27"/>
      <c r="V271" s="27"/>
      <c r="W271" s="27"/>
      <c r="X271" s="27"/>
    </row>
    <row r="272" spans="1:24">
      <c r="A272" s="377">
        <f t="shared" ref="A272:A335" si="38">A271+1</f>
        <v>258</v>
      </c>
      <c r="B272" s="378" t="s">
        <v>478</v>
      </c>
      <c r="C272" s="378" t="s">
        <v>474</v>
      </c>
      <c r="D272" s="379">
        <v>42835</v>
      </c>
      <c r="E272" s="380">
        <v>326007.09999999998</v>
      </c>
      <c r="F272" s="379">
        <v>42795</v>
      </c>
      <c r="G272" s="379">
        <v>42825</v>
      </c>
      <c r="H272" s="381">
        <f t="shared" ref="H272:H335" si="39">IF(G272="",0,(G272-F272)/2)</f>
        <v>15</v>
      </c>
      <c r="I272" s="379">
        <v>42866</v>
      </c>
      <c r="J272" s="382">
        <f t="shared" ref="J272:J335" si="40">IF(G272="",I272-F272,I272-G272)</f>
        <v>41</v>
      </c>
      <c r="K272" s="382">
        <f t="shared" si="36"/>
        <v>56</v>
      </c>
      <c r="L272" s="315">
        <f t="shared" si="37"/>
        <v>18256397.600000001</v>
      </c>
      <c r="M272" s="27"/>
      <c r="N272" s="383">
        <f t="shared" ref="N272:N335" si="41">IF(G272="",30/2,H272)</f>
        <v>15</v>
      </c>
      <c r="O272" s="383">
        <f t="shared" ref="O272:O335" si="42">J272</f>
        <v>41</v>
      </c>
      <c r="P272" s="383">
        <f t="shared" ref="P272:P335" si="43">N272+O272</f>
        <v>56</v>
      </c>
      <c r="Q272" s="384">
        <f t="shared" ref="Q272:Q335" si="44">E272*P272</f>
        <v>18256397.599999998</v>
      </c>
      <c r="R272" s="27"/>
      <c r="S272" s="27"/>
      <c r="T272" s="27"/>
      <c r="U272" s="27"/>
      <c r="V272" s="27"/>
      <c r="W272" s="27"/>
      <c r="X272" s="27"/>
    </row>
    <row r="273" spans="1:24">
      <c r="A273" s="377">
        <f t="shared" si="38"/>
        <v>259</v>
      </c>
      <c r="B273" s="378" t="s">
        <v>478</v>
      </c>
      <c r="C273" s="378" t="s">
        <v>474</v>
      </c>
      <c r="D273" s="379">
        <v>42860</v>
      </c>
      <c r="E273" s="380">
        <v>355527.15</v>
      </c>
      <c r="F273" s="379">
        <v>42826</v>
      </c>
      <c r="G273" s="379">
        <v>42855</v>
      </c>
      <c r="H273" s="381">
        <f t="shared" si="39"/>
        <v>14.5</v>
      </c>
      <c r="I273" s="379">
        <v>42891</v>
      </c>
      <c r="J273" s="382">
        <f t="shared" si="40"/>
        <v>36</v>
      </c>
      <c r="K273" s="382">
        <f t="shared" si="36"/>
        <v>50.5</v>
      </c>
      <c r="L273" s="315">
        <f t="shared" si="37"/>
        <v>17954121.079999998</v>
      </c>
      <c r="M273" s="27"/>
      <c r="N273" s="383">
        <f t="shared" si="41"/>
        <v>14.5</v>
      </c>
      <c r="O273" s="383">
        <f t="shared" si="42"/>
        <v>36</v>
      </c>
      <c r="P273" s="383">
        <f t="shared" si="43"/>
        <v>50.5</v>
      </c>
      <c r="Q273" s="384">
        <f t="shared" si="44"/>
        <v>17954121.075000003</v>
      </c>
      <c r="R273" s="27"/>
      <c r="S273" s="27"/>
      <c r="T273" s="27"/>
      <c r="U273" s="27"/>
      <c r="V273" s="27"/>
      <c r="W273" s="27"/>
      <c r="X273" s="27"/>
    </row>
    <row r="274" spans="1:24">
      <c r="A274" s="377">
        <f t="shared" si="38"/>
        <v>260</v>
      </c>
      <c r="B274" s="378" t="s">
        <v>478</v>
      </c>
      <c r="C274" s="378" t="s">
        <v>474</v>
      </c>
      <c r="D274" s="379">
        <v>42895</v>
      </c>
      <c r="E274" s="380">
        <v>343262.15</v>
      </c>
      <c r="F274" s="379">
        <v>42856</v>
      </c>
      <c r="G274" s="379">
        <v>42886</v>
      </c>
      <c r="H274" s="381">
        <f t="shared" si="39"/>
        <v>15</v>
      </c>
      <c r="I274" s="379">
        <v>42926</v>
      </c>
      <c r="J274" s="382">
        <f t="shared" si="40"/>
        <v>40</v>
      </c>
      <c r="K274" s="382">
        <f t="shared" si="36"/>
        <v>55</v>
      </c>
      <c r="L274" s="315">
        <f t="shared" si="37"/>
        <v>18879418.25</v>
      </c>
      <c r="M274" s="27"/>
      <c r="N274" s="383">
        <f t="shared" si="41"/>
        <v>15</v>
      </c>
      <c r="O274" s="383">
        <f t="shared" si="42"/>
        <v>40</v>
      </c>
      <c r="P274" s="383">
        <f t="shared" si="43"/>
        <v>55</v>
      </c>
      <c r="Q274" s="384">
        <f t="shared" si="44"/>
        <v>18879418.25</v>
      </c>
      <c r="R274" s="27"/>
      <c r="S274" s="27"/>
      <c r="T274" s="27"/>
      <c r="U274" s="27"/>
      <c r="V274" s="27"/>
      <c r="W274" s="27"/>
      <c r="X274" s="27"/>
    </row>
    <row r="275" spans="1:24">
      <c r="A275" s="377">
        <f t="shared" si="38"/>
        <v>261</v>
      </c>
      <c r="B275" s="378" t="s">
        <v>478</v>
      </c>
      <c r="C275" s="378" t="s">
        <v>474</v>
      </c>
      <c r="D275" s="379">
        <v>42887</v>
      </c>
      <c r="E275" s="380">
        <v>9159.51</v>
      </c>
      <c r="F275" s="379">
        <v>42856</v>
      </c>
      <c r="G275" s="379">
        <v>42886</v>
      </c>
      <c r="H275" s="381">
        <f t="shared" si="39"/>
        <v>15</v>
      </c>
      <c r="I275" s="379">
        <v>42919</v>
      </c>
      <c r="J275" s="382">
        <f t="shared" si="40"/>
        <v>33</v>
      </c>
      <c r="K275" s="382">
        <f t="shared" si="36"/>
        <v>48</v>
      </c>
      <c r="L275" s="315">
        <f t="shared" si="37"/>
        <v>439656.48</v>
      </c>
      <c r="M275" s="27"/>
      <c r="N275" s="383">
        <f t="shared" si="41"/>
        <v>15</v>
      </c>
      <c r="O275" s="383">
        <f t="shared" si="42"/>
        <v>33</v>
      </c>
      <c r="P275" s="383">
        <f t="shared" si="43"/>
        <v>48</v>
      </c>
      <c r="Q275" s="384">
        <f t="shared" si="44"/>
        <v>439656.48</v>
      </c>
      <c r="R275" s="27"/>
      <c r="S275" s="27"/>
      <c r="T275" s="27"/>
      <c r="U275" s="27"/>
      <c r="V275" s="27"/>
      <c r="W275" s="27"/>
      <c r="X275" s="27"/>
    </row>
    <row r="276" spans="1:24">
      <c r="A276" s="377">
        <f t="shared" si="38"/>
        <v>262</v>
      </c>
      <c r="B276" s="378" t="s">
        <v>478</v>
      </c>
      <c r="C276" s="378" t="s">
        <v>474</v>
      </c>
      <c r="D276" s="379">
        <v>42989</v>
      </c>
      <c r="E276" s="380">
        <v>339269.24</v>
      </c>
      <c r="F276" s="379">
        <v>42948</v>
      </c>
      <c r="G276" s="379">
        <v>42978</v>
      </c>
      <c r="H276" s="381">
        <f t="shared" si="39"/>
        <v>15</v>
      </c>
      <c r="I276" s="379">
        <v>43020</v>
      </c>
      <c r="J276" s="382">
        <f t="shared" si="40"/>
        <v>42</v>
      </c>
      <c r="K276" s="382">
        <f t="shared" si="36"/>
        <v>57</v>
      </c>
      <c r="L276" s="315">
        <f t="shared" si="37"/>
        <v>19338346.68</v>
      </c>
      <c r="M276" s="27"/>
      <c r="N276" s="383">
        <f t="shared" si="41"/>
        <v>15</v>
      </c>
      <c r="O276" s="383">
        <f t="shared" si="42"/>
        <v>42</v>
      </c>
      <c r="P276" s="383">
        <f t="shared" si="43"/>
        <v>57</v>
      </c>
      <c r="Q276" s="384">
        <f t="shared" si="44"/>
        <v>19338346.68</v>
      </c>
      <c r="R276" s="27"/>
      <c r="S276" s="27"/>
      <c r="T276" s="27"/>
      <c r="U276" s="27"/>
      <c r="V276" s="27"/>
      <c r="W276" s="27"/>
      <c r="X276" s="27"/>
    </row>
    <row r="277" spans="1:24">
      <c r="A277" s="377">
        <f t="shared" si="38"/>
        <v>263</v>
      </c>
      <c r="B277" s="378" t="s">
        <v>478</v>
      </c>
      <c r="C277" s="378" t="s">
        <v>474</v>
      </c>
      <c r="D277" s="379">
        <v>43018</v>
      </c>
      <c r="E277" s="380">
        <v>319618.51</v>
      </c>
      <c r="F277" s="379">
        <v>42979</v>
      </c>
      <c r="G277" s="379">
        <v>43008</v>
      </c>
      <c r="H277" s="381">
        <f t="shared" si="39"/>
        <v>14.5</v>
      </c>
      <c r="I277" s="379">
        <v>43049</v>
      </c>
      <c r="J277" s="382">
        <f t="shared" si="40"/>
        <v>41</v>
      </c>
      <c r="K277" s="382">
        <f t="shared" si="36"/>
        <v>55.5</v>
      </c>
      <c r="L277" s="315">
        <f t="shared" si="37"/>
        <v>17738827.309999999</v>
      </c>
      <c r="M277" s="27"/>
      <c r="N277" s="383">
        <f t="shared" si="41"/>
        <v>14.5</v>
      </c>
      <c r="O277" s="383">
        <f t="shared" si="42"/>
        <v>41</v>
      </c>
      <c r="P277" s="383">
        <f t="shared" si="43"/>
        <v>55.5</v>
      </c>
      <c r="Q277" s="384">
        <f t="shared" si="44"/>
        <v>17738827.305</v>
      </c>
      <c r="R277" s="27"/>
      <c r="S277" s="27"/>
      <c r="T277" s="27"/>
      <c r="U277" s="27"/>
      <c r="V277" s="27"/>
      <c r="W277" s="27"/>
      <c r="X277" s="27"/>
    </row>
    <row r="278" spans="1:24">
      <c r="A278" s="377">
        <f t="shared" si="38"/>
        <v>264</v>
      </c>
      <c r="B278" s="378" t="s">
        <v>478</v>
      </c>
      <c r="C278" s="378" t="s">
        <v>474</v>
      </c>
      <c r="D278" s="379">
        <v>43047</v>
      </c>
      <c r="E278" s="380">
        <v>336725.28</v>
      </c>
      <c r="F278" s="379">
        <v>43009</v>
      </c>
      <c r="G278" s="379">
        <v>43039</v>
      </c>
      <c r="H278" s="381">
        <f t="shared" si="39"/>
        <v>15</v>
      </c>
      <c r="I278" s="379">
        <v>43080</v>
      </c>
      <c r="J278" s="382">
        <f t="shared" si="40"/>
        <v>41</v>
      </c>
      <c r="K278" s="382">
        <f t="shared" si="36"/>
        <v>56</v>
      </c>
      <c r="L278" s="315">
        <f t="shared" si="37"/>
        <v>18856615.68</v>
      </c>
      <c r="M278" s="27"/>
      <c r="N278" s="383">
        <f t="shared" si="41"/>
        <v>15</v>
      </c>
      <c r="O278" s="383">
        <f t="shared" si="42"/>
        <v>41</v>
      </c>
      <c r="P278" s="383">
        <f t="shared" si="43"/>
        <v>56</v>
      </c>
      <c r="Q278" s="384">
        <f t="shared" si="44"/>
        <v>18856615.68</v>
      </c>
      <c r="R278" s="27"/>
      <c r="S278" s="27"/>
      <c r="T278" s="27"/>
      <c r="U278" s="27"/>
      <c r="V278" s="27"/>
      <c r="W278" s="27"/>
      <c r="X278" s="27"/>
    </row>
    <row r="279" spans="1:24">
      <c r="A279" s="377">
        <f t="shared" si="38"/>
        <v>265</v>
      </c>
      <c r="B279" s="378" t="s">
        <v>478</v>
      </c>
      <c r="C279" s="378" t="s">
        <v>474</v>
      </c>
      <c r="D279" s="379">
        <v>43077</v>
      </c>
      <c r="E279" s="380">
        <v>356158.75</v>
      </c>
      <c r="F279" s="379">
        <v>43040</v>
      </c>
      <c r="G279" s="379">
        <v>43069</v>
      </c>
      <c r="H279" s="381">
        <f t="shared" si="39"/>
        <v>14.5</v>
      </c>
      <c r="I279" s="379">
        <v>43108</v>
      </c>
      <c r="J279" s="382">
        <f t="shared" si="40"/>
        <v>39</v>
      </c>
      <c r="K279" s="382">
        <f t="shared" si="36"/>
        <v>53.5</v>
      </c>
      <c r="L279" s="315">
        <f t="shared" si="37"/>
        <v>19054493.129999999</v>
      </c>
      <c r="M279" s="27"/>
      <c r="N279" s="383">
        <f t="shared" si="41"/>
        <v>14.5</v>
      </c>
      <c r="O279" s="383">
        <f t="shared" si="42"/>
        <v>39</v>
      </c>
      <c r="P279" s="383">
        <f t="shared" si="43"/>
        <v>53.5</v>
      </c>
      <c r="Q279" s="384">
        <f t="shared" si="44"/>
        <v>19054493.125</v>
      </c>
      <c r="R279" s="27"/>
      <c r="S279" s="27"/>
      <c r="T279" s="27"/>
      <c r="U279" s="27"/>
      <c r="V279" s="27"/>
      <c r="W279" s="27"/>
      <c r="X279" s="27"/>
    </row>
    <row r="280" spans="1:24">
      <c r="A280" s="377">
        <f t="shared" si="38"/>
        <v>266</v>
      </c>
      <c r="B280" s="378" t="s">
        <v>478</v>
      </c>
      <c r="C280" s="378" t="s">
        <v>474</v>
      </c>
      <c r="D280" s="379">
        <v>42741</v>
      </c>
      <c r="E280" s="380">
        <v>333916.71999999997</v>
      </c>
      <c r="F280" s="379">
        <v>42705</v>
      </c>
      <c r="G280" s="379">
        <v>42735</v>
      </c>
      <c r="H280" s="381">
        <f t="shared" si="39"/>
        <v>15</v>
      </c>
      <c r="I280" s="379">
        <v>42772</v>
      </c>
      <c r="J280" s="382">
        <f t="shared" si="40"/>
        <v>37</v>
      </c>
      <c r="K280" s="382">
        <f t="shared" si="36"/>
        <v>52</v>
      </c>
      <c r="L280" s="315">
        <f t="shared" si="37"/>
        <v>17363669.440000001</v>
      </c>
      <c r="M280" s="27"/>
      <c r="N280" s="383">
        <f t="shared" si="41"/>
        <v>15</v>
      </c>
      <c r="O280" s="383">
        <f t="shared" si="42"/>
        <v>37</v>
      </c>
      <c r="P280" s="383">
        <f t="shared" si="43"/>
        <v>52</v>
      </c>
      <c r="Q280" s="384">
        <f t="shared" si="44"/>
        <v>17363669.439999998</v>
      </c>
      <c r="R280" s="27"/>
      <c r="S280" s="27"/>
      <c r="T280" s="27"/>
      <c r="U280" s="27"/>
      <c r="V280" s="27"/>
      <c r="W280" s="27"/>
      <c r="X280" s="27"/>
    </row>
    <row r="281" spans="1:24">
      <c r="A281" s="377">
        <f t="shared" si="38"/>
        <v>267</v>
      </c>
      <c r="B281" s="378" t="s">
        <v>478</v>
      </c>
      <c r="C281" s="378" t="s">
        <v>474</v>
      </c>
      <c r="D281" s="379">
        <v>42802</v>
      </c>
      <c r="E281" s="380">
        <v>359750.27</v>
      </c>
      <c r="F281" s="379">
        <v>42767</v>
      </c>
      <c r="G281" s="379">
        <v>42794</v>
      </c>
      <c r="H281" s="381">
        <f t="shared" si="39"/>
        <v>13.5</v>
      </c>
      <c r="I281" s="379">
        <v>42835</v>
      </c>
      <c r="J281" s="382">
        <f t="shared" si="40"/>
        <v>41</v>
      </c>
      <c r="K281" s="382">
        <f t="shared" si="36"/>
        <v>54.5</v>
      </c>
      <c r="L281" s="315">
        <f t="shared" si="37"/>
        <v>19606389.719999999</v>
      </c>
      <c r="M281" s="27"/>
      <c r="N281" s="383">
        <f t="shared" si="41"/>
        <v>13.5</v>
      </c>
      <c r="O281" s="383">
        <f t="shared" si="42"/>
        <v>41</v>
      </c>
      <c r="P281" s="383">
        <f t="shared" si="43"/>
        <v>54.5</v>
      </c>
      <c r="Q281" s="384">
        <f t="shared" si="44"/>
        <v>19606389.715</v>
      </c>
      <c r="R281" s="27"/>
      <c r="S281" s="27"/>
      <c r="T281" s="27"/>
      <c r="U281" s="27"/>
      <c r="V281" s="27"/>
      <c r="W281" s="27"/>
      <c r="X281" s="27"/>
    </row>
    <row r="282" spans="1:24">
      <c r="A282" s="377">
        <f t="shared" si="38"/>
        <v>268</v>
      </c>
      <c r="B282" s="378" t="s">
        <v>478</v>
      </c>
      <c r="C282" s="378" t="s">
        <v>474</v>
      </c>
      <c r="D282" s="379">
        <v>42927</v>
      </c>
      <c r="E282" s="380">
        <v>313897.73</v>
      </c>
      <c r="F282" s="379">
        <v>42887</v>
      </c>
      <c r="G282" s="379">
        <v>42916</v>
      </c>
      <c r="H282" s="381">
        <f t="shared" si="39"/>
        <v>14.5</v>
      </c>
      <c r="I282" s="379">
        <v>42958</v>
      </c>
      <c r="J282" s="382">
        <f t="shared" si="40"/>
        <v>42</v>
      </c>
      <c r="K282" s="382">
        <f t="shared" si="36"/>
        <v>56.5</v>
      </c>
      <c r="L282" s="315">
        <f t="shared" si="37"/>
        <v>17735221.75</v>
      </c>
      <c r="M282" s="27"/>
      <c r="N282" s="383">
        <f t="shared" si="41"/>
        <v>14.5</v>
      </c>
      <c r="O282" s="383">
        <f t="shared" si="42"/>
        <v>42</v>
      </c>
      <c r="P282" s="383">
        <f t="shared" si="43"/>
        <v>56.5</v>
      </c>
      <c r="Q282" s="384">
        <f t="shared" si="44"/>
        <v>17735221.744999997</v>
      </c>
      <c r="R282" s="27"/>
      <c r="S282" s="27"/>
      <c r="T282" s="27"/>
      <c r="U282" s="27"/>
      <c r="V282" s="27"/>
      <c r="W282" s="27"/>
      <c r="X282" s="27"/>
    </row>
    <row r="283" spans="1:24">
      <c r="A283" s="377">
        <f t="shared" si="38"/>
        <v>269</v>
      </c>
      <c r="B283" s="378" t="s">
        <v>478</v>
      </c>
      <c r="C283" s="378" t="s">
        <v>474</v>
      </c>
      <c r="D283" s="379">
        <v>42957</v>
      </c>
      <c r="E283" s="380">
        <v>333415.52</v>
      </c>
      <c r="F283" s="379">
        <v>42917</v>
      </c>
      <c r="G283" s="379">
        <v>42947</v>
      </c>
      <c r="H283" s="381">
        <f t="shared" si="39"/>
        <v>15</v>
      </c>
      <c r="I283" s="379">
        <v>42989</v>
      </c>
      <c r="J283" s="382">
        <f t="shared" si="40"/>
        <v>42</v>
      </c>
      <c r="K283" s="382">
        <f t="shared" si="36"/>
        <v>57</v>
      </c>
      <c r="L283" s="315">
        <f t="shared" si="37"/>
        <v>19004684.640000001</v>
      </c>
      <c r="M283" s="27"/>
      <c r="N283" s="383">
        <f t="shared" si="41"/>
        <v>15</v>
      </c>
      <c r="O283" s="383">
        <f t="shared" si="42"/>
        <v>42</v>
      </c>
      <c r="P283" s="383">
        <f t="shared" si="43"/>
        <v>57</v>
      </c>
      <c r="Q283" s="384">
        <f t="shared" si="44"/>
        <v>19004684.640000001</v>
      </c>
      <c r="R283" s="27"/>
      <c r="S283" s="27"/>
      <c r="T283" s="27"/>
      <c r="U283" s="27"/>
      <c r="V283" s="27"/>
      <c r="W283" s="27"/>
      <c r="X283" s="27"/>
    </row>
    <row r="284" spans="1:24">
      <c r="A284" s="377">
        <f t="shared" si="38"/>
        <v>270</v>
      </c>
      <c r="B284" s="378" t="s">
        <v>478</v>
      </c>
      <c r="C284" s="378" t="s">
        <v>474</v>
      </c>
      <c r="D284" s="379">
        <v>42769</v>
      </c>
      <c r="E284" s="380">
        <v>146524.92000000001</v>
      </c>
      <c r="F284" s="379">
        <v>42736</v>
      </c>
      <c r="G284" s="379">
        <v>42766</v>
      </c>
      <c r="H284" s="381">
        <f t="shared" si="39"/>
        <v>15</v>
      </c>
      <c r="I284" s="379">
        <v>42800</v>
      </c>
      <c r="J284" s="382">
        <f t="shared" si="40"/>
        <v>34</v>
      </c>
      <c r="K284" s="382">
        <f t="shared" si="36"/>
        <v>49</v>
      </c>
      <c r="L284" s="315">
        <f t="shared" si="37"/>
        <v>7179721.0800000001</v>
      </c>
      <c r="M284" s="27"/>
      <c r="N284" s="383">
        <f t="shared" si="41"/>
        <v>15</v>
      </c>
      <c r="O284" s="383">
        <f t="shared" si="42"/>
        <v>34</v>
      </c>
      <c r="P284" s="383">
        <f t="shared" si="43"/>
        <v>49</v>
      </c>
      <c r="Q284" s="384">
        <f t="shared" si="44"/>
        <v>7179721.080000001</v>
      </c>
      <c r="R284" s="27"/>
      <c r="S284" s="27"/>
      <c r="T284" s="27"/>
      <c r="U284" s="27"/>
      <c r="V284" s="27"/>
      <c r="W284" s="27"/>
      <c r="X284" s="27"/>
    </row>
    <row r="285" spans="1:24">
      <c r="A285" s="377">
        <f t="shared" si="38"/>
        <v>271</v>
      </c>
      <c r="B285" s="378" t="s">
        <v>478</v>
      </c>
      <c r="C285" s="378" t="s">
        <v>474</v>
      </c>
      <c r="D285" s="379">
        <v>42832</v>
      </c>
      <c r="E285" s="380">
        <v>145258.88</v>
      </c>
      <c r="F285" s="379">
        <v>42736</v>
      </c>
      <c r="G285" s="379">
        <v>42766</v>
      </c>
      <c r="H285" s="381">
        <f t="shared" si="39"/>
        <v>15</v>
      </c>
      <c r="I285" s="379">
        <v>42863</v>
      </c>
      <c r="J285" s="382">
        <f t="shared" si="40"/>
        <v>97</v>
      </c>
      <c r="K285" s="382">
        <f t="shared" si="36"/>
        <v>112</v>
      </c>
      <c r="L285" s="315">
        <f t="shared" si="37"/>
        <v>16268994.560000001</v>
      </c>
      <c r="M285" s="27"/>
      <c r="N285" s="383">
        <f t="shared" si="41"/>
        <v>15</v>
      </c>
      <c r="O285" s="383">
        <f t="shared" si="42"/>
        <v>97</v>
      </c>
      <c r="P285" s="383">
        <f t="shared" si="43"/>
        <v>112</v>
      </c>
      <c r="Q285" s="384">
        <f t="shared" si="44"/>
        <v>16268994.560000001</v>
      </c>
      <c r="R285" s="27"/>
      <c r="S285" s="27"/>
      <c r="T285" s="27"/>
      <c r="U285" s="27"/>
      <c r="V285" s="27"/>
      <c r="W285" s="27"/>
      <c r="X285" s="27"/>
    </row>
    <row r="286" spans="1:24">
      <c r="A286" s="377">
        <f t="shared" si="38"/>
        <v>272</v>
      </c>
      <c r="B286" s="378" t="s">
        <v>478</v>
      </c>
      <c r="C286" s="378" t="s">
        <v>474</v>
      </c>
      <c r="D286" s="379">
        <v>42858</v>
      </c>
      <c r="E286" s="380">
        <v>137716.5</v>
      </c>
      <c r="F286" s="379">
        <v>42826</v>
      </c>
      <c r="G286" s="379">
        <v>42855</v>
      </c>
      <c r="H286" s="381">
        <f t="shared" si="39"/>
        <v>14.5</v>
      </c>
      <c r="I286" s="379">
        <v>42891</v>
      </c>
      <c r="J286" s="382">
        <f t="shared" si="40"/>
        <v>36</v>
      </c>
      <c r="K286" s="382">
        <f t="shared" si="36"/>
        <v>50.5</v>
      </c>
      <c r="L286" s="315">
        <f t="shared" si="37"/>
        <v>6954683.25</v>
      </c>
      <c r="M286" s="27"/>
      <c r="N286" s="383">
        <f t="shared" si="41"/>
        <v>14.5</v>
      </c>
      <c r="O286" s="383">
        <f t="shared" si="42"/>
        <v>36</v>
      </c>
      <c r="P286" s="383">
        <f t="shared" si="43"/>
        <v>50.5</v>
      </c>
      <c r="Q286" s="384">
        <f t="shared" si="44"/>
        <v>6954683.25</v>
      </c>
      <c r="R286" s="27"/>
      <c r="S286" s="27"/>
      <c r="T286" s="27"/>
      <c r="U286" s="27"/>
      <c r="V286" s="27"/>
      <c r="W286" s="27"/>
      <c r="X286" s="27"/>
    </row>
    <row r="287" spans="1:24">
      <c r="A287" s="377">
        <f t="shared" si="38"/>
        <v>273</v>
      </c>
      <c r="B287" s="378" t="s">
        <v>478</v>
      </c>
      <c r="C287" s="378" t="s">
        <v>474</v>
      </c>
      <c r="D287" s="379">
        <v>42893</v>
      </c>
      <c r="E287" s="380">
        <v>152426.01999999999</v>
      </c>
      <c r="F287" s="379">
        <v>42856</v>
      </c>
      <c r="G287" s="379">
        <v>42886</v>
      </c>
      <c r="H287" s="381">
        <f t="shared" si="39"/>
        <v>15</v>
      </c>
      <c r="I287" s="379">
        <v>42926</v>
      </c>
      <c r="J287" s="382">
        <f t="shared" si="40"/>
        <v>40</v>
      </c>
      <c r="K287" s="382">
        <f t="shared" si="36"/>
        <v>55</v>
      </c>
      <c r="L287" s="315">
        <f t="shared" si="37"/>
        <v>8383431.0999999996</v>
      </c>
      <c r="M287" s="27"/>
      <c r="N287" s="383">
        <f t="shared" si="41"/>
        <v>15</v>
      </c>
      <c r="O287" s="383">
        <f t="shared" si="42"/>
        <v>40</v>
      </c>
      <c r="P287" s="383">
        <f t="shared" si="43"/>
        <v>55</v>
      </c>
      <c r="Q287" s="384">
        <f t="shared" si="44"/>
        <v>8383431.0999999996</v>
      </c>
      <c r="R287" s="27"/>
      <c r="S287" s="27"/>
      <c r="T287" s="27"/>
      <c r="U287" s="27"/>
      <c r="V287" s="27"/>
      <c r="W287" s="27"/>
      <c r="X287" s="27"/>
    </row>
    <row r="288" spans="1:24">
      <c r="A288" s="377">
        <f t="shared" si="38"/>
        <v>274</v>
      </c>
      <c r="B288" s="378" t="s">
        <v>478</v>
      </c>
      <c r="C288" s="378" t="s">
        <v>474</v>
      </c>
      <c r="D288" s="379">
        <v>42926</v>
      </c>
      <c r="E288" s="380">
        <v>133256.21</v>
      </c>
      <c r="F288" s="379">
        <v>42887</v>
      </c>
      <c r="G288" s="379">
        <v>42916</v>
      </c>
      <c r="H288" s="381">
        <f t="shared" si="39"/>
        <v>14.5</v>
      </c>
      <c r="I288" s="379">
        <v>42957</v>
      </c>
      <c r="J288" s="382">
        <f t="shared" si="40"/>
        <v>41</v>
      </c>
      <c r="K288" s="382">
        <f t="shared" si="36"/>
        <v>55.5</v>
      </c>
      <c r="L288" s="315">
        <f t="shared" si="37"/>
        <v>7395719.6600000001</v>
      </c>
      <c r="M288" s="27"/>
      <c r="N288" s="383">
        <f t="shared" si="41"/>
        <v>14.5</v>
      </c>
      <c r="O288" s="383">
        <f t="shared" si="42"/>
        <v>41</v>
      </c>
      <c r="P288" s="383">
        <f t="shared" si="43"/>
        <v>55.5</v>
      </c>
      <c r="Q288" s="384">
        <f t="shared" si="44"/>
        <v>7395719.6549999993</v>
      </c>
      <c r="R288" s="27"/>
      <c r="S288" s="27"/>
      <c r="T288" s="27"/>
      <c r="U288" s="27"/>
      <c r="V288" s="27"/>
      <c r="W288" s="27"/>
      <c r="X288" s="27"/>
    </row>
    <row r="289" spans="1:24">
      <c r="A289" s="377">
        <f t="shared" si="38"/>
        <v>275</v>
      </c>
      <c r="B289" s="378" t="s">
        <v>478</v>
      </c>
      <c r="C289" s="378" t="s">
        <v>474</v>
      </c>
      <c r="D289" s="379">
        <v>42951</v>
      </c>
      <c r="E289" s="380">
        <v>137798.39000000001</v>
      </c>
      <c r="F289" s="379">
        <v>42917</v>
      </c>
      <c r="G289" s="379">
        <v>42947</v>
      </c>
      <c r="H289" s="381">
        <f t="shared" si="39"/>
        <v>15</v>
      </c>
      <c r="I289" s="379">
        <v>42979</v>
      </c>
      <c r="J289" s="382">
        <f t="shared" si="40"/>
        <v>32</v>
      </c>
      <c r="K289" s="382">
        <f t="shared" si="36"/>
        <v>47</v>
      </c>
      <c r="L289" s="315">
        <f t="shared" si="37"/>
        <v>6476524.3300000001</v>
      </c>
      <c r="M289" s="27"/>
      <c r="N289" s="383">
        <f t="shared" si="41"/>
        <v>15</v>
      </c>
      <c r="O289" s="383">
        <f t="shared" si="42"/>
        <v>32</v>
      </c>
      <c r="P289" s="383">
        <f t="shared" si="43"/>
        <v>47</v>
      </c>
      <c r="Q289" s="384">
        <f t="shared" si="44"/>
        <v>6476524.330000001</v>
      </c>
      <c r="R289" s="27"/>
      <c r="S289" s="27"/>
      <c r="T289" s="27"/>
      <c r="U289" s="27"/>
      <c r="V289" s="27"/>
      <c r="W289" s="27"/>
      <c r="X289" s="27"/>
    </row>
    <row r="290" spans="1:24">
      <c r="A290" s="377">
        <f t="shared" si="38"/>
        <v>276</v>
      </c>
      <c r="B290" s="378" t="s">
        <v>478</v>
      </c>
      <c r="C290" s="378" t="s">
        <v>474</v>
      </c>
      <c r="D290" s="379">
        <v>42983</v>
      </c>
      <c r="E290" s="380">
        <v>167583.79999999999</v>
      </c>
      <c r="F290" s="379">
        <v>42948</v>
      </c>
      <c r="G290" s="379">
        <v>42978</v>
      </c>
      <c r="H290" s="381">
        <f t="shared" si="39"/>
        <v>15</v>
      </c>
      <c r="I290" s="379">
        <v>43014</v>
      </c>
      <c r="J290" s="382">
        <f t="shared" si="40"/>
        <v>36</v>
      </c>
      <c r="K290" s="382">
        <f t="shared" si="36"/>
        <v>51</v>
      </c>
      <c r="L290" s="315">
        <f t="shared" si="37"/>
        <v>8546773.8000000007</v>
      </c>
      <c r="M290" s="27"/>
      <c r="N290" s="383">
        <f t="shared" si="41"/>
        <v>15</v>
      </c>
      <c r="O290" s="383">
        <f t="shared" si="42"/>
        <v>36</v>
      </c>
      <c r="P290" s="383">
        <f t="shared" si="43"/>
        <v>51</v>
      </c>
      <c r="Q290" s="384">
        <f t="shared" si="44"/>
        <v>8546773.7999999989</v>
      </c>
      <c r="R290" s="27"/>
      <c r="S290" s="27"/>
      <c r="T290" s="27"/>
      <c r="U290" s="27"/>
      <c r="V290" s="27"/>
      <c r="W290" s="27"/>
      <c r="X290" s="27"/>
    </row>
    <row r="291" spans="1:24">
      <c r="A291" s="377">
        <f t="shared" si="38"/>
        <v>277</v>
      </c>
      <c r="B291" s="378" t="s">
        <v>478</v>
      </c>
      <c r="C291" s="378" t="s">
        <v>474</v>
      </c>
      <c r="D291" s="379">
        <v>43013</v>
      </c>
      <c r="E291" s="380">
        <v>135346.73000000001</v>
      </c>
      <c r="F291" s="379">
        <v>42979</v>
      </c>
      <c r="G291" s="379">
        <v>43008</v>
      </c>
      <c r="H291" s="381">
        <f t="shared" si="39"/>
        <v>14.5</v>
      </c>
      <c r="I291" s="379">
        <v>43045</v>
      </c>
      <c r="J291" s="382">
        <f t="shared" si="40"/>
        <v>37</v>
      </c>
      <c r="K291" s="382">
        <f t="shared" si="36"/>
        <v>51.5</v>
      </c>
      <c r="L291" s="315">
        <f t="shared" si="37"/>
        <v>6970356.5999999996</v>
      </c>
      <c r="M291" s="27"/>
      <c r="N291" s="383">
        <f t="shared" si="41"/>
        <v>14.5</v>
      </c>
      <c r="O291" s="383">
        <f t="shared" si="42"/>
        <v>37</v>
      </c>
      <c r="P291" s="383">
        <f t="shared" si="43"/>
        <v>51.5</v>
      </c>
      <c r="Q291" s="384">
        <f t="shared" si="44"/>
        <v>6970356.5950000007</v>
      </c>
      <c r="R291" s="27"/>
      <c r="S291" s="27"/>
      <c r="T291" s="27"/>
      <c r="U291" s="27"/>
      <c r="V291" s="27"/>
      <c r="W291" s="27"/>
      <c r="X291" s="27"/>
    </row>
    <row r="292" spans="1:24">
      <c r="A292" s="377">
        <f t="shared" si="38"/>
        <v>278</v>
      </c>
      <c r="B292" s="378" t="s">
        <v>478</v>
      </c>
      <c r="C292" s="378" t="s">
        <v>474</v>
      </c>
      <c r="D292" s="379">
        <v>43045</v>
      </c>
      <c r="E292" s="380">
        <v>157826.67000000001</v>
      </c>
      <c r="F292" s="379">
        <v>43009</v>
      </c>
      <c r="G292" s="379">
        <v>43039</v>
      </c>
      <c r="H292" s="381">
        <f t="shared" si="39"/>
        <v>15</v>
      </c>
      <c r="I292" s="379">
        <v>43076</v>
      </c>
      <c r="J292" s="382">
        <f t="shared" si="40"/>
        <v>37</v>
      </c>
      <c r="K292" s="382">
        <f t="shared" si="36"/>
        <v>52</v>
      </c>
      <c r="L292" s="315">
        <f t="shared" si="37"/>
        <v>8206986.8399999999</v>
      </c>
      <c r="M292" s="27"/>
      <c r="N292" s="383">
        <f t="shared" si="41"/>
        <v>15</v>
      </c>
      <c r="O292" s="383">
        <f t="shared" si="42"/>
        <v>37</v>
      </c>
      <c r="P292" s="383">
        <f t="shared" si="43"/>
        <v>52</v>
      </c>
      <c r="Q292" s="384">
        <f t="shared" si="44"/>
        <v>8206986.8400000008</v>
      </c>
      <c r="R292" s="27"/>
      <c r="S292" s="27"/>
      <c r="T292" s="27"/>
      <c r="U292" s="27"/>
      <c r="V292" s="27"/>
      <c r="W292" s="27"/>
      <c r="X292" s="27"/>
    </row>
    <row r="293" spans="1:24">
      <c r="A293" s="377">
        <f t="shared" si="38"/>
        <v>279</v>
      </c>
      <c r="B293" s="378" t="s">
        <v>478</v>
      </c>
      <c r="C293" s="378" t="s">
        <v>474</v>
      </c>
      <c r="D293" s="379">
        <v>43077</v>
      </c>
      <c r="E293" s="380">
        <v>143955.26999999999</v>
      </c>
      <c r="F293" s="379">
        <v>43040</v>
      </c>
      <c r="G293" s="379">
        <v>43069</v>
      </c>
      <c r="H293" s="381">
        <f t="shared" si="39"/>
        <v>14.5</v>
      </c>
      <c r="I293" s="379">
        <v>43108</v>
      </c>
      <c r="J293" s="382">
        <f t="shared" si="40"/>
        <v>39</v>
      </c>
      <c r="K293" s="382">
        <f t="shared" si="36"/>
        <v>53.5</v>
      </c>
      <c r="L293" s="315">
        <f t="shared" si="37"/>
        <v>7701606.9500000002</v>
      </c>
      <c r="M293" s="27"/>
      <c r="N293" s="383">
        <f t="shared" si="41"/>
        <v>14.5</v>
      </c>
      <c r="O293" s="383">
        <f t="shared" si="42"/>
        <v>39</v>
      </c>
      <c r="P293" s="383">
        <f t="shared" si="43"/>
        <v>53.5</v>
      </c>
      <c r="Q293" s="384">
        <f t="shared" si="44"/>
        <v>7701606.9449999994</v>
      </c>
      <c r="R293" s="27"/>
      <c r="S293" s="27"/>
      <c r="T293" s="27"/>
      <c r="U293" s="27"/>
      <c r="V293" s="27"/>
      <c r="W293" s="27"/>
      <c r="X293" s="27"/>
    </row>
    <row r="294" spans="1:24">
      <c r="A294" s="377">
        <f t="shared" si="38"/>
        <v>280</v>
      </c>
      <c r="B294" s="378" t="s">
        <v>478</v>
      </c>
      <c r="C294" s="378" t="s">
        <v>474</v>
      </c>
      <c r="D294" s="379">
        <v>42739</v>
      </c>
      <c r="E294" s="380">
        <v>117516.38</v>
      </c>
      <c r="F294" s="379">
        <v>42705</v>
      </c>
      <c r="G294" s="379">
        <v>42735</v>
      </c>
      <c r="H294" s="381">
        <f t="shared" si="39"/>
        <v>15</v>
      </c>
      <c r="I294" s="379">
        <v>42772</v>
      </c>
      <c r="J294" s="382">
        <f t="shared" si="40"/>
        <v>37</v>
      </c>
      <c r="K294" s="382">
        <f t="shared" si="36"/>
        <v>52</v>
      </c>
      <c r="L294" s="315">
        <f t="shared" si="37"/>
        <v>6110851.7599999998</v>
      </c>
      <c r="M294" s="27"/>
      <c r="N294" s="383">
        <f t="shared" si="41"/>
        <v>15</v>
      </c>
      <c r="O294" s="383">
        <f t="shared" si="42"/>
        <v>37</v>
      </c>
      <c r="P294" s="383">
        <f t="shared" si="43"/>
        <v>52</v>
      </c>
      <c r="Q294" s="384">
        <f t="shared" si="44"/>
        <v>6110851.7599999998</v>
      </c>
      <c r="R294" s="27"/>
      <c r="S294" s="27"/>
      <c r="T294" s="27"/>
      <c r="U294" s="27"/>
      <c r="V294" s="27"/>
      <c r="W294" s="27"/>
      <c r="X294" s="27"/>
    </row>
    <row r="295" spans="1:24">
      <c r="A295" s="377">
        <f t="shared" si="38"/>
        <v>281</v>
      </c>
      <c r="B295" s="378" t="s">
        <v>478</v>
      </c>
      <c r="C295" s="378" t="s">
        <v>474</v>
      </c>
      <c r="D295" s="379">
        <v>42801</v>
      </c>
      <c r="E295" s="380">
        <v>142162.04</v>
      </c>
      <c r="F295" s="379">
        <v>42767</v>
      </c>
      <c r="G295" s="379">
        <v>42794</v>
      </c>
      <c r="H295" s="381">
        <f t="shared" si="39"/>
        <v>13.5</v>
      </c>
      <c r="I295" s="379">
        <v>42832</v>
      </c>
      <c r="J295" s="382">
        <f t="shared" si="40"/>
        <v>38</v>
      </c>
      <c r="K295" s="382">
        <f t="shared" si="36"/>
        <v>51.5</v>
      </c>
      <c r="L295" s="315">
        <f t="shared" si="37"/>
        <v>7321345.0599999996</v>
      </c>
      <c r="M295" s="27"/>
      <c r="N295" s="383">
        <f t="shared" si="41"/>
        <v>13.5</v>
      </c>
      <c r="O295" s="383">
        <f t="shared" si="42"/>
        <v>38</v>
      </c>
      <c r="P295" s="383">
        <f t="shared" si="43"/>
        <v>51.5</v>
      </c>
      <c r="Q295" s="384">
        <f t="shared" si="44"/>
        <v>7321345.0600000005</v>
      </c>
      <c r="R295" s="27"/>
      <c r="S295" s="27"/>
      <c r="T295" s="27"/>
      <c r="U295" s="27"/>
      <c r="V295" s="27"/>
      <c r="W295" s="27"/>
      <c r="X295" s="27"/>
    </row>
    <row r="296" spans="1:24">
      <c r="A296" s="377">
        <f t="shared" si="38"/>
        <v>282</v>
      </c>
      <c r="B296" s="378" t="s">
        <v>459</v>
      </c>
      <c r="C296" s="378" t="s">
        <v>474</v>
      </c>
      <c r="D296" s="379">
        <v>43039</v>
      </c>
      <c r="E296" s="380">
        <v>256973.59999999998</v>
      </c>
      <c r="F296" s="379">
        <v>43039</v>
      </c>
      <c r="G296" s="379"/>
      <c r="H296" s="381">
        <f t="shared" si="39"/>
        <v>0</v>
      </c>
      <c r="I296" s="379">
        <v>43070</v>
      </c>
      <c r="J296" s="382">
        <f t="shared" si="40"/>
        <v>31</v>
      </c>
      <c r="K296" s="382">
        <f t="shared" si="36"/>
        <v>31</v>
      </c>
      <c r="L296" s="315">
        <f t="shared" si="37"/>
        <v>7966181.5999999996</v>
      </c>
      <c r="M296" s="27"/>
      <c r="N296" s="383">
        <f t="shared" si="41"/>
        <v>15</v>
      </c>
      <c r="O296" s="383">
        <f t="shared" si="42"/>
        <v>31</v>
      </c>
      <c r="P296" s="383">
        <f t="shared" si="43"/>
        <v>46</v>
      </c>
      <c r="Q296" s="384">
        <f t="shared" si="44"/>
        <v>11820785.6</v>
      </c>
      <c r="R296" s="27"/>
      <c r="S296" s="27"/>
      <c r="T296" s="27"/>
      <c r="U296" s="27"/>
      <c r="V296" s="27"/>
      <c r="W296" s="27"/>
      <c r="X296" s="27"/>
    </row>
    <row r="297" spans="1:24">
      <c r="A297" s="377">
        <f t="shared" si="38"/>
        <v>283</v>
      </c>
      <c r="B297" s="378" t="s">
        <v>430</v>
      </c>
      <c r="C297" s="378" t="s">
        <v>474</v>
      </c>
      <c r="D297" s="379">
        <v>42796</v>
      </c>
      <c r="E297" s="380">
        <v>68106.399999999994</v>
      </c>
      <c r="F297" s="379">
        <v>42764</v>
      </c>
      <c r="G297" s="379">
        <v>42791</v>
      </c>
      <c r="H297" s="381">
        <f t="shared" si="39"/>
        <v>13.5</v>
      </c>
      <c r="I297" s="379">
        <v>42828</v>
      </c>
      <c r="J297" s="382">
        <f t="shared" si="40"/>
        <v>37</v>
      </c>
      <c r="K297" s="382">
        <f t="shared" si="36"/>
        <v>50.5</v>
      </c>
      <c r="L297" s="315">
        <f t="shared" si="37"/>
        <v>3439373.2</v>
      </c>
      <c r="M297" s="27"/>
      <c r="N297" s="383">
        <f t="shared" si="41"/>
        <v>13.5</v>
      </c>
      <c r="O297" s="383">
        <f t="shared" si="42"/>
        <v>37</v>
      </c>
      <c r="P297" s="383">
        <f t="shared" si="43"/>
        <v>50.5</v>
      </c>
      <c r="Q297" s="384">
        <f t="shared" si="44"/>
        <v>3439373.1999999997</v>
      </c>
      <c r="R297" s="27"/>
      <c r="S297" s="27"/>
      <c r="T297" s="27"/>
      <c r="U297" s="27"/>
      <c r="V297" s="27"/>
      <c r="W297" s="27"/>
      <c r="X297" s="27"/>
    </row>
    <row r="298" spans="1:24">
      <c r="A298" s="377">
        <f t="shared" si="38"/>
        <v>284</v>
      </c>
      <c r="B298" s="378" t="s">
        <v>430</v>
      </c>
      <c r="C298" s="378" t="s">
        <v>474</v>
      </c>
      <c r="D298" s="379">
        <v>42831</v>
      </c>
      <c r="E298" s="380">
        <v>71906.3</v>
      </c>
      <c r="F298" s="379">
        <v>42792</v>
      </c>
      <c r="G298" s="379">
        <v>42826</v>
      </c>
      <c r="H298" s="381">
        <f t="shared" si="39"/>
        <v>17</v>
      </c>
      <c r="I298" s="379">
        <v>42863</v>
      </c>
      <c r="J298" s="382">
        <f t="shared" si="40"/>
        <v>37</v>
      </c>
      <c r="K298" s="382">
        <f t="shared" si="36"/>
        <v>54</v>
      </c>
      <c r="L298" s="315">
        <f t="shared" si="37"/>
        <v>3882940.2</v>
      </c>
      <c r="M298" s="27"/>
      <c r="N298" s="383">
        <f t="shared" si="41"/>
        <v>17</v>
      </c>
      <c r="O298" s="383">
        <f t="shared" si="42"/>
        <v>37</v>
      </c>
      <c r="P298" s="383">
        <f t="shared" si="43"/>
        <v>54</v>
      </c>
      <c r="Q298" s="384">
        <f t="shared" si="44"/>
        <v>3882940.2</v>
      </c>
      <c r="R298" s="27"/>
      <c r="S298" s="27"/>
      <c r="T298" s="27"/>
      <c r="U298" s="27"/>
      <c r="V298" s="27"/>
      <c r="W298" s="27"/>
      <c r="X298" s="27"/>
    </row>
    <row r="299" spans="1:24">
      <c r="A299" s="377">
        <f t="shared" si="38"/>
        <v>285</v>
      </c>
      <c r="B299" s="378" t="s">
        <v>430</v>
      </c>
      <c r="C299" s="378" t="s">
        <v>474</v>
      </c>
      <c r="D299" s="379">
        <v>42859</v>
      </c>
      <c r="E299" s="380">
        <v>58357.5</v>
      </c>
      <c r="F299" s="379">
        <v>42827</v>
      </c>
      <c r="G299" s="379">
        <v>42854</v>
      </c>
      <c r="H299" s="381">
        <f t="shared" si="39"/>
        <v>13.5</v>
      </c>
      <c r="I299" s="379">
        <v>42891</v>
      </c>
      <c r="J299" s="382">
        <f t="shared" si="40"/>
        <v>37</v>
      </c>
      <c r="K299" s="382">
        <f t="shared" si="36"/>
        <v>50.5</v>
      </c>
      <c r="L299" s="315">
        <f t="shared" si="37"/>
        <v>2947053.75</v>
      </c>
      <c r="M299" s="27"/>
      <c r="N299" s="383">
        <f t="shared" si="41"/>
        <v>13.5</v>
      </c>
      <c r="O299" s="383">
        <f t="shared" si="42"/>
        <v>37</v>
      </c>
      <c r="P299" s="383">
        <f t="shared" si="43"/>
        <v>50.5</v>
      </c>
      <c r="Q299" s="384">
        <f t="shared" si="44"/>
        <v>2947053.75</v>
      </c>
      <c r="R299" s="27"/>
      <c r="S299" s="27"/>
      <c r="T299" s="27"/>
      <c r="U299" s="27"/>
      <c r="V299" s="27"/>
      <c r="W299" s="27"/>
      <c r="X299" s="27"/>
    </row>
    <row r="300" spans="1:24">
      <c r="A300" s="377">
        <f t="shared" si="38"/>
        <v>286</v>
      </c>
      <c r="B300" s="378" t="s">
        <v>475</v>
      </c>
      <c r="C300" s="378" t="s">
        <v>474</v>
      </c>
      <c r="D300" s="379">
        <v>42894</v>
      </c>
      <c r="E300" s="380">
        <v>61542.7</v>
      </c>
      <c r="F300" s="379">
        <v>42855</v>
      </c>
      <c r="G300" s="379">
        <v>42889</v>
      </c>
      <c r="H300" s="381">
        <f t="shared" si="39"/>
        <v>17</v>
      </c>
      <c r="I300" s="379">
        <v>42926</v>
      </c>
      <c r="J300" s="382">
        <f t="shared" si="40"/>
        <v>37</v>
      </c>
      <c r="K300" s="382">
        <f t="shared" si="36"/>
        <v>54</v>
      </c>
      <c r="L300" s="315">
        <f t="shared" si="37"/>
        <v>3323305.8</v>
      </c>
      <c r="M300" s="27"/>
      <c r="N300" s="383">
        <f t="shared" si="41"/>
        <v>17</v>
      </c>
      <c r="O300" s="383">
        <f t="shared" si="42"/>
        <v>37</v>
      </c>
      <c r="P300" s="383">
        <f t="shared" si="43"/>
        <v>54</v>
      </c>
      <c r="Q300" s="384">
        <f t="shared" si="44"/>
        <v>3323305.8</v>
      </c>
      <c r="R300" s="27"/>
      <c r="S300" s="27"/>
      <c r="T300" s="27"/>
      <c r="U300" s="27"/>
      <c r="V300" s="27"/>
      <c r="W300" s="27"/>
      <c r="X300" s="27"/>
    </row>
    <row r="301" spans="1:24">
      <c r="A301" s="377">
        <f t="shared" si="38"/>
        <v>287</v>
      </c>
      <c r="B301" s="378" t="s">
        <v>430</v>
      </c>
      <c r="C301" s="378" t="s">
        <v>474</v>
      </c>
      <c r="D301" s="379">
        <v>42893</v>
      </c>
      <c r="E301" s="380">
        <v>82764.899999999994</v>
      </c>
      <c r="F301" s="379">
        <v>42855</v>
      </c>
      <c r="G301" s="379">
        <v>42889</v>
      </c>
      <c r="H301" s="381">
        <f t="shared" si="39"/>
        <v>17</v>
      </c>
      <c r="I301" s="379">
        <v>42929</v>
      </c>
      <c r="J301" s="382">
        <f t="shared" si="40"/>
        <v>40</v>
      </c>
      <c r="K301" s="382">
        <f t="shared" si="36"/>
        <v>57</v>
      </c>
      <c r="L301" s="315">
        <f t="shared" si="37"/>
        <v>4717599.3</v>
      </c>
      <c r="M301" s="27"/>
      <c r="N301" s="383">
        <f t="shared" si="41"/>
        <v>17</v>
      </c>
      <c r="O301" s="383">
        <f t="shared" si="42"/>
        <v>40</v>
      </c>
      <c r="P301" s="383">
        <f t="shared" si="43"/>
        <v>57</v>
      </c>
      <c r="Q301" s="384">
        <f t="shared" si="44"/>
        <v>4717599.3</v>
      </c>
      <c r="R301" s="27"/>
      <c r="S301" s="27"/>
      <c r="T301" s="27"/>
      <c r="U301" s="27"/>
      <c r="V301" s="27"/>
      <c r="W301" s="27"/>
      <c r="X301" s="27"/>
    </row>
    <row r="302" spans="1:24">
      <c r="A302" s="377">
        <f t="shared" si="38"/>
        <v>288</v>
      </c>
      <c r="B302" s="378" t="s">
        <v>476</v>
      </c>
      <c r="C302" s="378" t="s">
        <v>474</v>
      </c>
      <c r="D302" s="379">
        <v>42898</v>
      </c>
      <c r="E302" s="380">
        <v>2406.3000000000002</v>
      </c>
      <c r="F302" s="379">
        <v>42877</v>
      </c>
      <c r="G302" s="379">
        <v>42885</v>
      </c>
      <c r="H302" s="381">
        <f t="shared" si="39"/>
        <v>4</v>
      </c>
      <c r="I302" s="379">
        <v>42929</v>
      </c>
      <c r="J302" s="382">
        <f t="shared" si="40"/>
        <v>44</v>
      </c>
      <c r="K302" s="382">
        <f t="shared" si="36"/>
        <v>48</v>
      </c>
      <c r="L302" s="315">
        <f t="shared" si="37"/>
        <v>115502.39999999999</v>
      </c>
      <c r="M302" s="27"/>
      <c r="N302" s="383">
        <f t="shared" si="41"/>
        <v>4</v>
      </c>
      <c r="O302" s="383">
        <f t="shared" si="42"/>
        <v>44</v>
      </c>
      <c r="P302" s="383">
        <f t="shared" si="43"/>
        <v>48</v>
      </c>
      <c r="Q302" s="384">
        <f t="shared" si="44"/>
        <v>115502.40000000001</v>
      </c>
      <c r="R302" s="27"/>
      <c r="S302" s="27"/>
      <c r="T302" s="27"/>
      <c r="U302" s="27"/>
      <c r="V302" s="27"/>
      <c r="W302" s="27"/>
      <c r="X302" s="27"/>
    </row>
    <row r="303" spans="1:24">
      <c r="A303" s="377">
        <f t="shared" si="38"/>
        <v>289</v>
      </c>
      <c r="B303" s="378" t="s">
        <v>476</v>
      </c>
      <c r="C303" s="378" t="s">
        <v>474</v>
      </c>
      <c r="D303" s="379">
        <v>42916</v>
      </c>
      <c r="E303" s="380">
        <v>933.86</v>
      </c>
      <c r="F303" s="379">
        <v>42892</v>
      </c>
      <c r="G303" s="379">
        <v>42893</v>
      </c>
      <c r="H303" s="381">
        <f t="shared" si="39"/>
        <v>0.5</v>
      </c>
      <c r="I303" s="379">
        <v>42947</v>
      </c>
      <c r="J303" s="382">
        <f t="shared" si="40"/>
        <v>54</v>
      </c>
      <c r="K303" s="382">
        <f t="shared" si="36"/>
        <v>54.5</v>
      </c>
      <c r="L303" s="315">
        <f t="shared" si="37"/>
        <v>50895.37</v>
      </c>
      <c r="M303" s="27"/>
      <c r="N303" s="383">
        <f t="shared" si="41"/>
        <v>0.5</v>
      </c>
      <c r="O303" s="383">
        <f t="shared" si="42"/>
        <v>54</v>
      </c>
      <c r="P303" s="383">
        <f t="shared" si="43"/>
        <v>54.5</v>
      </c>
      <c r="Q303" s="384">
        <f t="shared" si="44"/>
        <v>50895.37</v>
      </c>
      <c r="R303" s="27"/>
      <c r="S303" s="27"/>
      <c r="T303" s="27"/>
      <c r="U303" s="27"/>
      <c r="V303" s="27"/>
      <c r="W303" s="27"/>
      <c r="X303" s="27"/>
    </row>
    <row r="304" spans="1:24">
      <c r="A304" s="377">
        <f t="shared" si="38"/>
        <v>290</v>
      </c>
      <c r="B304" s="378" t="s">
        <v>476</v>
      </c>
      <c r="C304" s="378" t="s">
        <v>474</v>
      </c>
      <c r="D304" s="379">
        <v>42816</v>
      </c>
      <c r="E304" s="380">
        <v>175.76</v>
      </c>
      <c r="F304" s="379">
        <v>42803</v>
      </c>
      <c r="G304" s="379"/>
      <c r="H304" s="381">
        <f t="shared" si="39"/>
        <v>0</v>
      </c>
      <c r="I304" s="379">
        <v>42849</v>
      </c>
      <c r="J304" s="382">
        <f t="shared" si="40"/>
        <v>46</v>
      </c>
      <c r="K304" s="382">
        <f t="shared" si="36"/>
        <v>46</v>
      </c>
      <c r="L304" s="315">
        <f t="shared" si="37"/>
        <v>8084.96</v>
      </c>
      <c r="M304" s="27"/>
      <c r="N304" s="383">
        <f t="shared" si="41"/>
        <v>15</v>
      </c>
      <c r="O304" s="383">
        <f t="shared" si="42"/>
        <v>46</v>
      </c>
      <c r="P304" s="383">
        <f t="shared" si="43"/>
        <v>61</v>
      </c>
      <c r="Q304" s="384">
        <f t="shared" si="44"/>
        <v>10721.359999999999</v>
      </c>
      <c r="R304" s="27"/>
      <c r="S304" s="27"/>
      <c r="T304" s="27"/>
      <c r="U304" s="27"/>
      <c r="V304" s="27"/>
      <c r="W304" s="27"/>
      <c r="X304" s="27"/>
    </row>
    <row r="305" spans="1:24">
      <c r="A305" s="377">
        <f t="shared" si="38"/>
        <v>291</v>
      </c>
      <c r="B305" s="378" t="s">
        <v>476</v>
      </c>
      <c r="C305" s="378" t="s">
        <v>474</v>
      </c>
      <c r="D305" s="379">
        <v>42887</v>
      </c>
      <c r="E305" s="380">
        <v>75.599999999999994</v>
      </c>
      <c r="F305" s="379">
        <v>42866</v>
      </c>
      <c r="G305" s="379"/>
      <c r="H305" s="381">
        <f t="shared" si="39"/>
        <v>0</v>
      </c>
      <c r="I305" s="379">
        <v>42919</v>
      </c>
      <c r="J305" s="382">
        <f t="shared" si="40"/>
        <v>53</v>
      </c>
      <c r="K305" s="382">
        <f t="shared" si="36"/>
        <v>53</v>
      </c>
      <c r="L305" s="315">
        <f t="shared" si="37"/>
        <v>4006.8</v>
      </c>
      <c r="M305" s="27"/>
      <c r="N305" s="383">
        <f t="shared" si="41"/>
        <v>15</v>
      </c>
      <c r="O305" s="383">
        <f t="shared" si="42"/>
        <v>53</v>
      </c>
      <c r="P305" s="383">
        <f t="shared" si="43"/>
        <v>68</v>
      </c>
      <c r="Q305" s="384">
        <f t="shared" si="44"/>
        <v>5140.7999999999993</v>
      </c>
      <c r="R305" s="27"/>
      <c r="S305" s="27"/>
      <c r="T305" s="27"/>
      <c r="U305" s="27"/>
      <c r="V305" s="27"/>
      <c r="W305" s="27"/>
      <c r="X305" s="27"/>
    </row>
    <row r="306" spans="1:24">
      <c r="A306" s="377">
        <f t="shared" si="38"/>
        <v>292</v>
      </c>
      <c r="B306" s="378" t="s">
        <v>476</v>
      </c>
      <c r="C306" s="378" t="s">
        <v>474</v>
      </c>
      <c r="D306" s="379">
        <v>43069</v>
      </c>
      <c r="E306" s="380">
        <v>740.4</v>
      </c>
      <c r="F306" s="379">
        <v>43046</v>
      </c>
      <c r="G306" s="379">
        <v>43048</v>
      </c>
      <c r="H306" s="381">
        <f t="shared" si="39"/>
        <v>1</v>
      </c>
      <c r="I306" s="379">
        <v>43102</v>
      </c>
      <c r="J306" s="382">
        <f t="shared" si="40"/>
        <v>54</v>
      </c>
      <c r="K306" s="382">
        <f t="shared" si="36"/>
        <v>55</v>
      </c>
      <c r="L306" s="315">
        <f t="shared" si="37"/>
        <v>40722</v>
      </c>
      <c r="M306" s="27"/>
      <c r="N306" s="383">
        <f t="shared" si="41"/>
        <v>1</v>
      </c>
      <c r="O306" s="383">
        <f t="shared" si="42"/>
        <v>54</v>
      </c>
      <c r="P306" s="383">
        <f t="shared" si="43"/>
        <v>55</v>
      </c>
      <c r="Q306" s="384">
        <f t="shared" si="44"/>
        <v>40722</v>
      </c>
      <c r="R306" s="27"/>
      <c r="S306" s="27"/>
      <c r="T306" s="27"/>
      <c r="U306" s="27"/>
      <c r="V306" s="27"/>
      <c r="W306" s="27"/>
      <c r="X306" s="27"/>
    </row>
    <row r="307" spans="1:24">
      <c r="A307" s="377">
        <f t="shared" si="38"/>
        <v>293</v>
      </c>
      <c r="B307" s="378" t="s">
        <v>459</v>
      </c>
      <c r="C307" s="378" t="s">
        <v>474</v>
      </c>
      <c r="D307" s="379">
        <v>42914</v>
      </c>
      <c r="E307" s="380">
        <v>548.96</v>
      </c>
      <c r="F307" s="379">
        <v>42914</v>
      </c>
      <c r="G307" s="379"/>
      <c r="H307" s="381">
        <f t="shared" si="39"/>
        <v>0</v>
      </c>
      <c r="I307" s="379">
        <v>42947</v>
      </c>
      <c r="J307" s="382">
        <f t="shared" si="40"/>
        <v>33</v>
      </c>
      <c r="K307" s="382">
        <f t="shared" si="36"/>
        <v>33</v>
      </c>
      <c r="L307" s="315">
        <f t="shared" si="37"/>
        <v>18115.68</v>
      </c>
      <c r="M307" s="27"/>
      <c r="N307" s="383">
        <f t="shared" si="41"/>
        <v>15</v>
      </c>
      <c r="O307" s="383">
        <f t="shared" si="42"/>
        <v>33</v>
      </c>
      <c r="P307" s="383">
        <f t="shared" si="43"/>
        <v>48</v>
      </c>
      <c r="Q307" s="384">
        <f t="shared" si="44"/>
        <v>26350.080000000002</v>
      </c>
      <c r="R307" s="27"/>
      <c r="S307" s="27"/>
      <c r="T307" s="27"/>
      <c r="U307" s="27"/>
      <c r="V307" s="27"/>
      <c r="W307" s="27"/>
      <c r="X307" s="27"/>
    </row>
    <row r="308" spans="1:24">
      <c r="A308" s="377">
        <f t="shared" si="38"/>
        <v>294</v>
      </c>
      <c r="B308" s="378" t="s">
        <v>459</v>
      </c>
      <c r="C308" s="378" t="s">
        <v>474</v>
      </c>
      <c r="D308" s="379">
        <v>43072</v>
      </c>
      <c r="E308" s="380">
        <v>36.17</v>
      </c>
      <c r="F308" s="379">
        <v>43072</v>
      </c>
      <c r="G308" s="379"/>
      <c r="H308" s="381">
        <f t="shared" si="39"/>
        <v>0</v>
      </c>
      <c r="I308" s="379">
        <v>43103</v>
      </c>
      <c r="J308" s="382">
        <f t="shared" si="40"/>
        <v>31</v>
      </c>
      <c r="K308" s="382">
        <f t="shared" si="36"/>
        <v>31</v>
      </c>
      <c r="L308" s="315">
        <f t="shared" si="37"/>
        <v>1121.27</v>
      </c>
      <c r="M308" s="27"/>
      <c r="N308" s="383">
        <f t="shared" si="41"/>
        <v>15</v>
      </c>
      <c r="O308" s="383">
        <f t="shared" si="42"/>
        <v>31</v>
      </c>
      <c r="P308" s="383">
        <f t="shared" si="43"/>
        <v>46</v>
      </c>
      <c r="Q308" s="384">
        <f t="shared" si="44"/>
        <v>1663.8200000000002</v>
      </c>
      <c r="R308" s="27"/>
      <c r="S308" s="27"/>
      <c r="T308" s="27"/>
      <c r="U308" s="27"/>
      <c r="V308" s="27"/>
      <c r="W308" s="27"/>
      <c r="X308" s="27"/>
    </row>
    <row r="309" spans="1:24">
      <c r="A309" s="377">
        <f t="shared" si="38"/>
        <v>295</v>
      </c>
      <c r="B309" s="378" t="s">
        <v>479</v>
      </c>
      <c r="C309" s="378" t="s">
        <v>474</v>
      </c>
      <c r="D309" s="379">
        <v>42766</v>
      </c>
      <c r="E309" s="380">
        <v>60913</v>
      </c>
      <c r="F309" s="379">
        <v>42736</v>
      </c>
      <c r="G309" s="379">
        <v>42766</v>
      </c>
      <c r="H309" s="381">
        <f t="shared" si="39"/>
        <v>15</v>
      </c>
      <c r="I309" s="379">
        <v>42797</v>
      </c>
      <c r="J309" s="382">
        <f t="shared" si="40"/>
        <v>31</v>
      </c>
      <c r="K309" s="382">
        <f t="shared" si="36"/>
        <v>46</v>
      </c>
      <c r="L309" s="315">
        <f t="shared" si="37"/>
        <v>2801998</v>
      </c>
      <c r="M309" s="27"/>
      <c r="N309" s="383">
        <f t="shared" si="41"/>
        <v>15</v>
      </c>
      <c r="O309" s="383">
        <f t="shared" si="42"/>
        <v>31</v>
      </c>
      <c r="P309" s="383">
        <f t="shared" si="43"/>
        <v>46</v>
      </c>
      <c r="Q309" s="384">
        <f t="shared" si="44"/>
        <v>2801998</v>
      </c>
      <c r="R309" s="27"/>
      <c r="S309" s="27"/>
      <c r="T309" s="27"/>
      <c r="U309" s="27"/>
      <c r="V309" s="27"/>
      <c r="W309" s="27"/>
      <c r="X309" s="27"/>
    </row>
    <row r="310" spans="1:24">
      <c r="A310" s="377">
        <f t="shared" si="38"/>
        <v>296</v>
      </c>
      <c r="B310" s="378" t="s">
        <v>479</v>
      </c>
      <c r="C310" s="378" t="s">
        <v>474</v>
      </c>
      <c r="D310" s="379">
        <v>42794</v>
      </c>
      <c r="E310" s="380">
        <v>58286.16</v>
      </c>
      <c r="F310" s="379">
        <v>42767</v>
      </c>
      <c r="G310" s="379">
        <v>42794</v>
      </c>
      <c r="H310" s="381">
        <f t="shared" si="39"/>
        <v>13.5</v>
      </c>
      <c r="I310" s="379">
        <v>42829</v>
      </c>
      <c r="J310" s="382">
        <f t="shared" si="40"/>
        <v>35</v>
      </c>
      <c r="K310" s="382">
        <f t="shared" si="36"/>
        <v>48.5</v>
      </c>
      <c r="L310" s="315">
        <f t="shared" si="37"/>
        <v>2826878.76</v>
      </c>
      <c r="M310" s="27"/>
      <c r="N310" s="383">
        <f t="shared" si="41"/>
        <v>13.5</v>
      </c>
      <c r="O310" s="383">
        <f t="shared" si="42"/>
        <v>35</v>
      </c>
      <c r="P310" s="383">
        <f t="shared" si="43"/>
        <v>48.5</v>
      </c>
      <c r="Q310" s="384">
        <f t="shared" si="44"/>
        <v>2826878.7600000002</v>
      </c>
      <c r="R310" s="27"/>
      <c r="S310" s="27"/>
      <c r="T310" s="27"/>
      <c r="U310" s="27"/>
      <c r="V310" s="27"/>
      <c r="W310" s="27"/>
      <c r="X310" s="27"/>
    </row>
    <row r="311" spans="1:24">
      <c r="A311" s="377">
        <f t="shared" si="38"/>
        <v>297</v>
      </c>
      <c r="B311" s="378" t="s">
        <v>479</v>
      </c>
      <c r="C311" s="378" t="s">
        <v>474</v>
      </c>
      <c r="D311" s="379">
        <v>42825</v>
      </c>
      <c r="E311" s="380">
        <v>60913</v>
      </c>
      <c r="F311" s="379">
        <v>42795</v>
      </c>
      <c r="G311" s="379">
        <v>42825</v>
      </c>
      <c r="H311" s="381">
        <f t="shared" si="39"/>
        <v>15</v>
      </c>
      <c r="I311" s="379">
        <v>42856</v>
      </c>
      <c r="J311" s="382">
        <f t="shared" si="40"/>
        <v>31</v>
      </c>
      <c r="K311" s="382">
        <f t="shared" si="36"/>
        <v>46</v>
      </c>
      <c r="L311" s="315">
        <f t="shared" si="37"/>
        <v>2801998</v>
      </c>
      <c r="M311" s="27"/>
      <c r="N311" s="383">
        <f t="shared" si="41"/>
        <v>15</v>
      </c>
      <c r="O311" s="383">
        <f t="shared" si="42"/>
        <v>31</v>
      </c>
      <c r="P311" s="383">
        <f t="shared" si="43"/>
        <v>46</v>
      </c>
      <c r="Q311" s="384">
        <f t="shared" si="44"/>
        <v>2801998</v>
      </c>
      <c r="R311" s="27"/>
      <c r="S311" s="27"/>
      <c r="T311" s="27"/>
      <c r="U311" s="27"/>
      <c r="V311" s="27"/>
      <c r="W311" s="27"/>
      <c r="X311" s="27"/>
    </row>
    <row r="312" spans="1:24">
      <c r="A312" s="377">
        <f t="shared" si="38"/>
        <v>298</v>
      </c>
      <c r="B312" s="378" t="s">
        <v>479</v>
      </c>
      <c r="C312" s="378" t="s">
        <v>474</v>
      </c>
      <c r="D312" s="379">
        <v>42855</v>
      </c>
      <c r="E312" s="380">
        <v>60913</v>
      </c>
      <c r="F312" s="379">
        <v>42826</v>
      </c>
      <c r="G312" s="379">
        <v>42855</v>
      </c>
      <c r="H312" s="381">
        <f t="shared" si="39"/>
        <v>14.5</v>
      </c>
      <c r="I312" s="379">
        <v>42886</v>
      </c>
      <c r="J312" s="382">
        <f t="shared" si="40"/>
        <v>31</v>
      </c>
      <c r="K312" s="382">
        <f t="shared" si="36"/>
        <v>45.5</v>
      </c>
      <c r="L312" s="315">
        <f t="shared" si="37"/>
        <v>2771541.5</v>
      </c>
      <c r="M312" s="27"/>
      <c r="N312" s="383">
        <f t="shared" si="41"/>
        <v>14.5</v>
      </c>
      <c r="O312" s="383">
        <f t="shared" si="42"/>
        <v>31</v>
      </c>
      <c r="P312" s="383">
        <f t="shared" si="43"/>
        <v>45.5</v>
      </c>
      <c r="Q312" s="384">
        <f t="shared" si="44"/>
        <v>2771541.5</v>
      </c>
      <c r="R312" s="27"/>
      <c r="S312" s="27"/>
      <c r="T312" s="27"/>
      <c r="U312" s="27"/>
      <c r="V312" s="27"/>
      <c r="W312" s="27"/>
      <c r="X312" s="27"/>
    </row>
    <row r="313" spans="1:24">
      <c r="A313" s="377">
        <f t="shared" si="38"/>
        <v>299</v>
      </c>
      <c r="B313" s="378" t="s">
        <v>479</v>
      </c>
      <c r="C313" s="378" t="s">
        <v>474</v>
      </c>
      <c r="D313" s="379">
        <v>42886</v>
      </c>
      <c r="E313" s="380">
        <v>60913</v>
      </c>
      <c r="F313" s="379">
        <v>42856</v>
      </c>
      <c r="G313" s="379">
        <v>42886</v>
      </c>
      <c r="H313" s="381">
        <f t="shared" si="39"/>
        <v>15</v>
      </c>
      <c r="I313" s="379">
        <v>42919</v>
      </c>
      <c r="J313" s="382">
        <f t="shared" si="40"/>
        <v>33</v>
      </c>
      <c r="K313" s="382">
        <f t="shared" si="36"/>
        <v>48</v>
      </c>
      <c r="L313" s="315">
        <f t="shared" si="37"/>
        <v>2923824</v>
      </c>
      <c r="M313" s="27"/>
      <c r="N313" s="383">
        <f t="shared" si="41"/>
        <v>15</v>
      </c>
      <c r="O313" s="383">
        <f t="shared" si="42"/>
        <v>33</v>
      </c>
      <c r="P313" s="383">
        <f t="shared" si="43"/>
        <v>48</v>
      </c>
      <c r="Q313" s="384">
        <f t="shared" si="44"/>
        <v>2923824</v>
      </c>
      <c r="R313" s="27"/>
      <c r="S313" s="27"/>
      <c r="T313" s="27"/>
      <c r="U313" s="27"/>
      <c r="V313" s="27"/>
      <c r="W313" s="27"/>
      <c r="X313" s="27"/>
    </row>
    <row r="314" spans="1:24">
      <c r="A314" s="377">
        <f t="shared" si="38"/>
        <v>300</v>
      </c>
      <c r="B314" s="378" t="s">
        <v>479</v>
      </c>
      <c r="C314" s="378" t="s">
        <v>474</v>
      </c>
      <c r="D314" s="379">
        <v>42916</v>
      </c>
      <c r="E314" s="380">
        <v>60913</v>
      </c>
      <c r="F314" s="379">
        <v>42887</v>
      </c>
      <c r="G314" s="379">
        <v>42916</v>
      </c>
      <c r="H314" s="381">
        <f t="shared" si="39"/>
        <v>14.5</v>
      </c>
      <c r="I314" s="379">
        <v>42947</v>
      </c>
      <c r="J314" s="382">
        <f t="shared" si="40"/>
        <v>31</v>
      </c>
      <c r="K314" s="382">
        <f t="shared" si="36"/>
        <v>45.5</v>
      </c>
      <c r="L314" s="315">
        <f t="shared" si="37"/>
        <v>2771541.5</v>
      </c>
      <c r="M314" s="27"/>
      <c r="N314" s="383">
        <f t="shared" si="41"/>
        <v>14.5</v>
      </c>
      <c r="O314" s="383">
        <f t="shared" si="42"/>
        <v>31</v>
      </c>
      <c r="P314" s="383">
        <f t="shared" si="43"/>
        <v>45.5</v>
      </c>
      <c r="Q314" s="384">
        <f t="shared" si="44"/>
        <v>2771541.5</v>
      </c>
      <c r="R314" s="27"/>
      <c r="S314" s="27"/>
      <c r="T314" s="27"/>
      <c r="U314" s="27"/>
      <c r="V314" s="27"/>
      <c r="W314" s="27"/>
      <c r="X314" s="27"/>
    </row>
    <row r="315" spans="1:24">
      <c r="A315" s="377">
        <f t="shared" si="38"/>
        <v>301</v>
      </c>
      <c r="B315" s="378" t="s">
        <v>479</v>
      </c>
      <c r="C315" s="378" t="s">
        <v>474</v>
      </c>
      <c r="D315" s="379">
        <v>42947</v>
      </c>
      <c r="E315" s="380">
        <v>60303.87</v>
      </c>
      <c r="F315" s="379">
        <v>42917</v>
      </c>
      <c r="G315" s="379">
        <v>42947</v>
      </c>
      <c r="H315" s="381">
        <f t="shared" si="39"/>
        <v>15</v>
      </c>
      <c r="I315" s="379">
        <v>42958</v>
      </c>
      <c r="J315" s="382">
        <f t="shared" si="40"/>
        <v>11</v>
      </c>
      <c r="K315" s="382">
        <f t="shared" si="36"/>
        <v>26</v>
      </c>
      <c r="L315" s="315">
        <f t="shared" si="37"/>
        <v>1567900.62</v>
      </c>
      <c r="M315" s="27"/>
      <c r="N315" s="383">
        <f t="shared" si="41"/>
        <v>15</v>
      </c>
      <c r="O315" s="383">
        <f t="shared" si="42"/>
        <v>11</v>
      </c>
      <c r="P315" s="383">
        <f t="shared" si="43"/>
        <v>26</v>
      </c>
      <c r="Q315" s="384">
        <f t="shared" si="44"/>
        <v>1567900.62</v>
      </c>
      <c r="R315" s="27"/>
      <c r="S315" s="27"/>
      <c r="T315" s="27"/>
      <c r="U315" s="27"/>
      <c r="V315" s="27"/>
      <c r="W315" s="27"/>
      <c r="X315" s="27"/>
    </row>
    <row r="316" spans="1:24">
      <c r="A316" s="377">
        <f t="shared" si="38"/>
        <v>302</v>
      </c>
      <c r="B316" s="378" t="s">
        <v>479</v>
      </c>
      <c r="C316" s="378" t="s">
        <v>474</v>
      </c>
      <c r="D316" s="379">
        <v>42978</v>
      </c>
      <c r="E316" s="380">
        <v>60252.18</v>
      </c>
      <c r="F316" s="379">
        <v>42948</v>
      </c>
      <c r="G316" s="379">
        <v>42978</v>
      </c>
      <c r="H316" s="381">
        <f t="shared" si="39"/>
        <v>15</v>
      </c>
      <c r="I316" s="379">
        <v>43010</v>
      </c>
      <c r="J316" s="382">
        <f t="shared" si="40"/>
        <v>32</v>
      </c>
      <c r="K316" s="382">
        <f t="shared" si="36"/>
        <v>47</v>
      </c>
      <c r="L316" s="315">
        <f t="shared" si="37"/>
        <v>2831852.46</v>
      </c>
      <c r="M316" s="27"/>
      <c r="N316" s="383">
        <f t="shared" si="41"/>
        <v>15</v>
      </c>
      <c r="O316" s="383">
        <f t="shared" si="42"/>
        <v>32</v>
      </c>
      <c r="P316" s="383">
        <f t="shared" si="43"/>
        <v>47</v>
      </c>
      <c r="Q316" s="384">
        <f t="shared" si="44"/>
        <v>2831852.46</v>
      </c>
      <c r="R316" s="27"/>
      <c r="S316" s="27"/>
      <c r="T316" s="27"/>
      <c r="U316" s="27"/>
      <c r="V316" s="27"/>
      <c r="W316" s="27"/>
      <c r="X316" s="27"/>
    </row>
    <row r="317" spans="1:24">
      <c r="A317" s="377">
        <f t="shared" si="38"/>
        <v>303</v>
      </c>
      <c r="B317" s="378" t="s">
        <v>479</v>
      </c>
      <c r="C317" s="378" t="s">
        <v>474</v>
      </c>
      <c r="D317" s="379">
        <v>43008</v>
      </c>
      <c r="E317" s="380">
        <v>60913</v>
      </c>
      <c r="F317" s="379">
        <v>42979</v>
      </c>
      <c r="G317" s="379">
        <v>43008</v>
      </c>
      <c r="H317" s="381">
        <f t="shared" si="39"/>
        <v>14.5</v>
      </c>
      <c r="I317" s="379">
        <v>43039</v>
      </c>
      <c r="J317" s="382">
        <f t="shared" si="40"/>
        <v>31</v>
      </c>
      <c r="K317" s="382">
        <f t="shared" si="36"/>
        <v>45.5</v>
      </c>
      <c r="L317" s="315">
        <f t="shared" si="37"/>
        <v>2771541.5</v>
      </c>
      <c r="M317" s="27"/>
      <c r="N317" s="383">
        <f t="shared" si="41"/>
        <v>14.5</v>
      </c>
      <c r="O317" s="383">
        <f t="shared" si="42"/>
        <v>31</v>
      </c>
      <c r="P317" s="383">
        <f t="shared" si="43"/>
        <v>45.5</v>
      </c>
      <c r="Q317" s="384">
        <f t="shared" si="44"/>
        <v>2771541.5</v>
      </c>
      <c r="R317" s="27"/>
      <c r="S317" s="27"/>
      <c r="T317" s="27"/>
      <c r="U317" s="27"/>
      <c r="V317" s="27"/>
      <c r="W317" s="27"/>
      <c r="X317" s="27"/>
    </row>
    <row r="318" spans="1:24">
      <c r="A318" s="377">
        <f t="shared" si="38"/>
        <v>304</v>
      </c>
      <c r="B318" s="378" t="s">
        <v>479</v>
      </c>
      <c r="C318" s="378" t="s">
        <v>474</v>
      </c>
      <c r="D318" s="379">
        <v>43039</v>
      </c>
      <c r="E318" s="380">
        <v>60913</v>
      </c>
      <c r="F318" s="379">
        <v>43009</v>
      </c>
      <c r="G318" s="379">
        <v>43039</v>
      </c>
      <c r="H318" s="381">
        <f t="shared" si="39"/>
        <v>15</v>
      </c>
      <c r="I318" s="379">
        <v>43070</v>
      </c>
      <c r="J318" s="382">
        <f t="shared" si="40"/>
        <v>31</v>
      </c>
      <c r="K318" s="382">
        <f t="shared" si="36"/>
        <v>46</v>
      </c>
      <c r="L318" s="315">
        <f t="shared" si="37"/>
        <v>2801998</v>
      </c>
      <c r="N318" s="383">
        <f t="shared" si="41"/>
        <v>15</v>
      </c>
      <c r="O318" s="383">
        <f t="shared" si="42"/>
        <v>31</v>
      </c>
      <c r="P318" s="383">
        <f t="shared" si="43"/>
        <v>46</v>
      </c>
      <c r="Q318" s="384">
        <f t="shared" si="44"/>
        <v>2801998</v>
      </c>
    </row>
    <row r="319" spans="1:24">
      <c r="A319" s="377">
        <f t="shared" si="38"/>
        <v>305</v>
      </c>
      <c r="B319" s="378" t="s">
        <v>479</v>
      </c>
      <c r="C319" s="378" t="s">
        <v>474</v>
      </c>
      <c r="D319" s="379">
        <v>43069</v>
      </c>
      <c r="E319" s="380">
        <v>60913</v>
      </c>
      <c r="F319" s="379">
        <v>43040</v>
      </c>
      <c r="G319" s="379">
        <v>43069</v>
      </c>
      <c r="H319" s="381">
        <f t="shared" si="39"/>
        <v>14.5</v>
      </c>
      <c r="I319" s="379">
        <v>43102</v>
      </c>
      <c r="J319" s="382">
        <f t="shared" si="40"/>
        <v>33</v>
      </c>
      <c r="K319" s="382">
        <f t="shared" si="36"/>
        <v>47.5</v>
      </c>
      <c r="L319" s="315">
        <f t="shared" si="37"/>
        <v>2893367.5</v>
      </c>
      <c r="N319" s="383">
        <f t="shared" si="41"/>
        <v>14.5</v>
      </c>
      <c r="O319" s="383">
        <f t="shared" si="42"/>
        <v>33</v>
      </c>
      <c r="P319" s="383">
        <f t="shared" si="43"/>
        <v>47.5</v>
      </c>
      <c r="Q319" s="384">
        <f t="shared" si="44"/>
        <v>2893367.5</v>
      </c>
    </row>
    <row r="320" spans="1:24">
      <c r="A320" s="377">
        <f t="shared" si="38"/>
        <v>306</v>
      </c>
      <c r="B320" s="378" t="s">
        <v>480</v>
      </c>
      <c r="C320" s="378" t="s">
        <v>474</v>
      </c>
      <c r="D320" s="379">
        <v>43035</v>
      </c>
      <c r="E320" s="380">
        <v>3126.22</v>
      </c>
      <c r="F320" s="379">
        <v>43035</v>
      </c>
      <c r="G320" s="379"/>
      <c r="H320" s="381">
        <f t="shared" si="39"/>
        <v>0</v>
      </c>
      <c r="I320" s="379">
        <v>43081</v>
      </c>
      <c r="J320" s="382">
        <f t="shared" si="40"/>
        <v>46</v>
      </c>
      <c r="K320" s="382">
        <f t="shared" si="36"/>
        <v>46</v>
      </c>
      <c r="L320" s="315">
        <f t="shared" si="37"/>
        <v>143806.12</v>
      </c>
      <c r="N320" s="383">
        <f t="shared" si="41"/>
        <v>15</v>
      </c>
      <c r="O320" s="383">
        <f t="shared" si="42"/>
        <v>46</v>
      </c>
      <c r="P320" s="383">
        <f t="shared" si="43"/>
        <v>61</v>
      </c>
      <c r="Q320" s="384">
        <f t="shared" si="44"/>
        <v>190699.41999999998</v>
      </c>
    </row>
    <row r="321" spans="1:17">
      <c r="A321" s="377">
        <f t="shared" si="38"/>
        <v>307</v>
      </c>
      <c r="B321" s="378" t="s">
        <v>441</v>
      </c>
      <c r="C321" s="378" t="s">
        <v>474</v>
      </c>
      <c r="D321" s="379">
        <v>42839</v>
      </c>
      <c r="E321" s="380">
        <v>284.79000000000002</v>
      </c>
      <c r="F321" s="379">
        <v>42814</v>
      </c>
      <c r="G321" s="379">
        <v>42817</v>
      </c>
      <c r="H321" s="381">
        <f t="shared" si="39"/>
        <v>1.5</v>
      </c>
      <c r="I321" s="379">
        <v>42856</v>
      </c>
      <c r="J321" s="382">
        <f t="shared" si="40"/>
        <v>39</v>
      </c>
      <c r="K321" s="382">
        <f t="shared" si="36"/>
        <v>40.5</v>
      </c>
      <c r="L321" s="315">
        <f t="shared" si="37"/>
        <v>11534</v>
      </c>
      <c r="N321" s="383">
        <f t="shared" si="41"/>
        <v>1.5</v>
      </c>
      <c r="O321" s="383">
        <f t="shared" si="42"/>
        <v>39</v>
      </c>
      <c r="P321" s="383">
        <f t="shared" si="43"/>
        <v>40.5</v>
      </c>
      <c r="Q321" s="384">
        <f t="shared" si="44"/>
        <v>11533.995000000001</v>
      </c>
    </row>
    <row r="322" spans="1:17">
      <c r="A322" s="377">
        <f t="shared" si="38"/>
        <v>308</v>
      </c>
      <c r="B322" s="378" t="s">
        <v>459</v>
      </c>
      <c r="C322" s="378" t="s">
        <v>474</v>
      </c>
      <c r="D322" s="379">
        <v>42776</v>
      </c>
      <c r="E322" s="380">
        <v>6781.26</v>
      </c>
      <c r="F322" s="379">
        <v>42776</v>
      </c>
      <c r="G322" s="379"/>
      <c r="H322" s="381">
        <f t="shared" si="39"/>
        <v>0</v>
      </c>
      <c r="I322" s="379">
        <v>42807</v>
      </c>
      <c r="J322" s="382">
        <f t="shared" si="40"/>
        <v>31</v>
      </c>
      <c r="K322" s="382">
        <f t="shared" si="36"/>
        <v>31</v>
      </c>
      <c r="L322" s="315">
        <f t="shared" si="37"/>
        <v>210219.06</v>
      </c>
      <c r="N322" s="383">
        <f t="shared" si="41"/>
        <v>15</v>
      </c>
      <c r="O322" s="383">
        <f t="shared" si="42"/>
        <v>31</v>
      </c>
      <c r="P322" s="383">
        <f t="shared" si="43"/>
        <v>46</v>
      </c>
      <c r="Q322" s="384">
        <f t="shared" si="44"/>
        <v>311937.96000000002</v>
      </c>
    </row>
    <row r="323" spans="1:17">
      <c r="A323" s="377">
        <f t="shared" si="38"/>
        <v>309</v>
      </c>
      <c r="B323" s="378" t="s">
        <v>480</v>
      </c>
      <c r="C323" s="378" t="s">
        <v>474</v>
      </c>
      <c r="D323" s="379">
        <v>42796</v>
      </c>
      <c r="E323" s="380">
        <v>470.72</v>
      </c>
      <c r="F323" s="379">
        <v>42796</v>
      </c>
      <c r="G323" s="379"/>
      <c r="H323" s="381">
        <f t="shared" si="39"/>
        <v>0</v>
      </c>
      <c r="I323" s="379">
        <v>42839</v>
      </c>
      <c r="J323" s="382">
        <f t="shared" si="40"/>
        <v>43</v>
      </c>
      <c r="K323" s="382">
        <f t="shared" si="36"/>
        <v>43</v>
      </c>
      <c r="L323" s="315">
        <f t="shared" si="37"/>
        <v>20240.96</v>
      </c>
      <c r="N323" s="383">
        <f t="shared" si="41"/>
        <v>15</v>
      </c>
      <c r="O323" s="383">
        <f t="shared" si="42"/>
        <v>43</v>
      </c>
      <c r="P323" s="383">
        <f t="shared" si="43"/>
        <v>58</v>
      </c>
      <c r="Q323" s="384">
        <f t="shared" si="44"/>
        <v>27301.760000000002</v>
      </c>
    </row>
    <row r="324" spans="1:17">
      <c r="A324" s="377">
        <f t="shared" si="38"/>
        <v>310</v>
      </c>
      <c r="B324" s="378" t="s">
        <v>436</v>
      </c>
      <c r="C324" s="378" t="s">
        <v>474</v>
      </c>
      <c r="D324" s="379">
        <v>42783</v>
      </c>
      <c r="E324" s="380">
        <v>134588.18</v>
      </c>
      <c r="F324" s="379">
        <v>42736</v>
      </c>
      <c r="G324" s="379">
        <v>42766</v>
      </c>
      <c r="H324" s="381">
        <f t="shared" si="39"/>
        <v>15</v>
      </c>
      <c r="I324" s="379">
        <v>42800</v>
      </c>
      <c r="J324" s="382">
        <f t="shared" si="40"/>
        <v>34</v>
      </c>
      <c r="K324" s="382">
        <f t="shared" si="36"/>
        <v>49</v>
      </c>
      <c r="L324" s="315">
        <f t="shared" si="37"/>
        <v>6594820.8200000003</v>
      </c>
      <c r="N324" s="383">
        <f t="shared" si="41"/>
        <v>15</v>
      </c>
      <c r="O324" s="383">
        <f t="shared" si="42"/>
        <v>34</v>
      </c>
      <c r="P324" s="383">
        <f t="shared" si="43"/>
        <v>49</v>
      </c>
      <c r="Q324" s="384">
        <f t="shared" si="44"/>
        <v>6594820.8199999994</v>
      </c>
    </row>
    <row r="325" spans="1:17">
      <c r="A325" s="377">
        <f t="shared" si="38"/>
        <v>311</v>
      </c>
      <c r="B325" s="378" t="s">
        <v>436</v>
      </c>
      <c r="C325" s="378" t="s">
        <v>474</v>
      </c>
      <c r="D325" s="379">
        <v>42821</v>
      </c>
      <c r="E325" s="380">
        <v>134588.18</v>
      </c>
      <c r="F325" s="379">
        <v>42767</v>
      </c>
      <c r="G325" s="379">
        <v>42794</v>
      </c>
      <c r="H325" s="381">
        <f t="shared" si="39"/>
        <v>13.5</v>
      </c>
      <c r="I325" s="379">
        <v>42837</v>
      </c>
      <c r="J325" s="382">
        <f t="shared" si="40"/>
        <v>43</v>
      </c>
      <c r="K325" s="382">
        <f t="shared" si="36"/>
        <v>56.5</v>
      </c>
      <c r="L325" s="315">
        <f t="shared" si="37"/>
        <v>7604232.1699999999</v>
      </c>
      <c r="N325" s="383">
        <f t="shared" si="41"/>
        <v>13.5</v>
      </c>
      <c r="O325" s="383">
        <f t="shared" si="42"/>
        <v>43</v>
      </c>
      <c r="P325" s="383">
        <f t="shared" si="43"/>
        <v>56.5</v>
      </c>
      <c r="Q325" s="384">
        <f t="shared" si="44"/>
        <v>7604232.1699999999</v>
      </c>
    </row>
    <row r="326" spans="1:17">
      <c r="A326" s="377">
        <f t="shared" si="38"/>
        <v>312</v>
      </c>
      <c r="B326" s="378" t="s">
        <v>436</v>
      </c>
      <c r="C326" s="378" t="s">
        <v>474</v>
      </c>
      <c r="D326" s="379">
        <v>42825</v>
      </c>
      <c r="E326" s="380">
        <v>134588.18</v>
      </c>
      <c r="F326" s="379">
        <v>42795</v>
      </c>
      <c r="G326" s="379">
        <v>42825</v>
      </c>
      <c r="H326" s="381">
        <f t="shared" si="39"/>
        <v>15</v>
      </c>
      <c r="I326" s="379">
        <v>42851</v>
      </c>
      <c r="J326" s="382">
        <f t="shared" si="40"/>
        <v>26</v>
      </c>
      <c r="K326" s="382">
        <f t="shared" si="36"/>
        <v>41</v>
      </c>
      <c r="L326" s="315">
        <f t="shared" si="37"/>
        <v>5518115.3799999999</v>
      </c>
      <c r="N326" s="383">
        <f t="shared" si="41"/>
        <v>15</v>
      </c>
      <c r="O326" s="383">
        <f t="shared" si="42"/>
        <v>26</v>
      </c>
      <c r="P326" s="383">
        <f t="shared" si="43"/>
        <v>41</v>
      </c>
      <c r="Q326" s="384">
        <f t="shared" si="44"/>
        <v>5518115.3799999999</v>
      </c>
    </row>
    <row r="327" spans="1:17">
      <c r="A327" s="377">
        <f t="shared" si="38"/>
        <v>313</v>
      </c>
      <c r="B327" s="378" t="s">
        <v>436</v>
      </c>
      <c r="C327" s="378" t="s">
        <v>474</v>
      </c>
      <c r="D327" s="379">
        <v>42855</v>
      </c>
      <c r="E327" s="380">
        <v>134588.18</v>
      </c>
      <c r="F327" s="379">
        <v>42826</v>
      </c>
      <c r="G327" s="379">
        <v>42855</v>
      </c>
      <c r="H327" s="381">
        <f t="shared" si="39"/>
        <v>14.5</v>
      </c>
      <c r="I327" s="379">
        <v>42885</v>
      </c>
      <c r="J327" s="382">
        <f t="shared" si="40"/>
        <v>30</v>
      </c>
      <c r="K327" s="382">
        <f t="shared" si="36"/>
        <v>44.5</v>
      </c>
      <c r="L327" s="315">
        <f t="shared" si="37"/>
        <v>5989174.0099999998</v>
      </c>
      <c r="N327" s="383">
        <f t="shared" si="41"/>
        <v>14.5</v>
      </c>
      <c r="O327" s="383">
        <f t="shared" si="42"/>
        <v>30</v>
      </c>
      <c r="P327" s="383">
        <f t="shared" si="43"/>
        <v>44.5</v>
      </c>
      <c r="Q327" s="384">
        <f t="shared" si="44"/>
        <v>5989174.0099999998</v>
      </c>
    </row>
    <row r="328" spans="1:17">
      <c r="A328" s="377">
        <f t="shared" si="38"/>
        <v>314</v>
      </c>
      <c r="B328" s="378" t="s">
        <v>436</v>
      </c>
      <c r="C328" s="378" t="s">
        <v>474</v>
      </c>
      <c r="D328" s="379">
        <v>42886</v>
      </c>
      <c r="E328" s="380">
        <v>134588.18</v>
      </c>
      <c r="F328" s="379">
        <v>42856</v>
      </c>
      <c r="G328" s="379">
        <v>42885</v>
      </c>
      <c r="H328" s="381">
        <f t="shared" si="39"/>
        <v>14.5</v>
      </c>
      <c r="I328" s="379">
        <v>42928</v>
      </c>
      <c r="J328" s="382">
        <f t="shared" si="40"/>
        <v>43</v>
      </c>
      <c r="K328" s="382">
        <f t="shared" si="36"/>
        <v>57.5</v>
      </c>
      <c r="L328" s="315">
        <f t="shared" si="37"/>
        <v>7738820.3499999996</v>
      </c>
      <c r="N328" s="383">
        <f t="shared" si="41"/>
        <v>14.5</v>
      </c>
      <c r="O328" s="383">
        <f t="shared" si="42"/>
        <v>43</v>
      </c>
      <c r="P328" s="383">
        <f t="shared" si="43"/>
        <v>57.5</v>
      </c>
      <c r="Q328" s="384">
        <f t="shared" si="44"/>
        <v>7738820.3499999996</v>
      </c>
    </row>
    <row r="329" spans="1:17">
      <c r="A329" s="377">
        <f t="shared" si="38"/>
        <v>315</v>
      </c>
      <c r="B329" s="378" t="s">
        <v>436</v>
      </c>
      <c r="C329" s="378" t="s">
        <v>474</v>
      </c>
      <c r="D329" s="379">
        <v>42916</v>
      </c>
      <c r="E329" s="380">
        <v>134588.18</v>
      </c>
      <c r="F329" s="379">
        <v>42887</v>
      </c>
      <c r="G329" s="379">
        <v>42916</v>
      </c>
      <c r="H329" s="381">
        <f t="shared" si="39"/>
        <v>14.5</v>
      </c>
      <c r="I329" s="379">
        <v>42948</v>
      </c>
      <c r="J329" s="382">
        <f t="shared" si="40"/>
        <v>32</v>
      </c>
      <c r="K329" s="382">
        <f t="shared" si="36"/>
        <v>46.5</v>
      </c>
      <c r="L329" s="315">
        <f t="shared" si="37"/>
        <v>6258350.3700000001</v>
      </c>
      <c r="N329" s="383">
        <f t="shared" si="41"/>
        <v>14.5</v>
      </c>
      <c r="O329" s="383">
        <f t="shared" si="42"/>
        <v>32</v>
      </c>
      <c r="P329" s="383">
        <f t="shared" si="43"/>
        <v>46.5</v>
      </c>
      <c r="Q329" s="384">
        <f t="shared" si="44"/>
        <v>6258350.3700000001</v>
      </c>
    </row>
    <row r="330" spans="1:17">
      <c r="A330" s="377">
        <f t="shared" si="38"/>
        <v>316</v>
      </c>
      <c r="B330" s="378" t="s">
        <v>436</v>
      </c>
      <c r="C330" s="378" t="s">
        <v>474</v>
      </c>
      <c r="D330" s="379">
        <v>42947</v>
      </c>
      <c r="E330" s="380">
        <v>134588.18</v>
      </c>
      <c r="F330" s="379">
        <v>42917</v>
      </c>
      <c r="G330" s="379">
        <v>42947</v>
      </c>
      <c r="H330" s="381">
        <f t="shared" si="39"/>
        <v>15</v>
      </c>
      <c r="I330" s="379">
        <v>42978</v>
      </c>
      <c r="J330" s="382">
        <f t="shared" si="40"/>
        <v>31</v>
      </c>
      <c r="K330" s="382">
        <f t="shared" si="36"/>
        <v>46</v>
      </c>
      <c r="L330" s="315">
        <f t="shared" si="37"/>
        <v>6191056.2800000003</v>
      </c>
      <c r="N330" s="383">
        <f t="shared" si="41"/>
        <v>15</v>
      </c>
      <c r="O330" s="383">
        <f t="shared" si="42"/>
        <v>31</v>
      </c>
      <c r="P330" s="383">
        <f t="shared" si="43"/>
        <v>46</v>
      </c>
      <c r="Q330" s="384">
        <f t="shared" si="44"/>
        <v>6191056.2799999993</v>
      </c>
    </row>
    <row r="331" spans="1:17">
      <c r="A331" s="377">
        <f t="shared" si="38"/>
        <v>317</v>
      </c>
      <c r="B331" s="378" t="s">
        <v>436</v>
      </c>
      <c r="C331" s="378" t="s">
        <v>474</v>
      </c>
      <c r="D331" s="379">
        <v>42978</v>
      </c>
      <c r="E331" s="380">
        <v>134588.18</v>
      </c>
      <c r="F331" s="379">
        <v>42948</v>
      </c>
      <c r="G331" s="379">
        <v>42978</v>
      </c>
      <c r="H331" s="381">
        <f t="shared" si="39"/>
        <v>15</v>
      </c>
      <c r="I331" s="379">
        <v>42996</v>
      </c>
      <c r="J331" s="382">
        <f t="shared" si="40"/>
        <v>18</v>
      </c>
      <c r="K331" s="382">
        <f t="shared" si="36"/>
        <v>33</v>
      </c>
      <c r="L331" s="315">
        <f t="shared" si="37"/>
        <v>4441409.9400000004</v>
      </c>
      <c r="N331" s="383">
        <f t="shared" si="41"/>
        <v>15</v>
      </c>
      <c r="O331" s="383">
        <f t="shared" si="42"/>
        <v>18</v>
      </c>
      <c r="P331" s="383">
        <f t="shared" si="43"/>
        <v>33</v>
      </c>
      <c r="Q331" s="384">
        <f t="shared" si="44"/>
        <v>4441409.9399999995</v>
      </c>
    </row>
    <row r="332" spans="1:17">
      <c r="A332" s="377">
        <f t="shared" si="38"/>
        <v>318</v>
      </c>
      <c r="B332" s="378" t="s">
        <v>436</v>
      </c>
      <c r="C332" s="378" t="s">
        <v>474</v>
      </c>
      <c r="D332" s="379">
        <v>43008</v>
      </c>
      <c r="E332" s="380">
        <v>134588.18</v>
      </c>
      <c r="F332" s="379">
        <v>42979</v>
      </c>
      <c r="G332" s="379">
        <v>43008</v>
      </c>
      <c r="H332" s="381">
        <f t="shared" si="39"/>
        <v>14.5</v>
      </c>
      <c r="I332" s="379">
        <v>43027</v>
      </c>
      <c r="J332" s="382">
        <f t="shared" si="40"/>
        <v>19</v>
      </c>
      <c r="K332" s="382">
        <f t="shared" si="36"/>
        <v>33.5</v>
      </c>
      <c r="L332" s="315">
        <f t="shared" si="37"/>
        <v>4508704.03</v>
      </c>
      <c r="N332" s="383">
        <f t="shared" si="41"/>
        <v>14.5</v>
      </c>
      <c r="O332" s="383">
        <f t="shared" si="42"/>
        <v>19</v>
      </c>
      <c r="P332" s="383">
        <f t="shared" si="43"/>
        <v>33.5</v>
      </c>
      <c r="Q332" s="384">
        <f t="shared" si="44"/>
        <v>4508704.0299999993</v>
      </c>
    </row>
    <row r="333" spans="1:17">
      <c r="A333" s="377">
        <f t="shared" si="38"/>
        <v>319</v>
      </c>
      <c r="B333" s="378" t="s">
        <v>436</v>
      </c>
      <c r="C333" s="378" t="s">
        <v>474</v>
      </c>
      <c r="D333" s="379">
        <v>43039</v>
      </c>
      <c r="E333" s="380">
        <v>134588.18</v>
      </c>
      <c r="F333" s="379">
        <v>43009</v>
      </c>
      <c r="G333" s="379">
        <v>43039</v>
      </c>
      <c r="H333" s="381">
        <f t="shared" si="39"/>
        <v>15</v>
      </c>
      <c r="I333" s="379">
        <v>43070</v>
      </c>
      <c r="J333" s="382">
        <f t="shared" si="40"/>
        <v>31</v>
      </c>
      <c r="K333" s="382">
        <f t="shared" si="36"/>
        <v>46</v>
      </c>
      <c r="L333" s="315">
        <f t="shared" si="37"/>
        <v>6191056.2800000003</v>
      </c>
      <c r="N333" s="383">
        <f t="shared" si="41"/>
        <v>15</v>
      </c>
      <c r="O333" s="383">
        <f t="shared" si="42"/>
        <v>31</v>
      </c>
      <c r="P333" s="383">
        <f t="shared" si="43"/>
        <v>46</v>
      </c>
      <c r="Q333" s="384">
        <f t="shared" si="44"/>
        <v>6191056.2799999993</v>
      </c>
    </row>
    <row r="334" spans="1:17">
      <c r="A334" s="377">
        <f t="shared" si="38"/>
        <v>320</v>
      </c>
      <c r="B334" s="378" t="s">
        <v>436</v>
      </c>
      <c r="C334" s="378" t="s">
        <v>474</v>
      </c>
      <c r="D334" s="379">
        <v>43069</v>
      </c>
      <c r="E334" s="380">
        <v>135947.66</v>
      </c>
      <c r="F334" s="379">
        <v>43040</v>
      </c>
      <c r="G334" s="379">
        <v>43069</v>
      </c>
      <c r="H334" s="381">
        <f t="shared" si="39"/>
        <v>14.5</v>
      </c>
      <c r="I334" s="379">
        <v>43104</v>
      </c>
      <c r="J334" s="382">
        <f t="shared" si="40"/>
        <v>35</v>
      </c>
      <c r="K334" s="382">
        <f t="shared" si="36"/>
        <v>49.5</v>
      </c>
      <c r="L334" s="315">
        <f t="shared" si="37"/>
        <v>6729409.1699999999</v>
      </c>
      <c r="N334" s="383">
        <f t="shared" si="41"/>
        <v>14.5</v>
      </c>
      <c r="O334" s="383">
        <f t="shared" si="42"/>
        <v>35</v>
      </c>
      <c r="P334" s="383">
        <f t="shared" si="43"/>
        <v>49.5</v>
      </c>
      <c r="Q334" s="384">
        <f t="shared" si="44"/>
        <v>6729409.1699999999</v>
      </c>
    </row>
    <row r="335" spans="1:17">
      <c r="A335" s="377">
        <f t="shared" si="38"/>
        <v>321</v>
      </c>
      <c r="B335" s="378" t="s">
        <v>439</v>
      </c>
      <c r="C335" s="378" t="s">
        <v>474</v>
      </c>
      <c r="D335" s="379">
        <v>42964</v>
      </c>
      <c r="E335" s="380">
        <v>573.87</v>
      </c>
      <c r="F335" s="379">
        <v>42964</v>
      </c>
      <c r="G335" s="379"/>
      <c r="H335" s="381">
        <f t="shared" si="39"/>
        <v>0</v>
      </c>
      <c r="I335" s="379">
        <v>42975</v>
      </c>
      <c r="J335" s="382">
        <f t="shared" si="40"/>
        <v>11</v>
      </c>
      <c r="K335" s="382">
        <f t="shared" ref="K335:K393" si="45">H335+J335</f>
        <v>11</v>
      </c>
      <c r="L335" s="315">
        <f t="shared" ref="L335:L393" si="46">ROUND(E335*K335,2)</f>
        <v>6312.57</v>
      </c>
      <c r="N335" s="383">
        <f t="shared" si="41"/>
        <v>15</v>
      </c>
      <c r="O335" s="383">
        <f t="shared" si="42"/>
        <v>11</v>
      </c>
      <c r="P335" s="383">
        <f t="shared" si="43"/>
        <v>26</v>
      </c>
      <c r="Q335" s="384">
        <f t="shared" si="44"/>
        <v>14920.62</v>
      </c>
    </row>
    <row r="336" spans="1:17">
      <c r="A336" s="377">
        <f t="shared" ref="A336:A393" si="47">A335+1</f>
        <v>322</v>
      </c>
      <c r="B336" s="378" t="s">
        <v>459</v>
      </c>
      <c r="C336" s="378" t="s">
        <v>474</v>
      </c>
      <c r="D336" s="379">
        <v>42898</v>
      </c>
      <c r="E336" s="380">
        <v>2441.79</v>
      </c>
      <c r="F336" s="379">
        <v>42898</v>
      </c>
      <c r="G336" s="379"/>
      <c r="H336" s="381">
        <f t="shared" ref="H336:H393" si="48">IF(G336="",0,(G336-F336)/2)</f>
        <v>0</v>
      </c>
      <c r="I336" s="379">
        <v>42929</v>
      </c>
      <c r="J336" s="382">
        <f t="shared" ref="J336:J393" si="49">IF(G336="",I336-F336,I336-G336)</f>
        <v>31</v>
      </c>
      <c r="K336" s="382">
        <f t="shared" si="45"/>
        <v>31</v>
      </c>
      <c r="L336" s="315">
        <f t="shared" si="46"/>
        <v>75695.490000000005</v>
      </c>
      <c r="N336" s="383">
        <f t="shared" ref="N336:N393" si="50">IF(G336="",30/2,H336)</f>
        <v>15</v>
      </c>
      <c r="O336" s="383">
        <f t="shared" ref="O336:O393" si="51">J336</f>
        <v>31</v>
      </c>
      <c r="P336" s="383">
        <f t="shared" ref="P336:P393" si="52">N336+O336</f>
        <v>46</v>
      </c>
      <c r="Q336" s="384">
        <f t="shared" ref="Q336:Q393" si="53">E336*P336</f>
        <v>112322.34</v>
      </c>
    </row>
    <row r="337" spans="1:17">
      <c r="A337" s="377">
        <f t="shared" si="47"/>
        <v>323</v>
      </c>
      <c r="B337" s="378" t="s">
        <v>459</v>
      </c>
      <c r="C337" s="378" t="s">
        <v>474</v>
      </c>
      <c r="D337" s="379">
        <v>42905</v>
      </c>
      <c r="E337" s="380">
        <v>5352.6</v>
      </c>
      <c r="F337" s="379">
        <v>42905</v>
      </c>
      <c r="G337" s="379"/>
      <c r="H337" s="381">
        <f t="shared" si="48"/>
        <v>0</v>
      </c>
      <c r="I337" s="379">
        <v>42936</v>
      </c>
      <c r="J337" s="382">
        <f t="shared" si="49"/>
        <v>31</v>
      </c>
      <c r="K337" s="382">
        <f t="shared" si="45"/>
        <v>31</v>
      </c>
      <c r="L337" s="315">
        <f t="shared" si="46"/>
        <v>165930.6</v>
      </c>
      <c r="N337" s="383">
        <f t="shared" si="50"/>
        <v>15</v>
      </c>
      <c r="O337" s="383">
        <f t="shared" si="51"/>
        <v>31</v>
      </c>
      <c r="P337" s="383">
        <f t="shared" si="52"/>
        <v>46</v>
      </c>
      <c r="Q337" s="384">
        <f t="shared" si="53"/>
        <v>246219.6</v>
      </c>
    </row>
    <row r="338" spans="1:17">
      <c r="A338" s="377">
        <f t="shared" si="47"/>
        <v>324</v>
      </c>
      <c r="B338" s="378" t="s">
        <v>459</v>
      </c>
      <c r="C338" s="378" t="s">
        <v>474</v>
      </c>
      <c r="D338" s="379">
        <v>42983</v>
      </c>
      <c r="E338" s="380">
        <v>8825.11</v>
      </c>
      <c r="F338" s="379">
        <v>42983</v>
      </c>
      <c r="G338" s="379"/>
      <c r="H338" s="381">
        <f t="shared" si="48"/>
        <v>0</v>
      </c>
      <c r="I338" s="379">
        <v>43014</v>
      </c>
      <c r="J338" s="382">
        <f t="shared" si="49"/>
        <v>31</v>
      </c>
      <c r="K338" s="382">
        <f t="shared" si="45"/>
        <v>31</v>
      </c>
      <c r="L338" s="315">
        <f t="shared" si="46"/>
        <v>273578.40999999997</v>
      </c>
      <c r="N338" s="383">
        <f t="shared" si="50"/>
        <v>15</v>
      </c>
      <c r="O338" s="383">
        <f t="shared" si="51"/>
        <v>31</v>
      </c>
      <c r="P338" s="383">
        <f t="shared" si="52"/>
        <v>46</v>
      </c>
      <c r="Q338" s="384">
        <f t="shared" si="53"/>
        <v>405955.06000000006</v>
      </c>
    </row>
    <row r="339" spans="1:17">
      <c r="A339" s="377">
        <f t="shared" si="47"/>
        <v>325</v>
      </c>
      <c r="B339" s="378" t="s">
        <v>480</v>
      </c>
      <c r="C339" s="378" t="s">
        <v>474</v>
      </c>
      <c r="D339" s="379">
        <v>42908</v>
      </c>
      <c r="E339" s="380">
        <v>962.61</v>
      </c>
      <c r="F339" s="379">
        <v>42908</v>
      </c>
      <c r="G339" s="379"/>
      <c r="H339" s="381">
        <f t="shared" si="48"/>
        <v>0</v>
      </c>
      <c r="I339" s="379">
        <v>42954</v>
      </c>
      <c r="J339" s="382">
        <f t="shared" si="49"/>
        <v>46</v>
      </c>
      <c r="K339" s="382">
        <f t="shared" si="45"/>
        <v>46</v>
      </c>
      <c r="L339" s="315">
        <f t="shared" si="46"/>
        <v>44280.06</v>
      </c>
      <c r="N339" s="383">
        <f t="shared" si="50"/>
        <v>15</v>
      </c>
      <c r="O339" s="383">
        <f t="shared" si="51"/>
        <v>46</v>
      </c>
      <c r="P339" s="383">
        <f t="shared" si="52"/>
        <v>61</v>
      </c>
      <c r="Q339" s="384">
        <f t="shared" si="53"/>
        <v>58719.21</v>
      </c>
    </row>
    <row r="340" spans="1:17">
      <c r="A340" s="377">
        <f t="shared" si="47"/>
        <v>326</v>
      </c>
      <c r="B340" s="378" t="s">
        <v>441</v>
      </c>
      <c r="C340" s="378" t="s">
        <v>474</v>
      </c>
      <c r="D340" s="379">
        <v>43077</v>
      </c>
      <c r="E340" s="380">
        <v>1058.4000000000001</v>
      </c>
      <c r="F340" s="379">
        <v>43053</v>
      </c>
      <c r="G340" s="379">
        <v>43054</v>
      </c>
      <c r="H340" s="381">
        <f t="shared" si="48"/>
        <v>0.5</v>
      </c>
      <c r="I340" s="379">
        <v>43095</v>
      </c>
      <c r="J340" s="382">
        <f t="shared" si="49"/>
        <v>41</v>
      </c>
      <c r="K340" s="382">
        <f t="shared" si="45"/>
        <v>41.5</v>
      </c>
      <c r="L340" s="315">
        <f t="shared" si="46"/>
        <v>43923.6</v>
      </c>
      <c r="N340" s="383">
        <f t="shared" si="50"/>
        <v>0.5</v>
      </c>
      <c r="O340" s="383">
        <f t="shared" si="51"/>
        <v>41</v>
      </c>
      <c r="P340" s="383">
        <f t="shared" si="52"/>
        <v>41.5</v>
      </c>
      <c r="Q340" s="384">
        <f t="shared" si="53"/>
        <v>43923.600000000006</v>
      </c>
    </row>
    <row r="341" spans="1:17">
      <c r="A341" s="377">
        <f t="shared" si="47"/>
        <v>327</v>
      </c>
      <c r="B341" s="378" t="s">
        <v>442</v>
      </c>
      <c r="C341" s="378" t="s">
        <v>474</v>
      </c>
      <c r="D341" s="379">
        <v>42965</v>
      </c>
      <c r="E341" s="380">
        <v>76950.960000000006</v>
      </c>
      <c r="F341" s="379">
        <v>42931</v>
      </c>
      <c r="G341" s="379"/>
      <c r="H341" s="381">
        <f t="shared" si="48"/>
        <v>0</v>
      </c>
      <c r="I341" s="379">
        <v>42996</v>
      </c>
      <c r="J341" s="382">
        <f t="shared" si="49"/>
        <v>65</v>
      </c>
      <c r="K341" s="382">
        <f t="shared" si="45"/>
        <v>65</v>
      </c>
      <c r="L341" s="315">
        <f t="shared" si="46"/>
        <v>5001812.4000000004</v>
      </c>
      <c r="N341" s="383">
        <f t="shared" si="50"/>
        <v>15</v>
      </c>
      <c r="O341" s="383">
        <f t="shared" si="51"/>
        <v>65</v>
      </c>
      <c r="P341" s="383">
        <f t="shared" si="52"/>
        <v>80</v>
      </c>
      <c r="Q341" s="384">
        <f t="shared" si="53"/>
        <v>6156076.8000000007</v>
      </c>
    </row>
    <row r="342" spans="1:17">
      <c r="A342" s="377">
        <f t="shared" si="47"/>
        <v>328</v>
      </c>
      <c r="B342" s="378" t="s">
        <v>442</v>
      </c>
      <c r="C342" s="378" t="s">
        <v>474</v>
      </c>
      <c r="D342" s="379">
        <v>42965</v>
      </c>
      <c r="E342" s="380">
        <v>50244.78</v>
      </c>
      <c r="F342" s="379">
        <v>42938</v>
      </c>
      <c r="G342" s="379"/>
      <c r="H342" s="381">
        <f t="shared" si="48"/>
        <v>0</v>
      </c>
      <c r="I342" s="379">
        <v>42996</v>
      </c>
      <c r="J342" s="382">
        <f t="shared" si="49"/>
        <v>58</v>
      </c>
      <c r="K342" s="382">
        <f t="shared" si="45"/>
        <v>58</v>
      </c>
      <c r="L342" s="315">
        <f t="shared" si="46"/>
        <v>2914197.24</v>
      </c>
      <c r="N342" s="383">
        <f t="shared" si="50"/>
        <v>15</v>
      </c>
      <c r="O342" s="383">
        <f t="shared" si="51"/>
        <v>58</v>
      </c>
      <c r="P342" s="383">
        <f t="shared" si="52"/>
        <v>73</v>
      </c>
      <c r="Q342" s="384">
        <f t="shared" si="53"/>
        <v>3667868.94</v>
      </c>
    </row>
    <row r="343" spans="1:17">
      <c r="A343" s="377">
        <f t="shared" si="47"/>
        <v>329</v>
      </c>
      <c r="B343" s="378" t="s">
        <v>442</v>
      </c>
      <c r="C343" s="378" t="s">
        <v>474</v>
      </c>
      <c r="D343" s="379">
        <v>42999</v>
      </c>
      <c r="E343" s="380">
        <v>51162.32</v>
      </c>
      <c r="F343" s="379">
        <v>42966</v>
      </c>
      <c r="G343" s="379"/>
      <c r="H343" s="381">
        <f t="shared" si="48"/>
        <v>0</v>
      </c>
      <c r="I343" s="379">
        <v>43031</v>
      </c>
      <c r="J343" s="382">
        <f t="shared" si="49"/>
        <v>65</v>
      </c>
      <c r="K343" s="382">
        <f t="shared" si="45"/>
        <v>65</v>
      </c>
      <c r="L343" s="315">
        <f t="shared" si="46"/>
        <v>3325550.8</v>
      </c>
      <c r="N343" s="383">
        <f t="shared" si="50"/>
        <v>15</v>
      </c>
      <c r="O343" s="383">
        <f t="shared" si="51"/>
        <v>65</v>
      </c>
      <c r="P343" s="383">
        <f t="shared" si="52"/>
        <v>80</v>
      </c>
      <c r="Q343" s="384">
        <f t="shared" si="53"/>
        <v>4092985.6</v>
      </c>
    </row>
    <row r="344" spans="1:17">
      <c r="A344" s="377">
        <f t="shared" si="47"/>
        <v>330</v>
      </c>
      <c r="B344" s="378" t="s">
        <v>442</v>
      </c>
      <c r="C344" s="378" t="s">
        <v>474</v>
      </c>
      <c r="D344" s="379">
        <v>43054</v>
      </c>
      <c r="E344" s="380">
        <v>54497.32</v>
      </c>
      <c r="F344" s="379">
        <v>43015</v>
      </c>
      <c r="G344" s="379"/>
      <c r="H344" s="381">
        <f t="shared" si="48"/>
        <v>0</v>
      </c>
      <c r="I344" s="379">
        <v>43087</v>
      </c>
      <c r="J344" s="382">
        <f t="shared" si="49"/>
        <v>72</v>
      </c>
      <c r="K344" s="382">
        <f t="shared" si="45"/>
        <v>72</v>
      </c>
      <c r="L344" s="315">
        <f t="shared" si="46"/>
        <v>3923807.04</v>
      </c>
      <c r="N344" s="383">
        <f t="shared" si="50"/>
        <v>15</v>
      </c>
      <c r="O344" s="383">
        <f t="shared" si="51"/>
        <v>72</v>
      </c>
      <c r="P344" s="383">
        <f t="shared" si="52"/>
        <v>87</v>
      </c>
      <c r="Q344" s="384">
        <f t="shared" si="53"/>
        <v>4741266.84</v>
      </c>
    </row>
    <row r="345" spans="1:17">
      <c r="A345" s="377">
        <f t="shared" si="47"/>
        <v>331</v>
      </c>
      <c r="B345" s="378" t="s">
        <v>442</v>
      </c>
      <c r="C345" s="378" t="s">
        <v>474</v>
      </c>
      <c r="D345" s="379">
        <v>43054</v>
      </c>
      <c r="E345" s="380">
        <v>53577.13</v>
      </c>
      <c r="F345" s="379">
        <v>43022</v>
      </c>
      <c r="G345" s="379"/>
      <c r="H345" s="381">
        <f t="shared" si="48"/>
        <v>0</v>
      </c>
      <c r="I345" s="379">
        <v>43087</v>
      </c>
      <c r="J345" s="382">
        <f t="shared" si="49"/>
        <v>65</v>
      </c>
      <c r="K345" s="382">
        <f t="shared" si="45"/>
        <v>65</v>
      </c>
      <c r="L345" s="315">
        <f t="shared" si="46"/>
        <v>3482513.45</v>
      </c>
      <c r="N345" s="383">
        <f t="shared" si="50"/>
        <v>15</v>
      </c>
      <c r="O345" s="383">
        <f t="shared" si="51"/>
        <v>65</v>
      </c>
      <c r="P345" s="383">
        <f t="shared" si="52"/>
        <v>80</v>
      </c>
      <c r="Q345" s="384">
        <f t="shared" si="53"/>
        <v>4286170.3999999994</v>
      </c>
    </row>
    <row r="346" spans="1:17">
      <c r="A346" s="377">
        <f t="shared" si="47"/>
        <v>332</v>
      </c>
      <c r="B346" s="378" t="s">
        <v>442</v>
      </c>
      <c r="C346" s="378" t="s">
        <v>474</v>
      </c>
      <c r="D346" s="379">
        <v>43082</v>
      </c>
      <c r="E346" s="380">
        <v>80069.84</v>
      </c>
      <c r="F346" s="379">
        <v>43043</v>
      </c>
      <c r="G346" s="379"/>
      <c r="H346" s="381">
        <f t="shared" si="48"/>
        <v>0</v>
      </c>
      <c r="I346" s="379">
        <v>43116</v>
      </c>
      <c r="J346" s="382">
        <f t="shared" si="49"/>
        <v>73</v>
      </c>
      <c r="K346" s="382">
        <f t="shared" si="45"/>
        <v>73</v>
      </c>
      <c r="L346" s="315">
        <f t="shared" si="46"/>
        <v>5845098.3200000003</v>
      </c>
      <c r="N346" s="383">
        <f t="shared" si="50"/>
        <v>15</v>
      </c>
      <c r="O346" s="383">
        <f t="shared" si="51"/>
        <v>73</v>
      </c>
      <c r="P346" s="383">
        <f t="shared" si="52"/>
        <v>88</v>
      </c>
      <c r="Q346" s="384">
        <f t="shared" si="53"/>
        <v>7046145.9199999999</v>
      </c>
    </row>
    <row r="347" spans="1:17">
      <c r="A347" s="377">
        <f t="shared" si="47"/>
        <v>333</v>
      </c>
      <c r="B347" s="378" t="s">
        <v>442</v>
      </c>
      <c r="C347" s="378" t="s">
        <v>474</v>
      </c>
      <c r="D347" s="379">
        <v>43082</v>
      </c>
      <c r="E347" s="380">
        <v>61298.52</v>
      </c>
      <c r="F347" s="379">
        <v>43050</v>
      </c>
      <c r="G347" s="379"/>
      <c r="H347" s="381">
        <f t="shared" si="48"/>
        <v>0</v>
      </c>
      <c r="I347" s="379">
        <v>43116</v>
      </c>
      <c r="J347" s="382">
        <f t="shared" si="49"/>
        <v>66</v>
      </c>
      <c r="K347" s="382">
        <f t="shared" si="45"/>
        <v>66</v>
      </c>
      <c r="L347" s="315">
        <f t="shared" si="46"/>
        <v>4045702.32</v>
      </c>
      <c r="N347" s="383">
        <f t="shared" si="50"/>
        <v>15</v>
      </c>
      <c r="O347" s="383">
        <f t="shared" si="51"/>
        <v>66</v>
      </c>
      <c r="P347" s="383">
        <f t="shared" si="52"/>
        <v>81</v>
      </c>
      <c r="Q347" s="384">
        <f t="shared" si="53"/>
        <v>4965180.12</v>
      </c>
    </row>
    <row r="348" spans="1:17">
      <c r="A348" s="377">
        <f t="shared" si="47"/>
        <v>334</v>
      </c>
      <c r="B348" s="378" t="s">
        <v>442</v>
      </c>
      <c r="C348" s="378" t="s">
        <v>474</v>
      </c>
      <c r="D348" s="379">
        <v>43082</v>
      </c>
      <c r="E348" s="380">
        <v>79644.94</v>
      </c>
      <c r="F348" s="379">
        <v>43057</v>
      </c>
      <c r="G348" s="379"/>
      <c r="H348" s="381">
        <f t="shared" si="48"/>
        <v>0</v>
      </c>
      <c r="I348" s="379">
        <v>43116</v>
      </c>
      <c r="J348" s="382">
        <f t="shared" si="49"/>
        <v>59</v>
      </c>
      <c r="K348" s="382">
        <f t="shared" si="45"/>
        <v>59</v>
      </c>
      <c r="L348" s="315">
        <f t="shared" si="46"/>
        <v>4699051.46</v>
      </c>
      <c r="N348" s="383">
        <f t="shared" si="50"/>
        <v>15</v>
      </c>
      <c r="O348" s="383">
        <f t="shared" si="51"/>
        <v>59</v>
      </c>
      <c r="P348" s="383">
        <f t="shared" si="52"/>
        <v>74</v>
      </c>
      <c r="Q348" s="384">
        <f t="shared" si="53"/>
        <v>5893725.5600000005</v>
      </c>
    </row>
    <row r="349" spans="1:17">
      <c r="A349" s="377">
        <f t="shared" si="47"/>
        <v>335</v>
      </c>
      <c r="B349" s="378" t="s">
        <v>442</v>
      </c>
      <c r="C349" s="378" t="s">
        <v>474</v>
      </c>
      <c r="D349" s="379">
        <v>43082</v>
      </c>
      <c r="E349" s="380">
        <v>85163.7</v>
      </c>
      <c r="F349" s="379">
        <v>43071</v>
      </c>
      <c r="G349" s="379"/>
      <c r="H349" s="381">
        <f t="shared" si="48"/>
        <v>0</v>
      </c>
      <c r="I349" s="379">
        <v>43116</v>
      </c>
      <c r="J349" s="382">
        <f t="shared" si="49"/>
        <v>45</v>
      </c>
      <c r="K349" s="382">
        <f t="shared" si="45"/>
        <v>45</v>
      </c>
      <c r="L349" s="315">
        <f t="shared" si="46"/>
        <v>3832366.5</v>
      </c>
      <c r="N349" s="383">
        <f t="shared" si="50"/>
        <v>15</v>
      </c>
      <c r="O349" s="383">
        <f t="shared" si="51"/>
        <v>45</v>
      </c>
      <c r="P349" s="383">
        <f t="shared" si="52"/>
        <v>60</v>
      </c>
      <c r="Q349" s="384">
        <f t="shared" si="53"/>
        <v>5109822</v>
      </c>
    </row>
    <row r="350" spans="1:17">
      <c r="A350" s="377">
        <f t="shared" si="47"/>
        <v>336</v>
      </c>
      <c r="B350" s="378" t="s">
        <v>433</v>
      </c>
      <c r="C350" s="378" t="s">
        <v>474</v>
      </c>
      <c r="D350" s="379">
        <v>43031</v>
      </c>
      <c r="E350" s="380">
        <v>50634.8</v>
      </c>
      <c r="F350" s="379">
        <v>43022</v>
      </c>
      <c r="G350" s="379"/>
      <c r="H350" s="381">
        <f t="shared" si="48"/>
        <v>0</v>
      </c>
      <c r="I350" s="379">
        <v>43063</v>
      </c>
      <c r="J350" s="382">
        <f t="shared" si="49"/>
        <v>41</v>
      </c>
      <c r="K350" s="382">
        <f t="shared" si="45"/>
        <v>41</v>
      </c>
      <c r="L350" s="315">
        <f t="shared" si="46"/>
        <v>2076026.8</v>
      </c>
      <c r="N350" s="383">
        <f t="shared" si="50"/>
        <v>15</v>
      </c>
      <c r="O350" s="383">
        <f t="shared" si="51"/>
        <v>41</v>
      </c>
      <c r="P350" s="383">
        <f t="shared" si="52"/>
        <v>56</v>
      </c>
      <c r="Q350" s="384">
        <f t="shared" si="53"/>
        <v>2835548.8000000003</v>
      </c>
    </row>
    <row r="351" spans="1:17">
      <c r="A351" s="377">
        <f t="shared" si="47"/>
        <v>337</v>
      </c>
      <c r="B351" s="378" t="s">
        <v>386</v>
      </c>
      <c r="C351" s="378" t="s">
        <v>481</v>
      </c>
      <c r="D351" s="379">
        <v>42790</v>
      </c>
      <c r="E351" s="380">
        <v>51182.85</v>
      </c>
      <c r="F351" s="379">
        <v>42767</v>
      </c>
      <c r="G351" s="379">
        <v>42794</v>
      </c>
      <c r="H351" s="381">
        <f t="shared" si="48"/>
        <v>13.5</v>
      </c>
      <c r="I351" s="379">
        <v>42821</v>
      </c>
      <c r="J351" s="382">
        <f t="shared" si="49"/>
        <v>27</v>
      </c>
      <c r="K351" s="382">
        <f t="shared" si="45"/>
        <v>40.5</v>
      </c>
      <c r="L351" s="315">
        <f t="shared" si="46"/>
        <v>2072905.43</v>
      </c>
      <c r="N351" s="383">
        <f t="shared" si="50"/>
        <v>13.5</v>
      </c>
      <c r="O351" s="383">
        <f t="shared" si="51"/>
        <v>27</v>
      </c>
      <c r="P351" s="383">
        <f t="shared" si="52"/>
        <v>40.5</v>
      </c>
      <c r="Q351" s="384">
        <f t="shared" si="53"/>
        <v>2072905.425</v>
      </c>
    </row>
    <row r="352" spans="1:17">
      <c r="A352" s="377">
        <f t="shared" si="47"/>
        <v>338</v>
      </c>
      <c r="B352" s="378" t="s">
        <v>386</v>
      </c>
      <c r="C352" s="378" t="s">
        <v>481</v>
      </c>
      <c r="D352" s="379">
        <v>42822</v>
      </c>
      <c r="E352" s="380">
        <v>49942.26</v>
      </c>
      <c r="F352" s="379">
        <v>42795</v>
      </c>
      <c r="G352" s="379">
        <v>42825</v>
      </c>
      <c r="H352" s="381">
        <f t="shared" si="48"/>
        <v>15</v>
      </c>
      <c r="I352" s="379">
        <v>42853</v>
      </c>
      <c r="J352" s="382">
        <f t="shared" si="49"/>
        <v>28</v>
      </c>
      <c r="K352" s="382">
        <f t="shared" si="45"/>
        <v>43</v>
      </c>
      <c r="L352" s="315">
        <f t="shared" si="46"/>
        <v>2147517.1800000002</v>
      </c>
      <c r="N352" s="383">
        <f t="shared" si="50"/>
        <v>15</v>
      </c>
      <c r="O352" s="383">
        <f t="shared" si="51"/>
        <v>28</v>
      </c>
      <c r="P352" s="383">
        <f t="shared" si="52"/>
        <v>43</v>
      </c>
      <c r="Q352" s="384">
        <f t="shared" si="53"/>
        <v>2147517.1800000002</v>
      </c>
    </row>
    <row r="353" spans="1:17">
      <c r="A353" s="377">
        <f t="shared" si="47"/>
        <v>339</v>
      </c>
      <c r="B353" s="378" t="s">
        <v>386</v>
      </c>
      <c r="C353" s="378" t="s">
        <v>481</v>
      </c>
      <c r="D353" s="379">
        <v>42914</v>
      </c>
      <c r="E353" s="380">
        <v>114524.92</v>
      </c>
      <c r="F353" s="379">
        <v>42887</v>
      </c>
      <c r="G353" s="379">
        <v>42916</v>
      </c>
      <c r="H353" s="381">
        <f t="shared" si="48"/>
        <v>14.5</v>
      </c>
      <c r="I353" s="379">
        <v>42947</v>
      </c>
      <c r="J353" s="382">
        <f t="shared" si="49"/>
        <v>31</v>
      </c>
      <c r="K353" s="382">
        <f t="shared" si="45"/>
        <v>45.5</v>
      </c>
      <c r="L353" s="315">
        <f t="shared" si="46"/>
        <v>5210883.8600000003</v>
      </c>
      <c r="N353" s="383">
        <f t="shared" si="50"/>
        <v>14.5</v>
      </c>
      <c r="O353" s="383">
        <f t="shared" si="51"/>
        <v>31</v>
      </c>
      <c r="P353" s="383">
        <f t="shared" si="52"/>
        <v>45.5</v>
      </c>
      <c r="Q353" s="384">
        <f t="shared" si="53"/>
        <v>5210883.8600000003</v>
      </c>
    </row>
    <row r="354" spans="1:17">
      <c r="A354" s="377">
        <f t="shared" si="47"/>
        <v>340</v>
      </c>
      <c r="B354" s="378" t="s">
        <v>386</v>
      </c>
      <c r="C354" s="378" t="s">
        <v>481</v>
      </c>
      <c r="D354" s="379">
        <v>42728</v>
      </c>
      <c r="E354" s="380">
        <v>83303.399999999994</v>
      </c>
      <c r="F354" s="379">
        <v>42705</v>
      </c>
      <c r="G354" s="379">
        <v>42735</v>
      </c>
      <c r="H354" s="381">
        <f t="shared" si="48"/>
        <v>15</v>
      </c>
      <c r="I354" s="379">
        <v>42759</v>
      </c>
      <c r="J354" s="382">
        <f t="shared" si="49"/>
        <v>24</v>
      </c>
      <c r="K354" s="382">
        <f t="shared" si="45"/>
        <v>39</v>
      </c>
      <c r="L354" s="315">
        <f t="shared" si="46"/>
        <v>3248832.6</v>
      </c>
      <c r="N354" s="383">
        <f t="shared" si="50"/>
        <v>15</v>
      </c>
      <c r="O354" s="383">
        <f t="shared" si="51"/>
        <v>24</v>
      </c>
      <c r="P354" s="383">
        <f t="shared" si="52"/>
        <v>39</v>
      </c>
      <c r="Q354" s="384">
        <f t="shared" si="53"/>
        <v>3248832.5999999996</v>
      </c>
    </row>
    <row r="355" spans="1:17">
      <c r="A355" s="377">
        <f t="shared" si="47"/>
        <v>341</v>
      </c>
      <c r="B355" s="378" t="s">
        <v>386</v>
      </c>
      <c r="C355" s="378" t="s">
        <v>481</v>
      </c>
      <c r="D355" s="379">
        <v>42790</v>
      </c>
      <c r="E355" s="380">
        <v>55936.04</v>
      </c>
      <c r="F355" s="379">
        <v>42767</v>
      </c>
      <c r="G355" s="379">
        <v>42794</v>
      </c>
      <c r="H355" s="381">
        <f t="shared" si="48"/>
        <v>13.5</v>
      </c>
      <c r="I355" s="379">
        <v>42821</v>
      </c>
      <c r="J355" s="382">
        <f t="shared" si="49"/>
        <v>27</v>
      </c>
      <c r="K355" s="382">
        <f t="shared" si="45"/>
        <v>40.5</v>
      </c>
      <c r="L355" s="315">
        <f t="shared" si="46"/>
        <v>2265409.62</v>
      </c>
      <c r="N355" s="383">
        <f t="shared" si="50"/>
        <v>13.5</v>
      </c>
      <c r="O355" s="383">
        <f t="shared" si="51"/>
        <v>27</v>
      </c>
      <c r="P355" s="383">
        <f t="shared" si="52"/>
        <v>40.5</v>
      </c>
      <c r="Q355" s="384">
        <f t="shared" si="53"/>
        <v>2265409.62</v>
      </c>
    </row>
    <row r="356" spans="1:17">
      <c r="A356" s="377">
        <f t="shared" si="47"/>
        <v>342</v>
      </c>
      <c r="B356" s="378" t="s">
        <v>386</v>
      </c>
      <c r="C356" s="378" t="s">
        <v>481</v>
      </c>
      <c r="D356" s="379">
        <v>42976</v>
      </c>
      <c r="E356" s="380">
        <v>100554.14</v>
      </c>
      <c r="F356" s="379">
        <v>42948</v>
      </c>
      <c r="G356" s="379">
        <v>42978</v>
      </c>
      <c r="H356" s="381">
        <f t="shared" si="48"/>
        <v>15</v>
      </c>
      <c r="I356" s="379">
        <v>43007</v>
      </c>
      <c r="J356" s="382">
        <f t="shared" si="49"/>
        <v>29</v>
      </c>
      <c r="K356" s="382">
        <f t="shared" si="45"/>
        <v>44</v>
      </c>
      <c r="L356" s="315">
        <f t="shared" si="46"/>
        <v>4424382.16</v>
      </c>
      <c r="N356" s="383">
        <f t="shared" si="50"/>
        <v>15</v>
      </c>
      <c r="O356" s="383">
        <f t="shared" si="51"/>
        <v>29</v>
      </c>
      <c r="P356" s="383">
        <f t="shared" si="52"/>
        <v>44</v>
      </c>
      <c r="Q356" s="384">
        <f t="shared" si="53"/>
        <v>4424382.16</v>
      </c>
    </row>
    <row r="357" spans="1:17">
      <c r="A357" s="377">
        <f t="shared" si="47"/>
        <v>343</v>
      </c>
      <c r="B357" s="378" t="s">
        <v>386</v>
      </c>
      <c r="C357" s="378" t="s">
        <v>481</v>
      </c>
      <c r="D357" s="379">
        <v>43067</v>
      </c>
      <c r="E357" s="380">
        <v>108898.34</v>
      </c>
      <c r="F357" s="379">
        <v>43040</v>
      </c>
      <c r="G357" s="379">
        <v>43069</v>
      </c>
      <c r="H357" s="381">
        <f t="shared" si="48"/>
        <v>14.5</v>
      </c>
      <c r="I357" s="379">
        <v>43098</v>
      </c>
      <c r="J357" s="382">
        <f t="shared" si="49"/>
        <v>29</v>
      </c>
      <c r="K357" s="382">
        <f t="shared" si="45"/>
        <v>43.5</v>
      </c>
      <c r="L357" s="315">
        <f t="shared" si="46"/>
        <v>4737077.79</v>
      </c>
      <c r="N357" s="383">
        <f t="shared" si="50"/>
        <v>14.5</v>
      </c>
      <c r="O357" s="383">
        <f t="shared" si="51"/>
        <v>29</v>
      </c>
      <c r="P357" s="383">
        <f t="shared" si="52"/>
        <v>43.5</v>
      </c>
      <c r="Q357" s="384">
        <f t="shared" si="53"/>
        <v>4737077.79</v>
      </c>
    </row>
    <row r="358" spans="1:17">
      <c r="A358" s="377">
        <f t="shared" si="47"/>
        <v>344</v>
      </c>
      <c r="B358" s="378" t="s">
        <v>482</v>
      </c>
      <c r="C358" s="378" t="s">
        <v>481</v>
      </c>
      <c r="D358" s="379">
        <v>42955</v>
      </c>
      <c r="E358" s="380">
        <v>4577.28</v>
      </c>
      <c r="F358" s="379">
        <v>42954</v>
      </c>
      <c r="G358" s="379"/>
      <c r="H358" s="381">
        <f t="shared" si="48"/>
        <v>0</v>
      </c>
      <c r="I358" s="379">
        <v>42989</v>
      </c>
      <c r="J358" s="382">
        <f t="shared" si="49"/>
        <v>35</v>
      </c>
      <c r="K358" s="382">
        <f t="shared" si="45"/>
        <v>35</v>
      </c>
      <c r="L358" s="315">
        <f t="shared" si="46"/>
        <v>160204.79999999999</v>
      </c>
      <c r="N358" s="383">
        <f t="shared" si="50"/>
        <v>15</v>
      </c>
      <c r="O358" s="383">
        <f t="shared" si="51"/>
        <v>35</v>
      </c>
      <c r="P358" s="383">
        <f t="shared" si="52"/>
        <v>50</v>
      </c>
      <c r="Q358" s="384">
        <f t="shared" si="53"/>
        <v>228864</v>
      </c>
    </row>
    <row r="359" spans="1:17">
      <c r="A359" s="377">
        <f t="shared" si="47"/>
        <v>345</v>
      </c>
      <c r="B359" s="378" t="s">
        <v>483</v>
      </c>
      <c r="C359" s="378" t="s">
        <v>484</v>
      </c>
      <c r="D359" s="379">
        <v>42843</v>
      </c>
      <c r="E359" s="380">
        <v>516.88</v>
      </c>
      <c r="F359" s="379">
        <v>42843</v>
      </c>
      <c r="G359" s="379"/>
      <c r="H359" s="381">
        <f t="shared" si="48"/>
        <v>0</v>
      </c>
      <c r="I359" s="379">
        <v>42856</v>
      </c>
      <c r="J359" s="382">
        <f t="shared" si="49"/>
        <v>13</v>
      </c>
      <c r="K359" s="382">
        <f t="shared" si="45"/>
        <v>13</v>
      </c>
      <c r="L359" s="315">
        <f t="shared" si="46"/>
        <v>6719.44</v>
      </c>
      <c r="N359" s="383">
        <f t="shared" si="50"/>
        <v>15</v>
      </c>
      <c r="O359" s="383">
        <f t="shared" si="51"/>
        <v>13</v>
      </c>
      <c r="P359" s="383">
        <f t="shared" si="52"/>
        <v>28</v>
      </c>
      <c r="Q359" s="384">
        <f t="shared" si="53"/>
        <v>14472.64</v>
      </c>
    </row>
    <row r="360" spans="1:17">
      <c r="A360" s="377">
        <f t="shared" si="47"/>
        <v>346</v>
      </c>
      <c r="B360" s="378" t="s">
        <v>383</v>
      </c>
      <c r="C360" s="378" t="s">
        <v>485</v>
      </c>
      <c r="D360" s="379">
        <v>42823</v>
      </c>
      <c r="E360" s="380">
        <v>261.62</v>
      </c>
      <c r="F360" s="379">
        <v>42794</v>
      </c>
      <c r="G360" s="379">
        <v>42818</v>
      </c>
      <c r="H360" s="381">
        <f t="shared" si="48"/>
        <v>12</v>
      </c>
      <c r="I360" s="379">
        <v>42829</v>
      </c>
      <c r="J360" s="382">
        <f t="shared" si="49"/>
        <v>11</v>
      </c>
      <c r="K360" s="382">
        <f t="shared" si="45"/>
        <v>23</v>
      </c>
      <c r="L360" s="315">
        <f t="shared" si="46"/>
        <v>6017.26</v>
      </c>
      <c r="N360" s="383">
        <f t="shared" si="50"/>
        <v>12</v>
      </c>
      <c r="O360" s="383">
        <f t="shared" si="51"/>
        <v>11</v>
      </c>
      <c r="P360" s="383">
        <f t="shared" si="52"/>
        <v>23</v>
      </c>
      <c r="Q360" s="384">
        <f t="shared" si="53"/>
        <v>6017.26</v>
      </c>
    </row>
    <row r="361" spans="1:17">
      <c r="A361" s="377">
        <f t="shared" si="47"/>
        <v>347</v>
      </c>
      <c r="B361" s="378" t="s">
        <v>412</v>
      </c>
      <c r="C361" s="378" t="s">
        <v>486</v>
      </c>
      <c r="D361" s="379">
        <v>42892</v>
      </c>
      <c r="E361" s="380">
        <v>1297.32</v>
      </c>
      <c r="F361" s="379">
        <v>42888</v>
      </c>
      <c r="G361" s="379"/>
      <c r="H361" s="381">
        <f t="shared" si="48"/>
        <v>0</v>
      </c>
      <c r="I361" s="379">
        <v>42923</v>
      </c>
      <c r="J361" s="382">
        <f t="shared" si="49"/>
        <v>35</v>
      </c>
      <c r="K361" s="382">
        <f t="shared" si="45"/>
        <v>35</v>
      </c>
      <c r="L361" s="315">
        <f t="shared" si="46"/>
        <v>45406.2</v>
      </c>
      <c r="N361" s="383">
        <f t="shared" si="50"/>
        <v>15</v>
      </c>
      <c r="O361" s="383">
        <f t="shared" si="51"/>
        <v>35</v>
      </c>
      <c r="P361" s="383">
        <f t="shared" si="52"/>
        <v>50</v>
      </c>
      <c r="Q361" s="384">
        <f t="shared" si="53"/>
        <v>64866</v>
      </c>
    </row>
    <row r="362" spans="1:17">
      <c r="A362" s="377">
        <f t="shared" si="47"/>
        <v>348</v>
      </c>
      <c r="B362" s="378" t="s">
        <v>383</v>
      </c>
      <c r="C362" s="378" t="s">
        <v>487</v>
      </c>
      <c r="D362" s="379">
        <v>42852</v>
      </c>
      <c r="E362" s="380">
        <v>55.75</v>
      </c>
      <c r="F362" s="379">
        <v>42828</v>
      </c>
      <c r="G362" s="379"/>
      <c r="H362" s="381">
        <f t="shared" si="48"/>
        <v>0</v>
      </c>
      <c r="I362" s="379">
        <v>42858</v>
      </c>
      <c r="J362" s="382">
        <f t="shared" si="49"/>
        <v>30</v>
      </c>
      <c r="K362" s="382">
        <f t="shared" si="45"/>
        <v>30</v>
      </c>
      <c r="L362" s="315">
        <f t="shared" si="46"/>
        <v>1672.5</v>
      </c>
      <c r="N362" s="383">
        <f t="shared" si="50"/>
        <v>15</v>
      </c>
      <c r="O362" s="383">
        <f t="shared" si="51"/>
        <v>30</v>
      </c>
      <c r="P362" s="383">
        <f t="shared" si="52"/>
        <v>45</v>
      </c>
      <c r="Q362" s="384">
        <f t="shared" si="53"/>
        <v>2508.75</v>
      </c>
    </row>
    <row r="363" spans="1:17">
      <c r="A363" s="377">
        <f t="shared" si="47"/>
        <v>349</v>
      </c>
      <c r="B363" s="378" t="s">
        <v>376</v>
      </c>
      <c r="C363" s="378" t="s">
        <v>487</v>
      </c>
      <c r="D363" s="379">
        <v>42947</v>
      </c>
      <c r="E363" s="380">
        <v>10.73</v>
      </c>
      <c r="F363" s="379">
        <v>42920</v>
      </c>
      <c r="G363" s="379">
        <v>42930</v>
      </c>
      <c r="H363" s="381">
        <f t="shared" si="48"/>
        <v>5</v>
      </c>
      <c r="I363" s="379">
        <v>42972</v>
      </c>
      <c r="J363" s="382">
        <f t="shared" si="49"/>
        <v>42</v>
      </c>
      <c r="K363" s="382">
        <f t="shared" si="45"/>
        <v>47</v>
      </c>
      <c r="L363" s="315">
        <f t="shared" si="46"/>
        <v>504.31</v>
      </c>
      <c r="N363" s="383">
        <f t="shared" si="50"/>
        <v>5</v>
      </c>
      <c r="O363" s="383">
        <f t="shared" si="51"/>
        <v>42</v>
      </c>
      <c r="P363" s="383">
        <f t="shared" si="52"/>
        <v>47</v>
      </c>
      <c r="Q363" s="384">
        <f t="shared" si="53"/>
        <v>504.31</v>
      </c>
    </row>
    <row r="364" spans="1:17">
      <c r="A364" s="377">
        <f t="shared" si="47"/>
        <v>350</v>
      </c>
      <c r="B364" s="378" t="s">
        <v>383</v>
      </c>
      <c r="C364" s="378" t="s">
        <v>487</v>
      </c>
      <c r="D364" s="379">
        <v>42885</v>
      </c>
      <c r="E364" s="380">
        <v>1195.95</v>
      </c>
      <c r="F364" s="379">
        <v>42856</v>
      </c>
      <c r="G364" s="379">
        <v>42863</v>
      </c>
      <c r="H364" s="381">
        <f t="shared" si="48"/>
        <v>3.5</v>
      </c>
      <c r="I364" s="379">
        <v>42891</v>
      </c>
      <c r="J364" s="382">
        <f t="shared" si="49"/>
        <v>28</v>
      </c>
      <c r="K364" s="382">
        <f t="shared" si="45"/>
        <v>31.5</v>
      </c>
      <c r="L364" s="315">
        <f t="shared" si="46"/>
        <v>37672.43</v>
      </c>
      <c r="N364" s="383">
        <f t="shared" si="50"/>
        <v>3.5</v>
      </c>
      <c r="O364" s="383">
        <f t="shared" si="51"/>
        <v>28</v>
      </c>
      <c r="P364" s="383">
        <f t="shared" si="52"/>
        <v>31.5</v>
      </c>
      <c r="Q364" s="384">
        <f t="shared" si="53"/>
        <v>37672.425000000003</v>
      </c>
    </row>
    <row r="365" spans="1:17">
      <c r="A365" s="377">
        <f t="shared" si="47"/>
        <v>351</v>
      </c>
      <c r="B365" s="378" t="s">
        <v>383</v>
      </c>
      <c r="C365" s="378" t="s">
        <v>488</v>
      </c>
      <c r="D365" s="379">
        <v>43068</v>
      </c>
      <c r="E365" s="380">
        <v>439.14</v>
      </c>
      <c r="F365" s="379">
        <v>43053</v>
      </c>
      <c r="G365" s="379">
        <v>43061</v>
      </c>
      <c r="H365" s="381">
        <f t="shared" si="48"/>
        <v>4</v>
      </c>
      <c r="I365" s="379">
        <v>43070</v>
      </c>
      <c r="J365" s="382">
        <f t="shared" si="49"/>
        <v>9</v>
      </c>
      <c r="K365" s="382">
        <f t="shared" si="45"/>
        <v>13</v>
      </c>
      <c r="L365" s="315">
        <f t="shared" si="46"/>
        <v>5708.82</v>
      </c>
      <c r="N365" s="383">
        <f t="shared" si="50"/>
        <v>4</v>
      </c>
      <c r="O365" s="383">
        <f t="shared" si="51"/>
        <v>9</v>
      </c>
      <c r="P365" s="383">
        <f t="shared" si="52"/>
        <v>13</v>
      </c>
      <c r="Q365" s="384">
        <f t="shared" si="53"/>
        <v>5708.82</v>
      </c>
    </row>
    <row r="366" spans="1:17">
      <c r="A366" s="377">
        <f t="shared" si="47"/>
        <v>352</v>
      </c>
      <c r="B366" s="378" t="s">
        <v>376</v>
      </c>
      <c r="C366" s="378" t="s">
        <v>489</v>
      </c>
      <c r="D366" s="379">
        <v>43039</v>
      </c>
      <c r="E366" s="380">
        <v>144.58000000000001</v>
      </c>
      <c r="F366" s="379">
        <v>43017</v>
      </c>
      <c r="G366" s="379">
        <v>43031</v>
      </c>
      <c r="H366" s="381">
        <f t="shared" si="48"/>
        <v>7</v>
      </c>
      <c r="I366" s="379">
        <v>43080</v>
      </c>
      <c r="J366" s="382">
        <f t="shared" si="49"/>
        <v>49</v>
      </c>
      <c r="K366" s="382">
        <f t="shared" si="45"/>
        <v>56</v>
      </c>
      <c r="L366" s="315">
        <f t="shared" si="46"/>
        <v>8096.48</v>
      </c>
      <c r="N366" s="383">
        <f t="shared" si="50"/>
        <v>7</v>
      </c>
      <c r="O366" s="383">
        <f t="shared" si="51"/>
        <v>49</v>
      </c>
      <c r="P366" s="383">
        <f t="shared" si="52"/>
        <v>56</v>
      </c>
      <c r="Q366" s="384">
        <f t="shared" si="53"/>
        <v>8096.4800000000005</v>
      </c>
    </row>
    <row r="367" spans="1:17">
      <c r="A367" s="377">
        <f t="shared" si="47"/>
        <v>353</v>
      </c>
      <c r="B367" s="378" t="s">
        <v>490</v>
      </c>
      <c r="C367" s="378" t="s">
        <v>489</v>
      </c>
      <c r="D367" s="379">
        <v>43082</v>
      </c>
      <c r="E367" s="380">
        <v>53797.369999999995</v>
      </c>
      <c r="F367" s="379">
        <v>43045</v>
      </c>
      <c r="G367" s="379"/>
      <c r="H367" s="381">
        <f t="shared" si="48"/>
        <v>0</v>
      </c>
      <c r="I367" s="379">
        <v>43091</v>
      </c>
      <c r="J367" s="382">
        <f t="shared" si="49"/>
        <v>46</v>
      </c>
      <c r="K367" s="382">
        <f t="shared" si="45"/>
        <v>46</v>
      </c>
      <c r="L367" s="315">
        <f t="shared" si="46"/>
        <v>2474679.02</v>
      </c>
      <c r="N367" s="383">
        <f t="shared" si="50"/>
        <v>15</v>
      </c>
      <c r="O367" s="383">
        <f t="shared" si="51"/>
        <v>46</v>
      </c>
      <c r="P367" s="383">
        <f t="shared" si="52"/>
        <v>61</v>
      </c>
      <c r="Q367" s="384">
        <f t="shared" si="53"/>
        <v>3281639.57</v>
      </c>
    </row>
    <row r="368" spans="1:17">
      <c r="A368" s="377">
        <f t="shared" si="47"/>
        <v>354</v>
      </c>
      <c r="B368" s="378" t="s">
        <v>491</v>
      </c>
      <c r="C368" s="378" t="s">
        <v>489</v>
      </c>
      <c r="D368" s="379">
        <v>43097</v>
      </c>
      <c r="E368" s="380">
        <v>62580</v>
      </c>
      <c r="F368" s="379">
        <v>43087</v>
      </c>
      <c r="G368" s="379"/>
      <c r="H368" s="381">
        <f t="shared" si="48"/>
        <v>0</v>
      </c>
      <c r="I368" s="379">
        <v>43123</v>
      </c>
      <c r="J368" s="382">
        <f t="shared" si="49"/>
        <v>36</v>
      </c>
      <c r="K368" s="382">
        <f t="shared" si="45"/>
        <v>36</v>
      </c>
      <c r="L368" s="315">
        <f t="shared" si="46"/>
        <v>2252880</v>
      </c>
      <c r="N368" s="383">
        <f t="shared" si="50"/>
        <v>15</v>
      </c>
      <c r="O368" s="383">
        <f t="shared" si="51"/>
        <v>36</v>
      </c>
      <c r="P368" s="383">
        <f t="shared" si="52"/>
        <v>51</v>
      </c>
      <c r="Q368" s="384">
        <f t="shared" si="53"/>
        <v>3191580</v>
      </c>
    </row>
    <row r="369" spans="1:17">
      <c r="A369" s="377">
        <f t="shared" si="47"/>
        <v>355</v>
      </c>
      <c r="B369" s="378" t="s">
        <v>383</v>
      </c>
      <c r="C369" s="378" t="s">
        <v>489</v>
      </c>
      <c r="D369" s="379">
        <v>43035</v>
      </c>
      <c r="E369" s="380">
        <v>640.03</v>
      </c>
      <c r="F369" s="379">
        <v>43010</v>
      </c>
      <c r="G369" s="379">
        <v>43027</v>
      </c>
      <c r="H369" s="381">
        <f t="shared" si="48"/>
        <v>8.5</v>
      </c>
      <c r="I369" s="379">
        <v>43042</v>
      </c>
      <c r="J369" s="382">
        <f t="shared" si="49"/>
        <v>15</v>
      </c>
      <c r="K369" s="382">
        <f t="shared" si="45"/>
        <v>23.5</v>
      </c>
      <c r="L369" s="315">
        <f t="shared" si="46"/>
        <v>15040.71</v>
      </c>
      <c r="N369" s="383">
        <f t="shared" si="50"/>
        <v>8.5</v>
      </c>
      <c r="O369" s="383">
        <f t="shared" si="51"/>
        <v>15</v>
      </c>
      <c r="P369" s="383">
        <f t="shared" si="52"/>
        <v>23.5</v>
      </c>
      <c r="Q369" s="384">
        <f t="shared" si="53"/>
        <v>15040.705</v>
      </c>
    </row>
    <row r="370" spans="1:17">
      <c r="A370" s="377">
        <f t="shared" si="47"/>
        <v>356</v>
      </c>
      <c r="B370" s="378" t="s">
        <v>454</v>
      </c>
      <c r="C370" s="378" t="s">
        <v>489</v>
      </c>
      <c r="D370" s="379">
        <v>43032</v>
      </c>
      <c r="E370" s="380">
        <v>9333</v>
      </c>
      <c r="F370" s="379">
        <v>43028</v>
      </c>
      <c r="G370" s="379"/>
      <c r="H370" s="381">
        <f t="shared" si="48"/>
        <v>0</v>
      </c>
      <c r="I370" s="379">
        <v>43063</v>
      </c>
      <c r="J370" s="382">
        <f t="shared" si="49"/>
        <v>35</v>
      </c>
      <c r="K370" s="382">
        <f t="shared" si="45"/>
        <v>35</v>
      </c>
      <c r="L370" s="315">
        <f t="shared" si="46"/>
        <v>326655</v>
      </c>
      <c r="N370" s="383">
        <f t="shared" si="50"/>
        <v>15</v>
      </c>
      <c r="O370" s="383">
        <f t="shared" si="51"/>
        <v>35</v>
      </c>
      <c r="P370" s="383">
        <f t="shared" si="52"/>
        <v>50</v>
      </c>
      <c r="Q370" s="384">
        <f t="shared" si="53"/>
        <v>466650</v>
      </c>
    </row>
    <row r="371" spans="1:17">
      <c r="A371" s="377">
        <f t="shared" si="47"/>
        <v>357</v>
      </c>
      <c r="B371" s="378" t="s">
        <v>435</v>
      </c>
      <c r="C371" s="378" t="s">
        <v>489</v>
      </c>
      <c r="D371" s="379">
        <v>43038</v>
      </c>
      <c r="E371" s="380">
        <v>4880</v>
      </c>
      <c r="F371" s="379">
        <v>43037</v>
      </c>
      <c r="G371" s="379"/>
      <c r="H371" s="381">
        <f t="shared" si="48"/>
        <v>0</v>
      </c>
      <c r="I371" s="379">
        <v>43069</v>
      </c>
      <c r="J371" s="382">
        <f t="shared" si="49"/>
        <v>32</v>
      </c>
      <c r="K371" s="382">
        <f t="shared" si="45"/>
        <v>32</v>
      </c>
      <c r="L371" s="315">
        <f t="shared" si="46"/>
        <v>156160</v>
      </c>
      <c r="N371" s="383">
        <f t="shared" si="50"/>
        <v>15</v>
      </c>
      <c r="O371" s="383">
        <f t="shared" si="51"/>
        <v>32</v>
      </c>
      <c r="P371" s="383">
        <f t="shared" si="52"/>
        <v>47</v>
      </c>
      <c r="Q371" s="384">
        <f t="shared" si="53"/>
        <v>229360</v>
      </c>
    </row>
    <row r="372" spans="1:17">
      <c r="A372" s="377">
        <f t="shared" si="47"/>
        <v>358</v>
      </c>
      <c r="B372" s="378" t="s">
        <v>492</v>
      </c>
      <c r="C372" s="378" t="s">
        <v>489</v>
      </c>
      <c r="D372" s="379">
        <v>43026</v>
      </c>
      <c r="E372" s="380">
        <v>3850</v>
      </c>
      <c r="F372" s="379">
        <v>43020</v>
      </c>
      <c r="G372" s="379"/>
      <c r="H372" s="381">
        <f t="shared" si="48"/>
        <v>0</v>
      </c>
      <c r="I372" s="379">
        <v>43060</v>
      </c>
      <c r="J372" s="382">
        <f t="shared" si="49"/>
        <v>40</v>
      </c>
      <c r="K372" s="382">
        <f t="shared" si="45"/>
        <v>40</v>
      </c>
      <c r="L372" s="315">
        <f t="shared" si="46"/>
        <v>154000</v>
      </c>
      <c r="N372" s="383">
        <f t="shared" si="50"/>
        <v>15</v>
      </c>
      <c r="O372" s="383">
        <f t="shared" si="51"/>
        <v>40</v>
      </c>
      <c r="P372" s="383">
        <f t="shared" si="52"/>
        <v>55</v>
      </c>
      <c r="Q372" s="384">
        <f t="shared" si="53"/>
        <v>211750</v>
      </c>
    </row>
    <row r="373" spans="1:17">
      <c r="A373" s="377">
        <f t="shared" si="47"/>
        <v>359</v>
      </c>
      <c r="B373" s="378" t="s">
        <v>493</v>
      </c>
      <c r="C373" s="378" t="s">
        <v>489</v>
      </c>
      <c r="D373" s="379">
        <v>43021</v>
      </c>
      <c r="E373" s="380">
        <v>74.739999999999995</v>
      </c>
      <c r="F373" s="379">
        <v>43021</v>
      </c>
      <c r="G373" s="379"/>
      <c r="H373" s="381">
        <f t="shared" si="48"/>
        <v>0</v>
      </c>
      <c r="I373" s="379">
        <v>43048</v>
      </c>
      <c r="J373" s="382">
        <f t="shared" si="49"/>
        <v>27</v>
      </c>
      <c r="K373" s="382">
        <f t="shared" si="45"/>
        <v>27</v>
      </c>
      <c r="L373" s="315">
        <f t="shared" si="46"/>
        <v>2017.98</v>
      </c>
      <c r="N373" s="383">
        <f t="shared" si="50"/>
        <v>15</v>
      </c>
      <c r="O373" s="383">
        <f t="shared" si="51"/>
        <v>27</v>
      </c>
      <c r="P373" s="383">
        <f t="shared" si="52"/>
        <v>42</v>
      </c>
      <c r="Q373" s="384">
        <f t="shared" si="53"/>
        <v>3139.08</v>
      </c>
    </row>
    <row r="374" spans="1:17">
      <c r="A374" s="377">
        <f t="shared" si="47"/>
        <v>360</v>
      </c>
      <c r="B374" s="378" t="s">
        <v>494</v>
      </c>
      <c r="C374" s="378" t="s">
        <v>489</v>
      </c>
      <c r="D374" s="379">
        <v>43066</v>
      </c>
      <c r="E374" s="380">
        <v>8430</v>
      </c>
      <c r="F374" s="379">
        <v>43066</v>
      </c>
      <c r="G374" s="379"/>
      <c r="H374" s="381">
        <f t="shared" si="48"/>
        <v>0</v>
      </c>
      <c r="I374" s="379">
        <v>43097</v>
      </c>
      <c r="J374" s="382">
        <f t="shared" si="49"/>
        <v>31</v>
      </c>
      <c r="K374" s="382">
        <f t="shared" si="45"/>
        <v>31</v>
      </c>
      <c r="L374" s="315">
        <f t="shared" si="46"/>
        <v>261330</v>
      </c>
      <c r="N374" s="383">
        <f t="shared" si="50"/>
        <v>15</v>
      </c>
      <c r="O374" s="383">
        <f t="shared" si="51"/>
        <v>31</v>
      </c>
      <c r="P374" s="383">
        <f t="shared" si="52"/>
        <v>46</v>
      </c>
      <c r="Q374" s="384">
        <f t="shared" si="53"/>
        <v>387780</v>
      </c>
    </row>
    <row r="375" spans="1:17">
      <c r="A375" s="377">
        <f t="shared" si="47"/>
        <v>361</v>
      </c>
      <c r="B375" s="378" t="s">
        <v>495</v>
      </c>
      <c r="C375" s="378" t="s">
        <v>489</v>
      </c>
      <c r="D375" s="379">
        <v>42915</v>
      </c>
      <c r="E375" s="380">
        <v>52500</v>
      </c>
      <c r="F375" s="379">
        <v>42915</v>
      </c>
      <c r="G375" s="379"/>
      <c r="H375" s="381">
        <f t="shared" si="48"/>
        <v>0</v>
      </c>
      <c r="I375" s="379">
        <v>42947</v>
      </c>
      <c r="J375" s="382">
        <f t="shared" si="49"/>
        <v>32</v>
      </c>
      <c r="K375" s="382">
        <f t="shared" si="45"/>
        <v>32</v>
      </c>
      <c r="L375" s="315">
        <f t="shared" si="46"/>
        <v>1680000</v>
      </c>
      <c r="N375" s="383">
        <f t="shared" si="50"/>
        <v>15</v>
      </c>
      <c r="O375" s="383">
        <f t="shared" si="51"/>
        <v>32</v>
      </c>
      <c r="P375" s="383">
        <f t="shared" si="52"/>
        <v>47</v>
      </c>
      <c r="Q375" s="384">
        <f t="shared" si="53"/>
        <v>2467500</v>
      </c>
    </row>
    <row r="376" spans="1:17">
      <c r="A376" s="377">
        <f t="shared" si="47"/>
        <v>362</v>
      </c>
      <c r="B376" s="378" t="s">
        <v>454</v>
      </c>
      <c r="C376" s="378" t="s">
        <v>489</v>
      </c>
      <c r="D376" s="379">
        <v>43069</v>
      </c>
      <c r="E376" s="380">
        <v>133319</v>
      </c>
      <c r="F376" s="379">
        <v>43068</v>
      </c>
      <c r="G376" s="379"/>
      <c r="H376" s="381">
        <f t="shared" si="48"/>
        <v>0</v>
      </c>
      <c r="I376" s="379">
        <v>43102</v>
      </c>
      <c r="J376" s="382">
        <f t="shared" si="49"/>
        <v>34</v>
      </c>
      <c r="K376" s="382">
        <f t="shared" si="45"/>
        <v>34</v>
      </c>
      <c r="L376" s="315">
        <f t="shared" si="46"/>
        <v>4532846</v>
      </c>
      <c r="N376" s="383">
        <f t="shared" si="50"/>
        <v>15</v>
      </c>
      <c r="O376" s="383">
        <f t="shared" si="51"/>
        <v>34</v>
      </c>
      <c r="P376" s="383">
        <f t="shared" si="52"/>
        <v>49</v>
      </c>
      <c r="Q376" s="384">
        <f t="shared" si="53"/>
        <v>6532631</v>
      </c>
    </row>
    <row r="377" spans="1:17">
      <c r="A377" s="377">
        <f t="shared" si="47"/>
        <v>363</v>
      </c>
      <c r="B377" s="378" t="s">
        <v>396</v>
      </c>
      <c r="C377" s="378" t="s">
        <v>489</v>
      </c>
      <c r="D377" s="379">
        <v>42958</v>
      </c>
      <c r="E377" s="380">
        <v>85.88</v>
      </c>
      <c r="F377" s="379">
        <v>42957</v>
      </c>
      <c r="G377" s="379"/>
      <c r="H377" s="381">
        <f t="shared" si="48"/>
        <v>0</v>
      </c>
      <c r="I377" s="379">
        <v>42975</v>
      </c>
      <c r="J377" s="382">
        <f t="shared" si="49"/>
        <v>18</v>
      </c>
      <c r="K377" s="382">
        <f t="shared" si="45"/>
        <v>18</v>
      </c>
      <c r="L377" s="315">
        <f t="shared" si="46"/>
        <v>1545.84</v>
      </c>
      <c r="N377" s="383">
        <f t="shared" si="50"/>
        <v>15</v>
      </c>
      <c r="O377" s="383">
        <f t="shared" si="51"/>
        <v>18</v>
      </c>
      <c r="P377" s="383">
        <f t="shared" si="52"/>
        <v>33</v>
      </c>
      <c r="Q377" s="384">
        <f t="shared" si="53"/>
        <v>2834.04</v>
      </c>
    </row>
    <row r="378" spans="1:17">
      <c r="A378" s="377">
        <f t="shared" si="47"/>
        <v>364</v>
      </c>
      <c r="B378" s="378" t="s">
        <v>496</v>
      </c>
      <c r="C378" s="378" t="s">
        <v>489</v>
      </c>
      <c r="D378" s="379">
        <v>42958</v>
      </c>
      <c r="E378" s="380">
        <v>795.99</v>
      </c>
      <c r="F378" s="379">
        <v>42958</v>
      </c>
      <c r="G378" s="379"/>
      <c r="H378" s="381">
        <f t="shared" si="48"/>
        <v>0</v>
      </c>
      <c r="I378" s="379">
        <v>42989</v>
      </c>
      <c r="J378" s="382">
        <f t="shared" si="49"/>
        <v>31</v>
      </c>
      <c r="K378" s="382">
        <f t="shared" si="45"/>
        <v>31</v>
      </c>
      <c r="L378" s="315">
        <f t="shared" si="46"/>
        <v>24675.69</v>
      </c>
      <c r="N378" s="383">
        <f t="shared" si="50"/>
        <v>15</v>
      </c>
      <c r="O378" s="383">
        <f t="shared" si="51"/>
        <v>31</v>
      </c>
      <c r="P378" s="383">
        <f t="shared" si="52"/>
        <v>46</v>
      </c>
      <c r="Q378" s="384">
        <f t="shared" si="53"/>
        <v>36615.54</v>
      </c>
    </row>
    <row r="379" spans="1:17">
      <c r="A379" s="377">
        <f t="shared" si="47"/>
        <v>365</v>
      </c>
      <c r="B379" s="378" t="s">
        <v>497</v>
      </c>
      <c r="C379" s="378" t="s">
        <v>489</v>
      </c>
      <c r="D379" s="379">
        <v>42991</v>
      </c>
      <c r="E379" s="380">
        <v>204.44</v>
      </c>
      <c r="F379" s="379">
        <v>42991</v>
      </c>
      <c r="G379" s="379"/>
      <c r="H379" s="381">
        <f t="shared" si="48"/>
        <v>0</v>
      </c>
      <c r="I379" s="379">
        <v>43028</v>
      </c>
      <c r="J379" s="382">
        <f t="shared" si="49"/>
        <v>37</v>
      </c>
      <c r="K379" s="382">
        <f t="shared" si="45"/>
        <v>37</v>
      </c>
      <c r="L379" s="315">
        <f t="shared" si="46"/>
        <v>7564.28</v>
      </c>
      <c r="N379" s="383">
        <f t="shared" si="50"/>
        <v>15</v>
      </c>
      <c r="O379" s="383">
        <f t="shared" si="51"/>
        <v>37</v>
      </c>
      <c r="P379" s="383">
        <f t="shared" si="52"/>
        <v>52</v>
      </c>
      <c r="Q379" s="384">
        <f t="shared" si="53"/>
        <v>10630.88</v>
      </c>
    </row>
    <row r="380" spans="1:17">
      <c r="A380" s="377">
        <f t="shared" si="47"/>
        <v>366</v>
      </c>
      <c r="B380" s="378" t="s">
        <v>376</v>
      </c>
      <c r="C380" s="378" t="s">
        <v>498</v>
      </c>
      <c r="D380" s="379">
        <v>43039</v>
      </c>
      <c r="E380" s="380">
        <v>2.31</v>
      </c>
      <c r="F380" s="379">
        <v>43028</v>
      </c>
      <c r="G380" s="379"/>
      <c r="H380" s="381">
        <f t="shared" si="48"/>
        <v>0</v>
      </c>
      <c r="I380" s="379">
        <v>43080</v>
      </c>
      <c r="J380" s="382">
        <f t="shared" si="49"/>
        <v>52</v>
      </c>
      <c r="K380" s="382">
        <f t="shared" si="45"/>
        <v>52</v>
      </c>
      <c r="L380" s="315">
        <f t="shared" si="46"/>
        <v>120.12</v>
      </c>
      <c r="N380" s="383">
        <f t="shared" si="50"/>
        <v>15</v>
      </c>
      <c r="O380" s="383">
        <f t="shared" si="51"/>
        <v>52</v>
      </c>
      <c r="P380" s="383">
        <f t="shared" si="52"/>
        <v>67</v>
      </c>
      <c r="Q380" s="384">
        <f t="shared" si="53"/>
        <v>154.77000000000001</v>
      </c>
    </row>
    <row r="381" spans="1:17">
      <c r="A381" s="377">
        <f t="shared" si="47"/>
        <v>367</v>
      </c>
      <c r="B381" s="378" t="s">
        <v>383</v>
      </c>
      <c r="C381" s="378" t="s">
        <v>498</v>
      </c>
      <c r="D381" s="379">
        <v>43005</v>
      </c>
      <c r="E381" s="380">
        <v>313.27999999999997</v>
      </c>
      <c r="F381" s="379">
        <v>42975</v>
      </c>
      <c r="G381" s="379">
        <v>43000</v>
      </c>
      <c r="H381" s="381">
        <f t="shared" si="48"/>
        <v>12.5</v>
      </c>
      <c r="I381" s="379">
        <v>43012</v>
      </c>
      <c r="J381" s="382">
        <f t="shared" si="49"/>
        <v>12</v>
      </c>
      <c r="K381" s="382">
        <f t="shared" si="45"/>
        <v>24.5</v>
      </c>
      <c r="L381" s="315">
        <f t="shared" si="46"/>
        <v>7675.36</v>
      </c>
      <c r="N381" s="383">
        <f t="shared" si="50"/>
        <v>12.5</v>
      </c>
      <c r="O381" s="383">
        <f t="shared" si="51"/>
        <v>12</v>
      </c>
      <c r="P381" s="383">
        <f t="shared" si="52"/>
        <v>24.5</v>
      </c>
      <c r="Q381" s="384">
        <f t="shared" si="53"/>
        <v>7675.36</v>
      </c>
    </row>
    <row r="382" spans="1:17">
      <c r="A382" s="377">
        <f t="shared" si="47"/>
        <v>368</v>
      </c>
      <c r="B382" s="378" t="s">
        <v>499</v>
      </c>
      <c r="C382" s="378" t="s">
        <v>500</v>
      </c>
      <c r="D382" s="379">
        <v>42739</v>
      </c>
      <c r="E382" s="380">
        <v>135000</v>
      </c>
      <c r="F382" s="379">
        <v>42708</v>
      </c>
      <c r="G382" s="379">
        <v>42738</v>
      </c>
      <c r="H382" s="381">
        <f t="shared" si="48"/>
        <v>15</v>
      </c>
      <c r="I382" s="379">
        <v>42772</v>
      </c>
      <c r="J382" s="382">
        <f t="shared" si="49"/>
        <v>34</v>
      </c>
      <c r="K382" s="382">
        <f t="shared" si="45"/>
        <v>49</v>
      </c>
      <c r="L382" s="315">
        <f t="shared" si="46"/>
        <v>6615000</v>
      </c>
      <c r="N382" s="383">
        <f t="shared" si="50"/>
        <v>15</v>
      </c>
      <c r="O382" s="383">
        <f t="shared" si="51"/>
        <v>34</v>
      </c>
      <c r="P382" s="383">
        <f t="shared" si="52"/>
        <v>49</v>
      </c>
      <c r="Q382" s="384">
        <f t="shared" si="53"/>
        <v>6615000</v>
      </c>
    </row>
    <row r="383" spans="1:17">
      <c r="A383" s="377">
        <f t="shared" si="47"/>
        <v>369</v>
      </c>
      <c r="B383" s="378" t="s">
        <v>499</v>
      </c>
      <c r="C383" s="378" t="s">
        <v>500</v>
      </c>
      <c r="D383" s="379">
        <v>42772</v>
      </c>
      <c r="E383" s="380">
        <v>135000</v>
      </c>
      <c r="F383" s="379">
        <v>42739</v>
      </c>
      <c r="G383" s="379">
        <v>42769</v>
      </c>
      <c r="H383" s="381">
        <f t="shared" si="48"/>
        <v>15</v>
      </c>
      <c r="I383" s="379">
        <v>42803</v>
      </c>
      <c r="J383" s="382">
        <f t="shared" si="49"/>
        <v>34</v>
      </c>
      <c r="K383" s="382">
        <f t="shared" si="45"/>
        <v>49</v>
      </c>
      <c r="L383" s="315">
        <f t="shared" si="46"/>
        <v>6615000</v>
      </c>
      <c r="N383" s="383">
        <f t="shared" si="50"/>
        <v>15</v>
      </c>
      <c r="O383" s="383">
        <f t="shared" si="51"/>
        <v>34</v>
      </c>
      <c r="P383" s="383">
        <f t="shared" si="52"/>
        <v>49</v>
      </c>
      <c r="Q383" s="384">
        <f t="shared" si="53"/>
        <v>6615000</v>
      </c>
    </row>
    <row r="384" spans="1:17">
      <c r="A384" s="377">
        <f t="shared" si="47"/>
        <v>370</v>
      </c>
      <c r="B384" s="378" t="s">
        <v>499</v>
      </c>
      <c r="C384" s="378" t="s">
        <v>500</v>
      </c>
      <c r="D384" s="379">
        <v>42797</v>
      </c>
      <c r="E384" s="380">
        <v>135000</v>
      </c>
      <c r="F384" s="379">
        <v>42770</v>
      </c>
      <c r="G384" s="379">
        <v>42797</v>
      </c>
      <c r="H384" s="381">
        <f t="shared" si="48"/>
        <v>13.5</v>
      </c>
      <c r="I384" s="379">
        <v>42828</v>
      </c>
      <c r="J384" s="382">
        <f t="shared" si="49"/>
        <v>31</v>
      </c>
      <c r="K384" s="382">
        <f t="shared" si="45"/>
        <v>44.5</v>
      </c>
      <c r="L384" s="315">
        <f t="shared" si="46"/>
        <v>6007500</v>
      </c>
      <c r="N384" s="383">
        <f t="shared" si="50"/>
        <v>13.5</v>
      </c>
      <c r="O384" s="383">
        <f t="shared" si="51"/>
        <v>31</v>
      </c>
      <c r="P384" s="383">
        <f t="shared" si="52"/>
        <v>44.5</v>
      </c>
      <c r="Q384" s="384">
        <f t="shared" si="53"/>
        <v>6007500</v>
      </c>
    </row>
    <row r="385" spans="1:17">
      <c r="A385" s="377">
        <f t="shared" si="47"/>
        <v>371</v>
      </c>
      <c r="B385" s="378" t="s">
        <v>499</v>
      </c>
      <c r="C385" s="378" t="s">
        <v>500</v>
      </c>
      <c r="D385" s="379">
        <v>42828</v>
      </c>
      <c r="E385" s="380">
        <v>135000</v>
      </c>
      <c r="F385" s="379">
        <v>42798</v>
      </c>
      <c r="G385" s="379">
        <v>42828</v>
      </c>
      <c r="H385" s="381">
        <f t="shared" si="48"/>
        <v>15</v>
      </c>
      <c r="I385" s="379">
        <v>42859</v>
      </c>
      <c r="J385" s="382">
        <f t="shared" si="49"/>
        <v>31</v>
      </c>
      <c r="K385" s="382">
        <f t="shared" si="45"/>
        <v>46</v>
      </c>
      <c r="L385" s="315">
        <f t="shared" si="46"/>
        <v>6210000</v>
      </c>
      <c r="N385" s="383">
        <f t="shared" si="50"/>
        <v>15</v>
      </c>
      <c r="O385" s="383">
        <f t="shared" si="51"/>
        <v>31</v>
      </c>
      <c r="P385" s="383">
        <f t="shared" si="52"/>
        <v>46</v>
      </c>
      <c r="Q385" s="384">
        <f t="shared" si="53"/>
        <v>6210000</v>
      </c>
    </row>
    <row r="386" spans="1:17">
      <c r="A386" s="377">
        <f t="shared" si="47"/>
        <v>372</v>
      </c>
      <c r="B386" s="378" t="s">
        <v>499</v>
      </c>
      <c r="C386" s="378" t="s">
        <v>500</v>
      </c>
      <c r="D386" s="379">
        <v>42851</v>
      </c>
      <c r="E386" s="380">
        <v>101250</v>
      </c>
      <c r="F386" s="379">
        <v>42829</v>
      </c>
      <c r="G386" s="379">
        <v>42849</v>
      </c>
      <c r="H386" s="381">
        <f t="shared" si="48"/>
        <v>10</v>
      </c>
      <c r="I386" s="379">
        <v>42885</v>
      </c>
      <c r="J386" s="382">
        <f t="shared" si="49"/>
        <v>36</v>
      </c>
      <c r="K386" s="382">
        <f t="shared" si="45"/>
        <v>46</v>
      </c>
      <c r="L386" s="315">
        <f t="shared" si="46"/>
        <v>4657500</v>
      </c>
      <c r="N386" s="383">
        <f t="shared" si="50"/>
        <v>10</v>
      </c>
      <c r="O386" s="383">
        <f t="shared" si="51"/>
        <v>36</v>
      </c>
      <c r="P386" s="383">
        <f t="shared" si="52"/>
        <v>46</v>
      </c>
      <c r="Q386" s="384">
        <f t="shared" si="53"/>
        <v>4657500</v>
      </c>
    </row>
    <row r="387" spans="1:17">
      <c r="A387" s="377">
        <f t="shared" si="47"/>
        <v>373</v>
      </c>
      <c r="B387" s="378" t="s">
        <v>501</v>
      </c>
      <c r="C387" s="378" t="s">
        <v>500</v>
      </c>
      <c r="D387" s="379">
        <v>42907</v>
      </c>
      <c r="E387" s="380">
        <v>226.87</v>
      </c>
      <c r="F387" s="379">
        <v>42875</v>
      </c>
      <c r="G387" s="379">
        <v>42906</v>
      </c>
      <c r="H387" s="381">
        <f t="shared" si="48"/>
        <v>15.5</v>
      </c>
      <c r="I387" s="379">
        <v>42941</v>
      </c>
      <c r="J387" s="382">
        <f t="shared" si="49"/>
        <v>35</v>
      </c>
      <c r="K387" s="382">
        <f t="shared" si="45"/>
        <v>50.5</v>
      </c>
      <c r="L387" s="315">
        <f t="shared" si="46"/>
        <v>11456.94</v>
      </c>
      <c r="N387" s="383">
        <f t="shared" si="50"/>
        <v>15.5</v>
      </c>
      <c r="O387" s="383">
        <f t="shared" si="51"/>
        <v>35</v>
      </c>
      <c r="P387" s="383">
        <f t="shared" si="52"/>
        <v>50.5</v>
      </c>
      <c r="Q387" s="384">
        <f t="shared" si="53"/>
        <v>11456.934999999999</v>
      </c>
    </row>
    <row r="388" spans="1:17">
      <c r="A388" s="377">
        <f t="shared" si="47"/>
        <v>374</v>
      </c>
      <c r="B388" s="378" t="s">
        <v>502</v>
      </c>
      <c r="C388" s="378" t="s">
        <v>503</v>
      </c>
      <c r="D388" s="379">
        <v>43076</v>
      </c>
      <c r="E388" s="380">
        <v>132.28</v>
      </c>
      <c r="F388" s="379">
        <v>43072</v>
      </c>
      <c r="G388" s="379"/>
      <c r="H388" s="381">
        <f t="shared" si="48"/>
        <v>0</v>
      </c>
      <c r="I388" s="379">
        <v>43083</v>
      </c>
      <c r="J388" s="382">
        <f t="shared" si="49"/>
        <v>11</v>
      </c>
      <c r="K388" s="382">
        <f t="shared" si="45"/>
        <v>11</v>
      </c>
      <c r="L388" s="315">
        <f t="shared" si="46"/>
        <v>1455.08</v>
      </c>
      <c r="N388" s="383">
        <f t="shared" si="50"/>
        <v>15</v>
      </c>
      <c r="O388" s="383">
        <f t="shared" si="51"/>
        <v>11</v>
      </c>
      <c r="P388" s="383">
        <f t="shared" si="52"/>
        <v>26</v>
      </c>
      <c r="Q388" s="384">
        <f t="shared" si="53"/>
        <v>3439.28</v>
      </c>
    </row>
    <row r="389" spans="1:17">
      <c r="A389" s="377">
        <f t="shared" si="47"/>
        <v>375</v>
      </c>
      <c r="B389" s="378" t="s">
        <v>504</v>
      </c>
      <c r="C389" s="378" t="s">
        <v>503</v>
      </c>
      <c r="D389" s="379">
        <v>43007</v>
      </c>
      <c r="E389" s="380">
        <v>130.08000000000001</v>
      </c>
      <c r="F389" s="379">
        <v>42999</v>
      </c>
      <c r="G389" s="379"/>
      <c r="H389" s="381">
        <f t="shared" si="48"/>
        <v>0</v>
      </c>
      <c r="I389" s="379">
        <v>43027</v>
      </c>
      <c r="J389" s="382">
        <f t="shared" si="49"/>
        <v>28</v>
      </c>
      <c r="K389" s="382">
        <f t="shared" si="45"/>
        <v>28</v>
      </c>
      <c r="L389" s="315">
        <f t="shared" si="46"/>
        <v>3642.24</v>
      </c>
      <c r="N389" s="383">
        <f t="shared" si="50"/>
        <v>15</v>
      </c>
      <c r="O389" s="383">
        <f t="shared" si="51"/>
        <v>28</v>
      </c>
      <c r="P389" s="383">
        <f t="shared" si="52"/>
        <v>43</v>
      </c>
      <c r="Q389" s="384">
        <f t="shared" si="53"/>
        <v>5593.4400000000005</v>
      </c>
    </row>
    <row r="390" spans="1:17">
      <c r="A390" s="377">
        <f t="shared" si="47"/>
        <v>376</v>
      </c>
      <c r="B390" s="378" t="s">
        <v>505</v>
      </c>
      <c r="C390" s="378" t="s">
        <v>506</v>
      </c>
      <c r="D390" s="379">
        <v>42767</v>
      </c>
      <c r="E390" s="380">
        <v>187.14</v>
      </c>
      <c r="F390" s="379">
        <v>42738</v>
      </c>
      <c r="G390" s="379">
        <v>42767</v>
      </c>
      <c r="H390" s="381">
        <f t="shared" si="48"/>
        <v>14.5</v>
      </c>
      <c r="I390" s="379">
        <v>42788</v>
      </c>
      <c r="J390" s="382">
        <f t="shared" si="49"/>
        <v>21</v>
      </c>
      <c r="K390" s="382">
        <f t="shared" si="45"/>
        <v>35.5</v>
      </c>
      <c r="L390" s="315">
        <f t="shared" si="46"/>
        <v>6643.47</v>
      </c>
      <c r="N390" s="383">
        <f t="shared" si="50"/>
        <v>14.5</v>
      </c>
      <c r="O390" s="383">
        <f t="shared" si="51"/>
        <v>21</v>
      </c>
      <c r="P390" s="383">
        <f t="shared" si="52"/>
        <v>35.5</v>
      </c>
      <c r="Q390" s="384">
        <f t="shared" si="53"/>
        <v>6643.4699999999993</v>
      </c>
    </row>
    <row r="391" spans="1:17">
      <c r="A391" s="377">
        <f t="shared" si="47"/>
        <v>377</v>
      </c>
      <c r="B391" s="378" t="s">
        <v>507</v>
      </c>
      <c r="C391" s="378" t="s">
        <v>506</v>
      </c>
      <c r="D391" s="379">
        <v>43032</v>
      </c>
      <c r="E391" s="380">
        <v>19.98</v>
      </c>
      <c r="F391" s="379">
        <v>42979</v>
      </c>
      <c r="G391" s="379">
        <v>43032</v>
      </c>
      <c r="H391" s="381">
        <f t="shared" si="48"/>
        <v>26.5</v>
      </c>
      <c r="I391" s="379">
        <v>43048</v>
      </c>
      <c r="J391" s="382">
        <f t="shared" si="49"/>
        <v>16</v>
      </c>
      <c r="K391" s="382">
        <f t="shared" si="45"/>
        <v>42.5</v>
      </c>
      <c r="L391" s="315">
        <f t="shared" si="46"/>
        <v>849.15</v>
      </c>
      <c r="N391" s="383">
        <f t="shared" si="50"/>
        <v>26.5</v>
      </c>
      <c r="O391" s="383">
        <f t="shared" si="51"/>
        <v>16</v>
      </c>
      <c r="P391" s="383">
        <f t="shared" si="52"/>
        <v>42.5</v>
      </c>
      <c r="Q391" s="384">
        <f t="shared" si="53"/>
        <v>849.15</v>
      </c>
    </row>
    <row r="392" spans="1:17">
      <c r="A392" s="377">
        <f t="shared" si="47"/>
        <v>378</v>
      </c>
      <c r="B392" s="378" t="s">
        <v>508</v>
      </c>
      <c r="C392" s="378" t="s">
        <v>506</v>
      </c>
      <c r="D392" s="379">
        <v>43054</v>
      </c>
      <c r="E392" s="380">
        <v>239.82</v>
      </c>
      <c r="F392" s="379">
        <v>43019</v>
      </c>
      <c r="G392" s="379">
        <v>43049</v>
      </c>
      <c r="H392" s="381">
        <f t="shared" si="48"/>
        <v>15</v>
      </c>
      <c r="I392" s="379">
        <v>43068</v>
      </c>
      <c r="J392" s="382">
        <f t="shared" si="49"/>
        <v>19</v>
      </c>
      <c r="K392" s="382">
        <f t="shared" si="45"/>
        <v>34</v>
      </c>
      <c r="L392" s="315">
        <f t="shared" si="46"/>
        <v>8153.88</v>
      </c>
      <c r="N392" s="383">
        <f t="shared" si="50"/>
        <v>15</v>
      </c>
      <c r="O392" s="383">
        <f t="shared" si="51"/>
        <v>19</v>
      </c>
      <c r="P392" s="383">
        <f t="shared" si="52"/>
        <v>34</v>
      </c>
      <c r="Q392" s="384">
        <f t="shared" si="53"/>
        <v>8153.88</v>
      </c>
    </row>
    <row r="393" spans="1:17">
      <c r="A393" s="377">
        <f t="shared" si="47"/>
        <v>379</v>
      </c>
      <c r="B393" s="378" t="s">
        <v>509</v>
      </c>
      <c r="C393" s="378" t="s">
        <v>506</v>
      </c>
      <c r="D393" s="379">
        <v>42864</v>
      </c>
      <c r="E393" s="380">
        <v>21.9</v>
      </c>
      <c r="F393" s="379">
        <v>42831</v>
      </c>
      <c r="G393" s="379">
        <v>42857</v>
      </c>
      <c r="H393" s="381">
        <f t="shared" si="48"/>
        <v>13</v>
      </c>
      <c r="I393" s="379">
        <v>42878</v>
      </c>
      <c r="J393" s="382">
        <f t="shared" si="49"/>
        <v>21</v>
      </c>
      <c r="K393" s="382">
        <f t="shared" si="45"/>
        <v>34</v>
      </c>
      <c r="L393" s="315">
        <f t="shared" si="46"/>
        <v>744.6</v>
      </c>
      <c r="N393" s="383">
        <f t="shared" si="50"/>
        <v>13</v>
      </c>
      <c r="O393" s="383">
        <f t="shared" si="51"/>
        <v>21</v>
      </c>
      <c r="P393" s="383">
        <f t="shared" si="52"/>
        <v>34</v>
      </c>
      <c r="Q393" s="384">
        <f t="shared" si="53"/>
        <v>744.59999999999991</v>
      </c>
    </row>
    <row r="394" spans="1:17">
      <c r="A394" s="377"/>
      <c r="B394" s="385"/>
      <c r="C394" s="385"/>
      <c r="D394" s="385"/>
      <c r="E394" s="386"/>
      <c r="F394" s="385"/>
      <c r="G394" s="385"/>
      <c r="H394" s="385"/>
      <c r="I394" s="385"/>
      <c r="J394" s="385"/>
      <c r="K394" s="385"/>
      <c r="L394" s="386"/>
      <c r="N394" s="364"/>
      <c r="O394" s="364"/>
      <c r="P394" s="364"/>
      <c r="Q394" s="364"/>
    </row>
    <row r="395" spans="1:17" ht="14" thickBot="1">
      <c r="A395" s="377">
        <f>A393+1</f>
        <v>380</v>
      </c>
      <c r="B395" s="385" t="s">
        <v>15</v>
      </c>
      <c r="C395" s="385"/>
      <c r="D395" s="385"/>
      <c r="E395" s="387">
        <f>SUM(E15:E393)</f>
        <v>24973666.879999995</v>
      </c>
      <c r="F395" s="385"/>
      <c r="G395" s="385"/>
      <c r="H395" s="385"/>
      <c r="I395" s="385"/>
      <c r="J395" s="385"/>
      <c r="K395" s="385"/>
      <c r="L395" s="387">
        <f>SUM(L15:L393)</f>
        <v>1199929463.509999</v>
      </c>
      <c r="N395" s="364"/>
      <c r="O395" s="364"/>
      <c r="P395" s="364"/>
      <c r="Q395" s="388">
        <f>SUM(Q15:Q393)</f>
        <v>1296712727.5699978</v>
      </c>
    </row>
    <row r="396" spans="1:17" ht="14" thickTop="1">
      <c r="A396" s="377"/>
      <c r="B396" s="385"/>
      <c r="C396" s="385"/>
      <c r="D396" s="385"/>
      <c r="E396" s="386"/>
      <c r="F396" s="385"/>
      <c r="G396" s="385"/>
      <c r="H396" s="385"/>
      <c r="I396" s="385"/>
      <c r="J396" s="385"/>
      <c r="K396" s="385"/>
      <c r="L396" s="386"/>
      <c r="N396" s="364"/>
      <c r="O396" s="364"/>
      <c r="P396" s="364"/>
      <c r="Q396" s="389"/>
    </row>
    <row r="397" spans="1:17" ht="14" thickBot="1">
      <c r="A397" s="377">
        <f>A395+1</f>
        <v>381</v>
      </c>
      <c r="B397" s="385" t="s">
        <v>510</v>
      </c>
      <c r="C397" s="385"/>
      <c r="D397" s="385"/>
      <c r="E397" s="386"/>
      <c r="F397" s="385"/>
      <c r="G397" s="385"/>
      <c r="H397" s="385"/>
      <c r="I397" s="385"/>
      <c r="J397" s="385"/>
      <c r="K397" s="385"/>
      <c r="L397" s="390">
        <f>IF(E395=0,0,L395/E395)</f>
        <v>48.047788467578023</v>
      </c>
      <c r="N397" s="364"/>
      <c r="O397" s="364"/>
      <c r="P397" s="364"/>
      <c r="Q397" s="391">
        <f>IF(E395=0,0,Q395/E395)</f>
        <v>51.923201098212054</v>
      </c>
    </row>
    <row r="398" spans="1:17" ht="14" thickTop="1">
      <c r="A398" s="377"/>
      <c r="B398" s="385"/>
      <c r="C398" s="385"/>
      <c r="D398" s="385"/>
      <c r="E398" s="386"/>
      <c r="F398" s="385"/>
      <c r="G398" s="385"/>
      <c r="H398" s="385"/>
      <c r="I398" s="385"/>
      <c r="J398" s="385"/>
      <c r="K398" s="385"/>
      <c r="L398" s="386"/>
      <c r="N398" s="364"/>
      <c r="O398" s="364"/>
      <c r="P398" s="364"/>
      <c r="Q398" s="364"/>
    </row>
    <row r="400" spans="1:17" s="27" customFormat="1">
      <c r="A400" s="27" t="s">
        <v>511</v>
      </c>
      <c r="E400" s="361"/>
      <c r="L400" s="361"/>
    </row>
    <row r="401" spans="1:12" s="27" customFormat="1">
      <c r="A401" s="27" t="s">
        <v>512</v>
      </c>
      <c r="E401" s="361"/>
      <c r="L401" s="361"/>
    </row>
    <row r="402" spans="1:12" s="27" customFormat="1">
      <c r="A402" s="27" t="s">
        <v>513</v>
      </c>
      <c r="E402" s="361"/>
      <c r="L402" s="361"/>
    </row>
    <row r="403" spans="1:12">
      <c r="A403" s="362" t="s">
        <v>514</v>
      </c>
    </row>
  </sheetData>
  <mergeCells count="4">
    <mergeCell ref="A9:L9"/>
    <mergeCell ref="N10:Q10"/>
    <mergeCell ref="B10:L10"/>
    <mergeCell ref="B1:Q1"/>
  </mergeCells>
  <pageMargins left="0.7" right="0.7" top="0.75" bottom="0.75" header="0.3" footer="0.3"/>
  <pageSetup scale="40" fitToHeight="5"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2A40-6744-CC40-81B4-EED28314F92A}">
  <sheetPr codeName="Sheet12">
    <pageSetUpPr fitToPage="1"/>
  </sheetPr>
  <dimension ref="B1:K31"/>
  <sheetViews>
    <sheetView workbookViewId="0">
      <selection activeCell="B8" sqref="B8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306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44</v>
      </c>
    </row>
    <row r="7" spans="2:11">
      <c r="B7" s="27" t="s">
        <v>307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27" t="s">
        <v>140</v>
      </c>
      <c r="E13" s="294"/>
      <c r="F13" s="295">
        <v>0</v>
      </c>
      <c r="G13" s="57"/>
      <c r="H13" s="190">
        <v>337386</v>
      </c>
      <c r="I13" s="57"/>
      <c r="J13" s="198">
        <f>+F13+H13</f>
        <v>337386</v>
      </c>
    </row>
    <row r="14" spans="2:11" s="35" customFormat="1">
      <c r="B14" s="148"/>
      <c r="F14" s="44"/>
      <c r="G14" s="44"/>
      <c r="H14" s="44"/>
      <c r="I14" s="44"/>
      <c r="J14" s="296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297">
        <f>ROUND(F15*F13,0)</f>
        <v>0</v>
      </c>
      <c r="G16" s="4"/>
      <c r="H16" s="48">
        <f>+J16-F16</f>
        <v>16869</v>
      </c>
      <c r="I16" s="39"/>
      <c r="J16" s="193">
        <f>ROUND(J15*J13,0)</f>
        <v>16869</v>
      </c>
      <c r="K16" s="4"/>
    </row>
    <row r="17" spans="2:11" ht="14" thickTop="1">
      <c r="B17" s="148"/>
      <c r="D17" s="21"/>
      <c r="E17" s="21"/>
      <c r="F17" s="20"/>
      <c r="J17" s="285"/>
    </row>
    <row r="18" spans="2:11">
      <c r="B18" s="148">
        <v>4</v>
      </c>
      <c r="D18" s="21" t="s">
        <v>30</v>
      </c>
      <c r="E18" s="21"/>
      <c r="F18" s="298">
        <f>+F13-F16</f>
        <v>0</v>
      </c>
      <c r="J18" s="285">
        <f>+J13-J16</f>
        <v>320517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297">
        <f>ROUND(F19*F18,0)</f>
        <v>0</v>
      </c>
      <c r="G20" s="4"/>
      <c r="H20" s="48">
        <f>+J20-F20</f>
        <v>67309</v>
      </c>
      <c r="I20" s="39"/>
      <c r="J20" s="193">
        <f>ROUND(J19*J18,0)</f>
        <v>67309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265"/>
    </row>
    <row r="22" spans="2:11" ht="14" thickBot="1">
      <c r="B22" s="148">
        <v>7</v>
      </c>
      <c r="D22" s="95" t="s">
        <v>147</v>
      </c>
      <c r="E22" s="140"/>
      <c r="F22" s="297">
        <f>+F16+F20</f>
        <v>0</v>
      </c>
      <c r="G22" s="4"/>
      <c r="H22" s="141">
        <f>+J22-F22</f>
        <v>84178</v>
      </c>
      <c r="I22" s="39"/>
      <c r="J22" s="193">
        <f>+J16+J20</f>
        <v>84178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267"/>
      <c r="K23" s="4"/>
    </row>
    <row r="24" spans="2:11" ht="14" thickBot="1">
      <c r="B24" s="148"/>
      <c r="D24" s="140" t="s">
        <v>2</v>
      </c>
      <c r="E24" s="140"/>
      <c r="F24" s="193">
        <f>F13-F22</f>
        <v>0</v>
      </c>
      <c r="G24" s="4"/>
      <c r="H24" s="193">
        <f>H13-H22</f>
        <v>253208</v>
      </c>
      <c r="I24" s="39"/>
      <c r="J24" s="193">
        <f>J13-J22</f>
        <v>253208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185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10B7-EE5A-2A4D-BDC1-DCFDC5D5B267}">
  <sheetPr codeName="Sheet14">
    <pageSetUpPr fitToPage="1"/>
  </sheetPr>
  <dimension ref="B1:K31"/>
  <sheetViews>
    <sheetView workbookViewId="0">
      <selection activeCell="B7" sqref="B7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309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46</v>
      </c>
    </row>
    <row r="7" spans="2:11">
      <c r="B7" s="27" t="s">
        <v>308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45" t="s">
        <v>186</v>
      </c>
      <c r="E13" s="294"/>
      <c r="F13" s="198">
        <v>2018838</v>
      </c>
      <c r="G13" s="57"/>
      <c r="H13" s="190">
        <f>-F13</f>
        <v>-2018838</v>
      </c>
      <c r="I13" s="57"/>
      <c r="J13" s="198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-100942</v>
      </c>
      <c r="G16" s="4"/>
      <c r="H16" s="48">
        <f>+J16-F16</f>
        <v>100942</v>
      </c>
      <c r="I16" s="39"/>
      <c r="J16" s="48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1917896</v>
      </c>
      <c r="J18" s="20">
        <f>+J13+J16</f>
        <v>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-402758</v>
      </c>
      <c r="G20" s="4"/>
      <c r="H20" s="48">
        <f>+J20-F20</f>
        <v>402758</v>
      </c>
      <c r="I20" s="39"/>
      <c r="J20" s="48">
        <f>ROUND(-J19*J18,0)</f>
        <v>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-503700</v>
      </c>
      <c r="G22" s="4"/>
      <c r="H22" s="141">
        <f>+J22-F22</f>
        <v>503700</v>
      </c>
      <c r="I22" s="39"/>
      <c r="J22" s="48">
        <f>+J16+J20</f>
        <v>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-1515138</v>
      </c>
      <c r="G24" s="4"/>
      <c r="H24" s="48">
        <f>-H13-H22</f>
        <v>1515138</v>
      </c>
      <c r="I24" s="39"/>
      <c r="J24" s="193">
        <f>-J13-J22</f>
        <v>0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187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AED7-FA42-8A4A-884A-5C166B8BA0F2}">
  <sheetPr codeName="Sheet15">
    <pageSetUpPr fitToPage="1"/>
  </sheetPr>
  <dimension ref="B1:K31"/>
  <sheetViews>
    <sheetView workbookViewId="0">
      <selection activeCell="B7" sqref="B7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310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47</v>
      </c>
    </row>
    <row r="7" spans="2:11">
      <c r="B7" s="27" t="s">
        <v>311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45" t="s">
        <v>188</v>
      </c>
      <c r="E13" s="294"/>
      <c r="F13" s="198">
        <v>277596</v>
      </c>
      <c r="G13" s="57"/>
      <c r="H13" s="190">
        <f>-F13/2</f>
        <v>-138798</v>
      </c>
      <c r="I13" s="57"/>
      <c r="J13" s="198">
        <f>+F13+H13</f>
        <v>138798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-13880</v>
      </c>
      <c r="G16" s="4"/>
      <c r="H16" s="48">
        <f>+J16-F16</f>
        <v>6940</v>
      </c>
      <c r="I16" s="39"/>
      <c r="J16" s="48">
        <f>ROUND(-J15*J13,0)</f>
        <v>-6940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263716</v>
      </c>
      <c r="J18" s="20">
        <f>+J13+J16</f>
        <v>131858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-55380</v>
      </c>
      <c r="G20" s="4"/>
      <c r="H20" s="48">
        <f>+J20-F20</f>
        <v>27690</v>
      </c>
      <c r="I20" s="39"/>
      <c r="J20" s="48">
        <f>ROUND(-J19*J18,0)</f>
        <v>-27690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-69260</v>
      </c>
      <c r="G22" s="4"/>
      <c r="H22" s="141">
        <f>+J22-F22</f>
        <v>34630</v>
      </c>
      <c r="I22" s="39"/>
      <c r="J22" s="48">
        <f>+J16+J20</f>
        <v>-34630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-208336</v>
      </c>
      <c r="G24" s="4"/>
      <c r="H24" s="48">
        <f>-H13-H22</f>
        <v>104168</v>
      </c>
      <c r="I24" s="39"/>
      <c r="J24" s="193">
        <f>-J13-J22</f>
        <v>-104168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198</v>
      </c>
      <c r="F28" s="44"/>
      <c r="G28" s="44"/>
      <c r="H28" s="44"/>
      <c r="I28" s="44"/>
      <c r="J28" s="44"/>
    </row>
    <row r="29" spans="2:11" s="35" customFormat="1">
      <c r="B29" s="82" t="s">
        <v>199</v>
      </c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4316-6C3F-B247-B40F-E307BAA0CB29}">
  <sheetPr>
    <pageSetUpPr fitToPage="1"/>
  </sheetPr>
  <dimension ref="B1:K44"/>
  <sheetViews>
    <sheetView topLeftCell="A3" workbookViewId="0">
      <selection activeCell="N16" sqref="N16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312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50</v>
      </c>
    </row>
    <row r="7" spans="2:11">
      <c r="B7" s="27" t="s">
        <v>313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>
      <c r="B13" s="148">
        <v>1</v>
      </c>
      <c r="C13" s="294"/>
      <c r="D13" s="27" t="s">
        <v>233</v>
      </c>
      <c r="E13" s="294"/>
      <c r="F13" s="198">
        <v>420215.55</v>
      </c>
      <c r="G13" s="294"/>
      <c r="H13" s="198">
        <f>+J13-F13</f>
        <v>-199754.512361264</v>
      </c>
      <c r="I13" s="294"/>
      <c r="J13" s="198">
        <f>+J44</f>
        <v>220461.03763873599</v>
      </c>
    </row>
    <row r="14" spans="2:11">
      <c r="B14" s="148">
        <v>2</v>
      </c>
      <c r="C14" s="294"/>
      <c r="D14" s="27" t="s">
        <v>234</v>
      </c>
      <c r="E14" s="294"/>
      <c r="F14" s="271">
        <v>1949786</v>
      </c>
      <c r="G14" s="293"/>
      <c r="H14" s="271">
        <f>+J14-F14</f>
        <v>-1949786</v>
      </c>
      <c r="I14" s="293"/>
      <c r="J14" s="271">
        <v>0</v>
      </c>
    </row>
    <row r="15" spans="2:11">
      <c r="B15" s="148">
        <v>3</v>
      </c>
      <c r="C15" s="294"/>
      <c r="D15" s="27" t="s">
        <v>548</v>
      </c>
      <c r="E15" s="294"/>
      <c r="F15" s="178">
        <v>40443.699999999997</v>
      </c>
      <c r="G15" s="294"/>
      <c r="H15" s="271">
        <f t="shared" ref="H15:H19" si="0">+J15-F15</f>
        <v>-40443.699999999997</v>
      </c>
      <c r="I15" s="294"/>
      <c r="J15" s="271">
        <v>0</v>
      </c>
    </row>
    <row r="16" spans="2:11">
      <c r="B16" s="148">
        <v>4</v>
      </c>
      <c r="C16" s="294"/>
      <c r="D16" s="27" t="s">
        <v>551</v>
      </c>
      <c r="E16" s="294"/>
      <c r="F16" s="178">
        <v>139600</v>
      </c>
      <c r="G16" s="294"/>
      <c r="H16" s="271">
        <f t="shared" si="0"/>
        <v>-139600</v>
      </c>
      <c r="I16" s="294"/>
      <c r="J16" s="271">
        <v>0</v>
      </c>
    </row>
    <row r="17" spans="2:11">
      <c r="B17" s="148">
        <v>5</v>
      </c>
      <c r="C17" s="294"/>
      <c r="D17" s="27" t="s">
        <v>552</v>
      </c>
      <c r="E17" s="294"/>
      <c r="F17" s="178">
        <v>56837</v>
      </c>
      <c r="G17" s="294"/>
      <c r="H17" s="271">
        <f t="shared" si="0"/>
        <v>-56837</v>
      </c>
      <c r="I17" s="294"/>
      <c r="J17" s="271">
        <v>0</v>
      </c>
    </row>
    <row r="18" spans="2:11">
      <c r="B18" s="148">
        <v>6</v>
      </c>
      <c r="C18" s="294"/>
      <c r="D18" s="27" t="s">
        <v>549</v>
      </c>
      <c r="E18" s="294"/>
      <c r="F18" s="178">
        <v>34277</v>
      </c>
      <c r="G18" s="294"/>
      <c r="H18" s="271">
        <f t="shared" si="0"/>
        <v>-34277</v>
      </c>
      <c r="I18" s="294"/>
      <c r="J18" s="271">
        <v>0</v>
      </c>
    </row>
    <row r="19" spans="2:11" ht="14" thickBot="1">
      <c r="B19" s="148">
        <v>7</v>
      </c>
      <c r="C19" s="294"/>
      <c r="D19" s="27" t="s">
        <v>553</v>
      </c>
      <c r="E19" s="294"/>
      <c r="F19" s="435">
        <v>34401</v>
      </c>
      <c r="G19" s="294"/>
      <c r="H19" s="271">
        <f t="shared" si="0"/>
        <v>-34401</v>
      </c>
      <c r="I19" s="294"/>
      <c r="J19" s="304">
        <v>0</v>
      </c>
    </row>
    <row r="20" spans="2:11" s="35" customFormat="1" ht="14" thickBot="1">
      <c r="B20" s="148">
        <v>8</v>
      </c>
      <c r="D20" s="27" t="s">
        <v>333</v>
      </c>
      <c r="E20" s="294"/>
      <c r="F20" s="198">
        <f>SUM(F13:F19)</f>
        <v>2675560.25</v>
      </c>
      <c r="G20" s="57"/>
      <c r="H20" s="190">
        <f>+J20-F20</f>
        <v>-2455099.212361264</v>
      </c>
      <c r="I20" s="57"/>
      <c r="J20" s="198">
        <f>SUM(J13:J14)</f>
        <v>220461.03763873599</v>
      </c>
    </row>
    <row r="21" spans="2:11" s="35" customFormat="1">
      <c r="B21" s="148"/>
      <c r="F21" s="44"/>
      <c r="G21" s="44"/>
      <c r="H21" s="44"/>
      <c r="I21" s="44"/>
      <c r="J21" s="44"/>
    </row>
    <row r="22" spans="2:11">
      <c r="B22" s="148">
        <v>9</v>
      </c>
      <c r="D22" s="21" t="s">
        <v>144</v>
      </c>
      <c r="E22" s="21"/>
      <c r="F22" s="81">
        <f>+'Sch 1.2'!$F$18</f>
        <v>0.05</v>
      </c>
      <c r="G22" s="22"/>
      <c r="H22" s="22"/>
      <c r="I22" s="22"/>
      <c r="J22" s="81">
        <f>+'Sch 1.2'!$J$18</f>
        <v>0.05</v>
      </c>
      <c r="K22" s="4"/>
    </row>
    <row r="23" spans="2:11" ht="14" thickBot="1">
      <c r="B23" s="148">
        <v>10</v>
      </c>
      <c r="D23" s="21" t="s">
        <v>145</v>
      </c>
      <c r="E23" s="21"/>
      <c r="F23" s="48">
        <f>ROUND(-F22*F20,0)</f>
        <v>-133778</v>
      </c>
      <c r="G23" s="4"/>
      <c r="H23" s="48">
        <f>+J23-F23</f>
        <v>122755</v>
      </c>
      <c r="I23" s="39"/>
      <c r="J23" s="48">
        <f>ROUND(-J22*J20,0)</f>
        <v>-11023</v>
      </c>
      <c r="K23" s="4"/>
    </row>
    <row r="24" spans="2:11" ht="14" thickTop="1">
      <c r="B24" s="148"/>
      <c r="D24" s="21"/>
      <c r="E24" s="21"/>
      <c r="F24" s="20"/>
      <c r="J24" s="20"/>
    </row>
    <row r="25" spans="2:11">
      <c r="B25" s="148">
        <v>11</v>
      </c>
      <c r="D25" s="21" t="s">
        <v>30</v>
      </c>
      <c r="E25" s="21"/>
      <c r="F25" s="20">
        <f>+F20+F23</f>
        <v>2541782.25</v>
      </c>
      <c r="J25" s="20">
        <f>+J20+J23</f>
        <v>209438.03763873599</v>
      </c>
    </row>
    <row r="26" spans="2:11">
      <c r="B26" s="148">
        <v>12</v>
      </c>
      <c r="D26" s="21" t="s">
        <v>29</v>
      </c>
      <c r="E26" s="21"/>
      <c r="F26" s="49">
        <f>+'Sch 1.2'!$F$22</f>
        <v>0.21</v>
      </c>
      <c r="J26" s="49">
        <f>+'Sch 1.2'!$F$22</f>
        <v>0.21</v>
      </c>
    </row>
    <row r="27" spans="2:11" ht="14" thickBot="1">
      <c r="B27" s="148">
        <v>13</v>
      </c>
      <c r="D27" s="27" t="s">
        <v>146</v>
      </c>
      <c r="F27" s="48">
        <f>ROUND(-F26*F25,0)</f>
        <v>-533774</v>
      </c>
      <c r="G27" s="4"/>
      <c r="H27" s="48">
        <f>+J27-F27</f>
        <v>489792</v>
      </c>
      <c r="I27" s="39"/>
      <c r="J27" s="48">
        <f>ROUND(-J26*J25,0)</f>
        <v>-43982</v>
      </c>
    </row>
    <row r="28" spans="2:11" ht="15" thickTop="1" thickBot="1">
      <c r="B28" s="148"/>
      <c r="D28" s="95"/>
      <c r="E28" s="140"/>
      <c r="F28" s="50"/>
      <c r="G28" s="4"/>
      <c r="H28" s="39"/>
      <c r="I28" s="39"/>
      <c r="J28" s="50"/>
    </row>
    <row r="29" spans="2:11" ht="14" thickBot="1">
      <c r="B29" s="148">
        <v>14</v>
      </c>
      <c r="D29" s="95" t="s">
        <v>147</v>
      </c>
      <c r="E29" s="140"/>
      <c r="F29" s="48">
        <f>+F23+F27</f>
        <v>-667552</v>
      </c>
      <c r="G29" s="4"/>
      <c r="H29" s="141">
        <f>+J29-F29</f>
        <v>612547</v>
      </c>
      <c r="I29" s="39"/>
      <c r="J29" s="48">
        <f>+J23+J27</f>
        <v>-55005</v>
      </c>
      <c r="K29" s="142"/>
    </row>
    <row r="30" spans="2:11" ht="14" thickTop="1">
      <c r="B30" s="148"/>
      <c r="D30" s="140"/>
      <c r="E30" s="140"/>
      <c r="F30" s="51"/>
      <c r="G30" s="4"/>
      <c r="H30" s="39"/>
      <c r="I30" s="39"/>
      <c r="J30" s="51"/>
      <c r="K30" s="4"/>
    </row>
    <row r="31" spans="2:11" ht="14" thickBot="1">
      <c r="B31" s="148">
        <v>15</v>
      </c>
      <c r="D31" s="140" t="s">
        <v>2</v>
      </c>
      <c r="E31" s="140"/>
      <c r="F31" s="193">
        <f>-F20-F29</f>
        <v>-2008008.25</v>
      </c>
      <c r="G31" s="4"/>
      <c r="H31" s="48">
        <f>-H20-H29</f>
        <v>1842552.212361264</v>
      </c>
      <c r="I31" s="39"/>
      <c r="J31" s="193">
        <f>-J20-J29</f>
        <v>-165456.03763873599</v>
      </c>
    </row>
    <row r="32" spans="2:11" ht="14" thickTop="1">
      <c r="B32" s="148"/>
      <c r="C32" s="294"/>
      <c r="D32" s="12"/>
      <c r="E32" s="294"/>
      <c r="F32" s="294"/>
      <c r="G32" s="294"/>
      <c r="H32" s="294"/>
      <c r="I32" s="294"/>
      <c r="J32" s="5"/>
      <c r="K32" s="4"/>
    </row>
    <row r="34" spans="2:10">
      <c r="B34" s="110" t="s">
        <v>74</v>
      </c>
      <c r="C34" s="70"/>
      <c r="D34" s="70"/>
      <c r="E34" s="70"/>
      <c r="F34" s="70"/>
      <c r="G34" s="70"/>
      <c r="H34" s="70"/>
      <c r="I34" s="70"/>
      <c r="J34" s="70"/>
    </row>
    <row r="35" spans="2:10" s="35" customFormat="1">
      <c r="B35" s="64" t="s">
        <v>550</v>
      </c>
      <c r="F35" s="44"/>
      <c r="G35" s="44"/>
      <c r="H35" s="44"/>
      <c r="I35" s="44"/>
      <c r="J35" s="44"/>
    </row>
    <row r="36" spans="2:10" s="35" customFormat="1">
      <c r="B36" s="64"/>
      <c r="F36" s="44"/>
      <c r="G36" s="44"/>
      <c r="H36" s="44"/>
      <c r="I36" s="44"/>
      <c r="J36" s="44"/>
    </row>
    <row r="37" spans="2:10" s="35" customFormat="1">
      <c r="B37" s="64" t="s">
        <v>341</v>
      </c>
      <c r="F37" s="44"/>
      <c r="G37" s="44"/>
      <c r="H37" s="151"/>
      <c r="I37" s="44"/>
      <c r="J37" s="44"/>
    </row>
    <row r="38" spans="2:10">
      <c r="D38" s="64" t="s">
        <v>337</v>
      </c>
      <c r="J38" s="41">
        <v>446705.8</v>
      </c>
    </row>
    <row r="39" spans="2:10">
      <c r="D39" s="64" t="s">
        <v>338</v>
      </c>
      <c r="J39" s="6">
        <v>70071.48</v>
      </c>
    </row>
    <row r="40" spans="2:10">
      <c r="D40" s="66" t="s">
        <v>335</v>
      </c>
      <c r="J40" s="41">
        <f>SUM(J38:J39)</f>
        <v>516777.27999999997</v>
      </c>
    </row>
    <row r="41" spans="2:10">
      <c r="D41" s="64" t="s">
        <v>339</v>
      </c>
      <c r="J41" s="111">
        <v>0.45350000000000001</v>
      </c>
    </row>
    <row r="42" spans="2:10">
      <c r="D42" s="66" t="s">
        <v>334</v>
      </c>
      <c r="J42" s="41">
        <f>+J40*J41</f>
        <v>234358.49648</v>
      </c>
    </row>
    <row r="43" spans="2:10" ht="14" thickBot="1">
      <c r="D43" s="64" t="s">
        <v>340</v>
      </c>
      <c r="J43" s="334">
        <v>0.94069999999999998</v>
      </c>
    </row>
    <row r="44" spans="2:10" ht="14" thickBot="1">
      <c r="D44" s="66" t="s">
        <v>336</v>
      </c>
      <c r="J44" s="335">
        <f>+J42*J43</f>
        <v>220461.03763873599</v>
      </c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L34"/>
  <sheetViews>
    <sheetView zoomScale="125" workbookViewId="0">
      <selection activeCell="F14" sqref="F14"/>
    </sheetView>
  </sheetViews>
  <sheetFormatPr baseColWidth="10" defaultColWidth="8.83203125" defaultRowHeight="13"/>
  <cols>
    <col min="1" max="1" width="1.83203125" style="33" customWidth="1"/>
    <col min="2" max="2" width="8.33203125" style="8" bestFit="1" customWidth="1"/>
    <col min="3" max="3" width="1.33203125" style="33" customWidth="1"/>
    <col min="4" max="4" width="15.83203125" style="33" customWidth="1"/>
    <col min="5" max="5" width="1.33203125" style="33" customWidth="1"/>
    <col min="6" max="6" width="12.6640625" style="33" customWidth="1"/>
    <col min="7" max="7" width="39.6640625" style="33" customWidth="1"/>
    <col min="8" max="8" width="1.33203125" style="33" customWidth="1"/>
    <col min="9" max="9" width="20.6640625" style="33" customWidth="1"/>
    <col min="10" max="11" width="1.33203125" style="33" customWidth="1"/>
    <col min="12" max="12" width="24.5" style="33" bestFit="1" customWidth="1"/>
    <col min="13" max="13" width="1.33203125" style="33" customWidth="1"/>
    <col min="14" max="14" width="22.6640625" style="33" customWidth="1"/>
    <col min="15" max="15" width="2.83203125" style="33" customWidth="1"/>
    <col min="16" max="16384" width="8.83203125" style="33"/>
  </cols>
  <sheetData>
    <row r="1" spans="2:12" ht="20">
      <c r="B1" s="440" t="str">
        <f>+'Sch 1'!B1:J1</f>
        <v>-</v>
      </c>
      <c r="C1" s="440"/>
      <c r="D1" s="440"/>
      <c r="E1" s="440"/>
      <c r="F1" s="440"/>
      <c r="G1" s="440"/>
      <c r="H1" s="440"/>
      <c r="I1" s="440"/>
    </row>
    <row r="2" spans="2:12" ht="16">
      <c r="B2" s="159"/>
    </row>
    <row r="3" spans="2:12">
      <c r="B3" s="12" t="str">
        <f>+'Sch 1.1'!B3</f>
        <v>Kentucky Public Service Commission</v>
      </c>
      <c r="I3" s="36" t="str">
        <f>+'Sch 1.1'!J3</f>
        <v>Case No. 2018-00294</v>
      </c>
    </row>
    <row r="4" spans="2:12">
      <c r="B4" s="27"/>
      <c r="I4" s="27"/>
    </row>
    <row r="5" spans="2:12">
      <c r="B5" s="86" t="str">
        <f>+'Sch 1.1'!B5</f>
        <v>Kentucky Utilities Company</v>
      </c>
      <c r="C5" s="27"/>
      <c r="D5" s="27"/>
      <c r="H5" s="27"/>
    </row>
    <row r="6" spans="2:12">
      <c r="B6" s="27" t="s">
        <v>34</v>
      </c>
    </row>
    <row r="7" spans="2:12">
      <c r="D7" s="16"/>
    </row>
    <row r="8" spans="2:12" ht="14" thickBot="1">
      <c r="B8" s="152" t="s">
        <v>31</v>
      </c>
      <c r="D8" s="292"/>
      <c r="F8" s="441" t="s">
        <v>17</v>
      </c>
      <c r="G8" s="441"/>
      <c r="H8" s="441"/>
      <c r="I8" s="441"/>
    </row>
    <row r="9" spans="2:12">
      <c r="B9" s="72"/>
      <c r="D9" s="72"/>
      <c r="F9" s="72"/>
      <c r="G9" s="72"/>
      <c r="H9" s="72"/>
      <c r="I9" s="72"/>
    </row>
    <row r="10" spans="2:12">
      <c r="B10" s="8">
        <v>1</v>
      </c>
      <c r="D10" s="33" t="str">
        <f>+'Sch 1'!J4</f>
        <v>KU Schedule 1</v>
      </c>
      <c r="F10" s="33" t="str">
        <f>+'Sch 1'!B7</f>
        <v xml:space="preserve">Summary Comparison of Revenue Requirement </v>
      </c>
    </row>
    <row r="11" spans="2:12">
      <c r="B11" s="8">
        <v>2</v>
      </c>
      <c r="D11" s="33" t="str">
        <f>+'Sch 1.1'!J4</f>
        <v>KU Schedule 1.1</v>
      </c>
      <c r="F11" s="33" t="str">
        <f>+'Sch 1.1'!B7</f>
        <v>Revenue Requirements with OAG's Recommended Adjustments</v>
      </c>
    </row>
    <row r="12" spans="2:12">
      <c r="B12" s="8">
        <v>3</v>
      </c>
      <c r="D12" s="33" t="str">
        <f>+'Sch 1.2'!J4</f>
        <v>KU Schedule 1.2</v>
      </c>
      <c r="F12" s="95" t="str">
        <f>+'Sch 1.2'!B7</f>
        <v>Computation of Gross-Up Conversion Factor</v>
      </c>
      <c r="G12" s="95"/>
      <c r="H12" s="4"/>
      <c r="I12" s="157"/>
      <c r="J12" s="4"/>
      <c r="K12" s="4"/>
      <c r="L12" s="4"/>
    </row>
    <row r="13" spans="2:12">
      <c r="B13" s="8">
        <v>4</v>
      </c>
      <c r="D13" s="33" t="str">
        <f>+'Sch 2'!L4</f>
        <v>KU Schedule 2</v>
      </c>
      <c r="F13" s="95" t="str">
        <f>+'Sch 2'!B7</f>
        <v>Rate of Return Calculation</v>
      </c>
      <c r="G13" s="95"/>
      <c r="H13" s="4"/>
      <c r="I13" s="157"/>
      <c r="J13" s="4"/>
      <c r="K13" s="4"/>
      <c r="L13" s="4"/>
    </row>
    <row r="14" spans="2:12">
      <c r="B14" s="8">
        <v>5</v>
      </c>
      <c r="D14" s="33" t="str">
        <f>+'Sch 2.1'!J4</f>
        <v>KU Schedule 2.1</v>
      </c>
      <c r="F14" s="95" t="str">
        <f>+'Sch 2.1'!B7</f>
        <v>Effect of Proxy ROE on Company's  Revenue Deficiency</v>
      </c>
      <c r="G14" s="95"/>
      <c r="H14" s="4"/>
      <c r="I14" s="157"/>
      <c r="J14" s="4"/>
      <c r="K14" s="4"/>
      <c r="L14" s="4"/>
    </row>
    <row r="15" spans="2:12">
      <c r="B15" s="8">
        <v>6</v>
      </c>
      <c r="D15" s="33" t="str">
        <f>+'Sch 3'!Z4</f>
        <v>KU Schedule 3</v>
      </c>
      <c r="F15" s="95" t="str">
        <f>+'Sch 3'!B7</f>
        <v>Ratemaking Adjustments</v>
      </c>
      <c r="G15" s="95"/>
      <c r="H15" s="4"/>
      <c r="I15" s="157"/>
      <c r="J15" s="4"/>
      <c r="K15" s="4"/>
      <c r="L15" s="4"/>
    </row>
    <row r="16" spans="2:12">
      <c r="B16" s="8">
        <v>7</v>
      </c>
      <c r="D16" s="33" t="str">
        <f>+'3.1 Slippage'!J4</f>
        <v>KU Schedule 3.1</v>
      </c>
      <c r="F16" s="33" t="str">
        <f>+'3.1 Slippage'!B6</f>
        <v>Adjustment 1</v>
      </c>
      <c r="G16" s="95" t="str">
        <f>+'3.1 Slippage'!B7</f>
        <v>Slippage</v>
      </c>
      <c r="H16" s="4"/>
      <c r="I16" s="157"/>
      <c r="J16" s="4"/>
      <c r="K16" s="4"/>
      <c r="L16" s="4"/>
    </row>
    <row r="17" spans="2:12">
      <c r="B17" s="8">
        <v>8</v>
      </c>
      <c r="D17" s="33" t="str">
        <f>+'3.2'!J4</f>
        <v>KU Schedule 3.2</v>
      </c>
      <c r="F17" s="95" t="str">
        <f>+'3.2'!D8</f>
        <v xml:space="preserve">This schedule intentionally left blank to maintain numbering with other utilities. </v>
      </c>
      <c r="H17" s="4"/>
      <c r="I17" s="157"/>
      <c r="J17" s="4"/>
      <c r="K17" s="4"/>
      <c r="L17" s="4"/>
    </row>
    <row r="18" spans="2:12">
      <c r="B18" s="8">
        <v>9</v>
      </c>
      <c r="D18" s="33" t="str">
        <f>+'3.3'!J4</f>
        <v>KU Schedule 3.3</v>
      </c>
      <c r="F18" s="33" t="str">
        <f>+'3.3'!D8</f>
        <v xml:space="preserve">This schedule intentionally left blank to maintain numbering with other utilities. </v>
      </c>
      <c r="G18" s="95"/>
      <c r="H18" s="4"/>
      <c r="I18" s="157"/>
      <c r="J18" s="4"/>
      <c r="K18" s="4"/>
      <c r="L18" s="4"/>
    </row>
    <row r="19" spans="2:12">
      <c r="B19" s="8">
        <v>10</v>
      </c>
      <c r="D19" s="33" t="str">
        <f>+'3.4 PHFU'!J4</f>
        <v>KU Schedule 3.4</v>
      </c>
      <c r="F19" s="33" t="str">
        <f>+'3.4 PHFU'!B6</f>
        <v>Adjustment 4</v>
      </c>
      <c r="G19" s="95" t="str">
        <f>+'3.4 PHFU'!B7</f>
        <v xml:space="preserve">Plant Held for Future Use </v>
      </c>
      <c r="H19" s="4"/>
      <c r="I19" s="157"/>
      <c r="J19" s="4"/>
      <c r="K19" s="4"/>
      <c r="L19" s="4"/>
    </row>
    <row r="20" spans="2:12">
      <c r="B20" s="8">
        <v>11</v>
      </c>
      <c r="D20" s="33" t="str">
        <f>+'3.5 CWC'!P4</f>
        <v>KU Schedule 3.5</v>
      </c>
      <c r="F20" s="33" t="str">
        <f>+'3.5 CWC'!B6</f>
        <v>Adjustment 5</v>
      </c>
      <c r="G20" s="95" t="str">
        <f>+'3.5 CWC'!B7</f>
        <v xml:space="preserve">Working Capital </v>
      </c>
      <c r="H20" s="4"/>
      <c r="I20" s="157"/>
      <c r="J20" s="4"/>
      <c r="K20" s="4"/>
      <c r="L20" s="4"/>
    </row>
    <row r="21" spans="2:12">
      <c r="B21" s="8">
        <v>12</v>
      </c>
      <c r="D21" s="33" t="str">
        <f>+'3.5.1 CWC WP'!AL4</f>
        <v>KU Schedule 3.5.1</v>
      </c>
      <c r="F21" s="33" t="str">
        <f>+'3.5.1 CWC WP'!B6</f>
        <v>Adjustment 5</v>
      </c>
      <c r="G21" s="158" t="str">
        <f>+'3.5.1 CWC WP'!B7</f>
        <v>Cash Working Capital Workpaper</v>
      </c>
      <c r="H21" s="4"/>
      <c r="I21" s="157"/>
      <c r="J21" s="4"/>
      <c r="K21" s="4"/>
      <c r="L21" s="4"/>
    </row>
    <row r="22" spans="2:12">
      <c r="B22" s="8">
        <v>13</v>
      </c>
      <c r="D22" s="33" t="str">
        <f>+'3.6 Late Pymt'!J4</f>
        <v>KU Schedule 3.6</v>
      </c>
      <c r="F22" s="33" t="str">
        <f>+'3.6 Late Pymt'!B6</f>
        <v>Adjustment 6</v>
      </c>
      <c r="G22" s="158" t="str">
        <f>+'3.6 Late Pymt'!B7</f>
        <v xml:space="preserve">Late Payment Credit </v>
      </c>
      <c r="H22" s="4"/>
      <c r="I22" s="157"/>
      <c r="J22" s="4"/>
      <c r="K22" s="4"/>
      <c r="L22" s="4"/>
    </row>
    <row r="23" spans="2:12">
      <c r="B23" s="8">
        <v>14</v>
      </c>
      <c r="D23" s="33" t="str">
        <f>+'3.7 401k'!J4</f>
        <v>KU Schedule 3.7</v>
      </c>
      <c r="F23" s="16" t="str">
        <f>+'3.7 401k'!B6</f>
        <v>Adjustment 7</v>
      </c>
      <c r="G23" s="33" t="str">
        <f>+'3.7 401k'!B7</f>
        <v>Employee Retirement Plans</v>
      </c>
    </row>
    <row r="24" spans="2:12">
      <c r="B24" s="8">
        <v>15</v>
      </c>
      <c r="D24" s="33" t="str">
        <f>+'3.8 D&amp;O'!J4</f>
        <v>KU Schedule 3.8</v>
      </c>
      <c r="F24" s="16" t="str">
        <f>+'3.8 D&amp;O'!B6</f>
        <v>Adjustment 8</v>
      </c>
      <c r="G24" s="33" t="str">
        <f>+'3.8 D&amp;O'!B7</f>
        <v>Directors and Officers Liability Insurance</v>
      </c>
    </row>
    <row r="25" spans="2:12">
      <c r="B25" s="8">
        <v>16</v>
      </c>
      <c r="D25" s="33" t="str">
        <f>+'3.9 Dues'!J4</f>
        <v>KU Schedule 3.9</v>
      </c>
      <c r="F25" s="33" t="str">
        <f>+'3.9 Dues'!B6</f>
        <v>Adjustment 9</v>
      </c>
      <c r="G25" s="33" t="str">
        <f>+'3.9 Dues'!B7</f>
        <v>Dues for EEI and EPRI</v>
      </c>
    </row>
    <row r="26" spans="2:12">
      <c r="B26" s="8">
        <v>17</v>
      </c>
      <c r="D26" s="33" t="str">
        <f>+'3.10 Legal'!J4</f>
        <v>KU Schedule 3.10</v>
      </c>
      <c r="F26" s="33" t="str">
        <f>+'3.10 Legal'!B6</f>
        <v>Adjustment 10</v>
      </c>
      <c r="G26" s="33" t="str">
        <f>+'3.10 Legal'!B7</f>
        <v>Outside Counsel Expense</v>
      </c>
    </row>
    <row r="27" spans="2:12">
      <c r="B27" s="8">
        <v>18</v>
      </c>
      <c r="D27" s="33" t="str">
        <f>+'3.11 Rebate'!J4</f>
        <v>KU Schedule 3.11</v>
      </c>
      <c r="F27" s="33" t="str">
        <f>+'3.11 Rebate'!B6</f>
        <v>Adjustment 11</v>
      </c>
      <c r="G27" s="33" t="str">
        <f>+'3.11 Rebate'!B7</f>
        <v>Credit Card Rebate</v>
      </c>
    </row>
    <row r="28" spans="2:12">
      <c r="B28" s="8">
        <v>19</v>
      </c>
      <c r="D28" s="33" t="str">
        <f>+'3.12 Econ Dev'!J4</f>
        <v>KU Schedule 3.12</v>
      </c>
      <c r="F28" s="33" t="str">
        <f>+'3.12 Econ Dev'!B6</f>
        <v>Adjustment 12</v>
      </c>
      <c r="G28" s="33" t="str">
        <f>+'3.12 Econ Dev'!B7</f>
        <v>Economic Development</v>
      </c>
    </row>
    <row r="29" spans="2:12">
      <c r="B29" s="8">
        <v>20</v>
      </c>
      <c r="D29" s="33" t="str">
        <f>+'3.13 Ed'!J4</f>
        <v>KU Schedule 3.13</v>
      </c>
      <c r="F29" s="33" t="str">
        <f>+'3.13 Ed'!B6</f>
        <v>Adjustment 13</v>
      </c>
      <c r="G29" s="33" t="str">
        <f>+'3.13 Ed'!B7</f>
        <v>Customer Education</v>
      </c>
    </row>
    <row r="30" spans="2:12">
      <c r="B30" s="8">
        <v>21</v>
      </c>
      <c r="D30" s="33" t="str">
        <f>+'3.14 ECR Credit'!J4</f>
        <v>KU Schedule 3.14</v>
      </c>
      <c r="F30" s="33" t="str">
        <f>+'3.14 ECR Credit'!B6</f>
        <v>Adjustment 14</v>
      </c>
      <c r="G30" s="33" t="str">
        <f>+'3.14 ECR Credit'!B7</f>
        <v>Baseline ECR Beneficial Reuse Operating Expense Credit</v>
      </c>
    </row>
    <row r="31" spans="2:12">
      <c r="B31" s="8">
        <v>22</v>
      </c>
      <c r="D31" s="33" t="str">
        <f>+'3.15 MMD'!J4</f>
        <v>KU Schedule 3.15</v>
      </c>
      <c r="F31" s="33" t="str">
        <f>+'3.15 MMD'!B6</f>
        <v>Adjustment 15</v>
      </c>
      <c r="G31" s="33" t="str">
        <f>+'3.15 MMD'!B7</f>
        <v xml:space="preserve">Merger Mitigation Depancaking </v>
      </c>
    </row>
    <row r="32" spans="2:12">
      <c r="B32" s="8">
        <v>23</v>
      </c>
      <c r="D32" s="33" t="str">
        <f>+'3.16 Storm'!J4</f>
        <v>KU Schedule 3.16</v>
      </c>
      <c r="F32" s="33" t="str">
        <f>+'3.16 Storm'!B6</f>
        <v>Adjustment 16</v>
      </c>
      <c r="G32" s="33" t="str">
        <f>+'3.16 Storm'!B7</f>
        <v>Amortization of Storm Damage Regulatory Asset</v>
      </c>
    </row>
    <row r="33" spans="2:7">
      <c r="B33" s="8">
        <v>24</v>
      </c>
      <c r="D33" s="33" t="str">
        <f>+'3.17  EDIT'!J4</f>
        <v>KU Schedule 3.17</v>
      </c>
      <c r="F33" s="33" t="str">
        <f>+'3.17  EDIT'!B6</f>
        <v>Adjustment 17</v>
      </c>
      <c r="G33" s="33" t="str">
        <f>+'3.17  EDIT'!B7</f>
        <v>Amortization of Tax Reform Regulatory Liability</v>
      </c>
    </row>
    <row r="34" spans="2:7">
      <c r="B34" s="8">
        <v>25</v>
      </c>
      <c r="D34" s="33" t="str">
        <f>+'3.18-Int Sychn'!J4</f>
        <v>KU Schedule 3.18</v>
      </c>
      <c r="F34" s="33" t="str">
        <f>+'3.18-Int Sychn'!B6</f>
        <v>Adjustment 18</v>
      </c>
      <c r="G34" s="33" t="str">
        <f>+'3.18-Int Sychn'!B7</f>
        <v>Interest Synchronization</v>
      </c>
    </row>
  </sheetData>
  <mergeCells count="2">
    <mergeCell ref="B1:I1"/>
    <mergeCell ref="F8:I8"/>
  </mergeCells>
  <phoneticPr fontId="16" type="noConversion"/>
  <printOptions horizontalCentered="1"/>
  <pageMargins left="0.7" right="0.7" top="0.75" bottom="0.75" header="0.3" footer="0.3"/>
  <pageSetup scale="8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685F-4633-FB4D-A789-0E2EF2FEAB97}">
  <sheetPr>
    <pageSetUpPr fitToPage="1"/>
  </sheetPr>
  <dimension ref="B1:K56"/>
  <sheetViews>
    <sheetView workbookViewId="0">
      <selection activeCell="B8" sqref="B8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2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314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51</v>
      </c>
    </row>
    <row r="7" spans="2:11">
      <c r="B7" s="27" t="s">
        <v>315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>
      <c r="B13" s="148">
        <v>1</v>
      </c>
      <c r="C13" s="294"/>
      <c r="D13" s="27" t="s">
        <v>211</v>
      </c>
      <c r="E13" s="294"/>
      <c r="F13" s="198">
        <v>1560000</v>
      </c>
      <c r="G13" s="294"/>
      <c r="H13" s="294"/>
      <c r="I13" s="294"/>
      <c r="J13" s="5"/>
    </row>
    <row r="14" spans="2:11" ht="14" thickBot="1">
      <c r="B14" s="148">
        <v>2</v>
      </c>
      <c r="C14" s="294"/>
      <c r="D14" s="27" t="s">
        <v>213</v>
      </c>
      <c r="E14" s="294"/>
      <c r="F14" s="300">
        <f>+H35</f>
        <v>0.56670208997520366</v>
      </c>
      <c r="G14" s="294"/>
      <c r="H14" s="294"/>
      <c r="I14" s="294"/>
      <c r="J14" s="5"/>
    </row>
    <row r="15" spans="2:11" s="35" customFormat="1" ht="14" thickBot="1">
      <c r="B15" s="148">
        <v>3</v>
      </c>
      <c r="D15" s="45" t="s">
        <v>212</v>
      </c>
      <c r="E15" s="294"/>
      <c r="F15" s="198">
        <f>+F13*F14</f>
        <v>884055.26036131766</v>
      </c>
      <c r="G15" s="57"/>
      <c r="H15" s="190">
        <f>-F15/2</f>
        <v>-442027.63018065883</v>
      </c>
      <c r="I15" s="57"/>
      <c r="J15" s="198">
        <f>+F15+H15</f>
        <v>442027.63018065883</v>
      </c>
    </row>
    <row r="16" spans="2:11" s="35" customFormat="1">
      <c r="B16" s="148"/>
      <c r="F16" s="44"/>
      <c r="G16" s="44"/>
      <c r="H16" s="44"/>
      <c r="I16" s="44"/>
      <c r="J16" s="44"/>
    </row>
    <row r="17" spans="2:11">
      <c r="B17" s="148">
        <v>2</v>
      </c>
      <c r="D17" s="21" t="s">
        <v>144</v>
      </c>
      <c r="E17" s="21"/>
      <c r="F17" s="81">
        <f>+'Sch 1.2'!$F$18</f>
        <v>0.05</v>
      </c>
      <c r="G17" s="22"/>
      <c r="H17" s="22"/>
      <c r="I17" s="22"/>
      <c r="J17" s="81">
        <f>+'Sch 1.2'!$J$18</f>
        <v>0.05</v>
      </c>
      <c r="K17" s="4"/>
    </row>
    <row r="18" spans="2:11" ht="14" thickBot="1">
      <c r="B18" s="148">
        <v>3</v>
      </c>
      <c r="D18" s="21" t="s">
        <v>145</v>
      </c>
      <c r="E18" s="21"/>
      <c r="F18" s="48">
        <f>ROUND(-F17*F15,0)</f>
        <v>-44203</v>
      </c>
      <c r="G18" s="4"/>
      <c r="H18" s="48">
        <f>+J18-F18</f>
        <v>22102</v>
      </c>
      <c r="I18" s="39"/>
      <c r="J18" s="48">
        <f>ROUND(-J17*J15,0)</f>
        <v>-22101</v>
      </c>
      <c r="K18" s="4"/>
    </row>
    <row r="19" spans="2:11" ht="14" thickTop="1">
      <c r="B19" s="148"/>
      <c r="D19" s="21"/>
      <c r="E19" s="21"/>
      <c r="F19" s="20"/>
      <c r="J19" s="20"/>
    </row>
    <row r="20" spans="2:11">
      <c r="B20" s="148">
        <v>4</v>
      </c>
      <c r="D20" s="21" t="s">
        <v>30</v>
      </c>
      <c r="E20" s="21"/>
      <c r="F20" s="20">
        <f>+F15+F18</f>
        <v>839852.26036131766</v>
      </c>
      <c r="J20" s="20">
        <f>+J15+J18</f>
        <v>419926.63018065883</v>
      </c>
    </row>
    <row r="21" spans="2:11">
      <c r="B21" s="148">
        <v>5</v>
      </c>
      <c r="D21" s="21" t="s">
        <v>29</v>
      </c>
      <c r="E21" s="21"/>
      <c r="F21" s="49">
        <f>+'Sch 1.2'!$F$22</f>
        <v>0.21</v>
      </c>
      <c r="J21" s="49">
        <f>+'Sch 1.2'!$F$22</f>
        <v>0.21</v>
      </c>
    </row>
    <row r="22" spans="2:11" ht="14" thickBot="1">
      <c r="B22" s="148">
        <v>6</v>
      </c>
      <c r="D22" s="27" t="s">
        <v>146</v>
      </c>
      <c r="F22" s="48">
        <f>ROUND(-F21*F20,0)</f>
        <v>-176369</v>
      </c>
      <c r="G22" s="4"/>
      <c r="H22" s="48">
        <f>+J22-F22</f>
        <v>88184</v>
      </c>
      <c r="I22" s="39"/>
      <c r="J22" s="48">
        <f>ROUND(-J21*J20,0)</f>
        <v>-88185</v>
      </c>
    </row>
    <row r="23" spans="2:11" ht="15" thickTop="1" thickBot="1">
      <c r="B23" s="148"/>
      <c r="D23" s="95"/>
      <c r="E23" s="140"/>
      <c r="F23" s="50"/>
      <c r="G23" s="4"/>
      <c r="H23" s="39"/>
      <c r="I23" s="39"/>
      <c r="J23" s="50"/>
    </row>
    <row r="24" spans="2:11" ht="14" thickBot="1">
      <c r="B24" s="148">
        <v>7</v>
      </c>
      <c r="D24" s="95" t="s">
        <v>147</v>
      </c>
      <c r="E24" s="140"/>
      <c r="F24" s="48">
        <f>+F18+F22</f>
        <v>-220572</v>
      </c>
      <c r="G24" s="4"/>
      <c r="H24" s="141">
        <f>+J24-F24</f>
        <v>110286</v>
      </c>
      <c r="I24" s="39"/>
      <c r="J24" s="48">
        <f>+J18+J22</f>
        <v>-110286</v>
      </c>
      <c r="K24" s="142"/>
    </row>
    <row r="25" spans="2:11" ht="14" thickTop="1">
      <c r="B25" s="148"/>
      <c r="D25" s="140"/>
      <c r="E25" s="140"/>
      <c r="F25" s="51"/>
      <c r="G25" s="4"/>
      <c r="H25" s="39"/>
      <c r="I25" s="39"/>
      <c r="J25" s="51"/>
      <c r="K25" s="4"/>
    </row>
    <row r="26" spans="2:11" ht="14" thickBot="1">
      <c r="B26" s="148">
        <v>8</v>
      </c>
      <c r="D26" s="140" t="s">
        <v>2</v>
      </c>
      <c r="E26" s="140"/>
      <c r="F26" s="193">
        <f>-F15-F24</f>
        <v>-663483.26036131766</v>
      </c>
      <c r="G26" s="4"/>
      <c r="H26" s="48">
        <f>-H15-H24</f>
        <v>331741.63018065883</v>
      </c>
      <c r="I26" s="39"/>
      <c r="J26" s="193">
        <f>-J15-J24</f>
        <v>-331741.63018065883</v>
      </c>
    </row>
    <row r="27" spans="2:11" ht="14" thickTop="1">
      <c r="B27" s="148"/>
      <c r="C27" s="294"/>
      <c r="D27" s="12"/>
      <c r="E27" s="294"/>
      <c r="F27" s="294"/>
      <c r="G27" s="294"/>
      <c r="H27" s="294"/>
      <c r="I27" s="294"/>
      <c r="J27" s="5"/>
      <c r="K27" s="4"/>
    </row>
    <row r="29" spans="2:11">
      <c r="B29" s="110" t="s">
        <v>74</v>
      </c>
      <c r="C29" s="70"/>
      <c r="D29" s="70"/>
      <c r="E29" s="70"/>
      <c r="F29" s="70"/>
      <c r="G29" s="70"/>
      <c r="H29" s="70"/>
      <c r="I29" s="70"/>
      <c r="J29" s="70"/>
    </row>
    <row r="30" spans="2:11" s="35" customFormat="1">
      <c r="B30" s="64" t="s">
        <v>232</v>
      </c>
      <c r="F30" s="44"/>
      <c r="G30" s="44"/>
      <c r="H30" s="44"/>
      <c r="I30" s="44"/>
      <c r="J30" s="44"/>
    </row>
    <row r="31" spans="2:11" s="35" customFormat="1">
      <c r="B31" s="64"/>
      <c r="F31" s="44"/>
      <c r="G31" s="44"/>
      <c r="H31" s="44"/>
      <c r="I31" s="44"/>
      <c r="J31" s="44"/>
    </row>
    <row r="32" spans="2:11" s="35" customFormat="1" ht="31" customHeight="1">
      <c r="B32" s="443" t="s">
        <v>214</v>
      </c>
      <c r="C32" s="443"/>
      <c r="D32" s="443"/>
      <c r="E32" s="443"/>
      <c r="F32" s="443"/>
      <c r="G32" s="443"/>
      <c r="H32" s="443"/>
      <c r="I32" s="443"/>
      <c r="J32" s="443"/>
    </row>
    <row r="33" spans="2:10">
      <c r="B33" s="64"/>
    </row>
    <row r="34" spans="2:10">
      <c r="D34" s="27" t="s">
        <v>216</v>
      </c>
    </row>
    <row r="35" spans="2:10">
      <c r="D35" s="27" t="s">
        <v>153</v>
      </c>
      <c r="F35" s="10">
        <f>+F55</f>
        <v>15998</v>
      </c>
      <c r="H35" s="76">
        <f>+F35/F37</f>
        <v>0.56670208997520366</v>
      </c>
    </row>
    <row r="36" spans="2:10">
      <c r="D36" s="27" t="s">
        <v>215</v>
      </c>
      <c r="F36" s="10">
        <f>+H55</f>
        <v>12232</v>
      </c>
      <c r="H36" s="76">
        <f>+F36/F37</f>
        <v>0.43329791002479634</v>
      </c>
    </row>
    <row r="37" spans="2:10" ht="14" thickBot="1">
      <c r="D37" s="27"/>
      <c r="F37" s="301">
        <f>SUM(F35:F36)</f>
        <v>28230</v>
      </c>
      <c r="H37" s="302">
        <f>SUM(H35:H36)</f>
        <v>1</v>
      </c>
    </row>
    <row r="38" spans="2:10" ht="14" thickTop="1"/>
    <row r="40" spans="2:10" ht="14" thickBot="1">
      <c r="D40" s="292" t="s">
        <v>231</v>
      </c>
      <c r="F40" s="292" t="s">
        <v>153</v>
      </c>
      <c r="H40" s="292" t="s">
        <v>215</v>
      </c>
      <c r="J40" s="292" t="s">
        <v>15</v>
      </c>
    </row>
    <row r="41" spans="2:10">
      <c r="D41" s="27" t="s">
        <v>217</v>
      </c>
      <c r="F41" s="10">
        <v>320</v>
      </c>
      <c r="G41" s="10"/>
      <c r="H41" s="10">
        <v>0</v>
      </c>
      <c r="J41" s="200">
        <f>+F41+H41</f>
        <v>320</v>
      </c>
    </row>
    <row r="42" spans="2:10">
      <c r="D42" s="27" t="s">
        <v>218</v>
      </c>
      <c r="F42" s="10">
        <v>661</v>
      </c>
      <c r="G42" s="10"/>
      <c r="H42" s="10">
        <v>0</v>
      </c>
      <c r="J42" s="200">
        <f t="shared" ref="J42:J54" si="0">+F42+H42</f>
        <v>661</v>
      </c>
    </row>
    <row r="43" spans="2:10">
      <c r="D43" s="27" t="s">
        <v>219</v>
      </c>
      <c r="F43" s="10">
        <v>1260</v>
      </c>
      <c r="G43" s="10"/>
      <c r="H43" s="10">
        <v>0</v>
      </c>
      <c r="J43" s="200">
        <f t="shared" si="0"/>
        <v>1260</v>
      </c>
    </row>
    <row r="44" spans="2:10">
      <c r="D44" s="27" t="s">
        <v>220</v>
      </c>
      <c r="F44" s="10">
        <v>2898</v>
      </c>
      <c r="G44" s="10"/>
      <c r="H44" s="10">
        <v>0</v>
      </c>
      <c r="J44" s="200">
        <f t="shared" si="0"/>
        <v>2898</v>
      </c>
    </row>
    <row r="45" spans="2:10">
      <c r="D45" s="27" t="s">
        <v>221</v>
      </c>
      <c r="F45" s="10">
        <v>3241</v>
      </c>
      <c r="G45" s="10"/>
      <c r="H45" s="10">
        <v>0</v>
      </c>
      <c r="J45" s="200">
        <f t="shared" si="0"/>
        <v>3241</v>
      </c>
    </row>
    <row r="46" spans="2:10">
      <c r="D46" s="27" t="s">
        <v>222</v>
      </c>
      <c r="F46" s="10">
        <v>2276</v>
      </c>
      <c r="G46" s="10"/>
      <c r="H46" s="10">
        <v>0</v>
      </c>
      <c r="J46" s="200">
        <f t="shared" si="0"/>
        <v>2276</v>
      </c>
    </row>
    <row r="47" spans="2:10">
      <c r="D47" s="27" t="s">
        <v>223</v>
      </c>
      <c r="F47" s="10">
        <v>2714</v>
      </c>
      <c r="G47" s="10"/>
      <c r="H47" s="10">
        <v>0</v>
      </c>
      <c r="J47" s="200">
        <f t="shared" si="0"/>
        <v>2714</v>
      </c>
    </row>
    <row r="48" spans="2:10">
      <c r="D48" s="27" t="s">
        <v>226</v>
      </c>
      <c r="F48" s="10">
        <v>0</v>
      </c>
      <c r="G48" s="10"/>
      <c r="H48" s="10">
        <v>1990</v>
      </c>
      <c r="J48" s="200">
        <f t="shared" si="0"/>
        <v>1990</v>
      </c>
    </row>
    <row r="49" spans="4:10">
      <c r="D49" s="27" t="s">
        <v>227</v>
      </c>
      <c r="F49" s="10">
        <v>0</v>
      </c>
      <c r="G49" s="10"/>
      <c r="H49" s="10">
        <v>1490</v>
      </c>
      <c r="J49" s="200">
        <f t="shared" si="0"/>
        <v>1490</v>
      </c>
    </row>
    <row r="50" spans="4:10">
      <c r="D50" s="27" t="s">
        <v>228</v>
      </c>
      <c r="F50" s="10">
        <v>0</v>
      </c>
      <c r="G50" s="10"/>
      <c r="H50" s="10">
        <v>2476</v>
      </c>
      <c r="J50" s="200">
        <f t="shared" si="0"/>
        <v>2476</v>
      </c>
    </row>
    <row r="51" spans="4:10">
      <c r="D51" s="27" t="s">
        <v>229</v>
      </c>
      <c r="F51" s="10">
        <v>0</v>
      </c>
      <c r="G51" s="10"/>
      <c r="H51" s="10">
        <v>2641</v>
      </c>
      <c r="J51" s="200">
        <f t="shared" si="0"/>
        <v>2641</v>
      </c>
    </row>
    <row r="52" spans="4:10">
      <c r="D52" s="27" t="s">
        <v>225</v>
      </c>
      <c r="F52" s="10">
        <v>243</v>
      </c>
      <c r="G52" s="10"/>
      <c r="H52" s="10">
        <v>558</v>
      </c>
      <c r="J52" s="200">
        <f t="shared" si="0"/>
        <v>801</v>
      </c>
    </row>
    <row r="53" spans="4:10">
      <c r="D53" s="27" t="s">
        <v>230</v>
      </c>
      <c r="F53" s="10">
        <v>0</v>
      </c>
      <c r="G53" s="10"/>
      <c r="H53" s="10">
        <v>2518</v>
      </c>
      <c r="J53" s="200">
        <f t="shared" si="0"/>
        <v>2518</v>
      </c>
    </row>
    <row r="54" spans="4:10">
      <c r="D54" s="27" t="s">
        <v>224</v>
      </c>
      <c r="F54" s="10">
        <v>2385</v>
      </c>
      <c r="G54" s="10"/>
      <c r="H54" s="10">
        <v>559</v>
      </c>
      <c r="J54" s="200">
        <f t="shared" si="0"/>
        <v>2944</v>
      </c>
    </row>
    <row r="55" spans="4:10" ht="14" thickBot="1">
      <c r="F55" s="303">
        <f>SUM(F41:F54)</f>
        <v>15998</v>
      </c>
      <c r="G55" s="10"/>
      <c r="H55" s="303">
        <f>SUM(H41:H54)</f>
        <v>12232</v>
      </c>
      <c r="J55" s="303">
        <f>SUM(J41:J54)</f>
        <v>28230</v>
      </c>
    </row>
    <row r="56" spans="4:10" ht="14" thickTop="1"/>
  </sheetData>
  <mergeCells count="2">
    <mergeCell ref="B1:J1"/>
    <mergeCell ref="B32:J32"/>
  </mergeCells>
  <pageMargins left="0.7" right="0.7" top="0.75" bottom="0.75" header="0.3" footer="0.3"/>
  <pageSetup scale="8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B1B0-F779-5044-B243-6780D43BB0D7}">
  <sheetPr codeName="Sheet17">
    <pageSetUpPr fitToPage="1"/>
  </sheetPr>
  <dimension ref="B1:K28"/>
  <sheetViews>
    <sheetView workbookViewId="0">
      <selection activeCell="D13" sqref="D13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316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52</v>
      </c>
    </row>
    <row r="7" spans="2:11">
      <c r="B7" s="35" t="s">
        <v>162</v>
      </c>
    </row>
    <row r="8" spans="2:11">
      <c r="B8" s="27"/>
    </row>
    <row r="9" spans="2:11">
      <c r="B9" s="12"/>
      <c r="C9" s="12"/>
      <c r="D9" s="12"/>
      <c r="E9" s="12"/>
      <c r="F9" s="257" t="s">
        <v>19</v>
      </c>
      <c r="G9" s="12"/>
      <c r="H9" s="257"/>
      <c r="I9" s="12"/>
      <c r="J9" s="257" t="s">
        <v>24</v>
      </c>
    </row>
    <row r="10" spans="2:11" ht="14" thickBot="1">
      <c r="B10" s="256" t="s">
        <v>18</v>
      </c>
      <c r="C10" s="257"/>
      <c r="D10" s="256" t="s">
        <v>17</v>
      </c>
      <c r="E10" s="257"/>
      <c r="F10" s="256" t="s">
        <v>60</v>
      </c>
      <c r="G10" s="257"/>
      <c r="H10" s="256" t="s">
        <v>20</v>
      </c>
      <c r="I10" s="257"/>
      <c r="J10" s="256" t="s">
        <v>25</v>
      </c>
    </row>
    <row r="11" spans="2:11">
      <c r="B11" s="257"/>
      <c r="C11" s="257"/>
      <c r="D11" s="12"/>
      <c r="E11" s="257"/>
      <c r="F11" s="257" t="s">
        <v>9</v>
      </c>
      <c r="G11" s="257"/>
      <c r="H11" s="257" t="s">
        <v>10</v>
      </c>
      <c r="I11" s="257"/>
      <c r="J11" s="5" t="s">
        <v>11</v>
      </c>
    </row>
    <row r="12" spans="2:11" ht="14" thickBot="1">
      <c r="B12" s="257"/>
      <c r="C12" s="257"/>
      <c r="D12" s="12"/>
      <c r="E12" s="257"/>
      <c r="F12" s="257"/>
      <c r="G12" s="257"/>
      <c r="H12" s="257"/>
      <c r="I12" s="257"/>
      <c r="J12" s="5"/>
    </row>
    <row r="13" spans="2:11" s="35" customFormat="1" ht="14" thickBot="1">
      <c r="B13" s="148">
        <v>1</v>
      </c>
      <c r="D13" s="27" t="s">
        <v>162</v>
      </c>
      <c r="E13" s="257"/>
      <c r="F13" s="198">
        <v>210764</v>
      </c>
      <c r="G13" s="57"/>
      <c r="H13" s="190">
        <f>-F13</f>
        <v>-210764</v>
      </c>
      <c r="I13" s="57"/>
      <c r="J13" s="198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-10538</v>
      </c>
      <c r="G16" s="4"/>
      <c r="H16" s="48">
        <f>+J16-F16</f>
        <v>10538</v>
      </c>
      <c r="I16" s="39"/>
      <c r="J16" s="48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200226</v>
      </c>
      <c r="J18" s="20">
        <f>+J13+J16</f>
        <v>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193">
        <f>ROUND(-F19*F18,0)</f>
        <v>-42047</v>
      </c>
      <c r="G20" s="23"/>
      <c r="H20" s="193">
        <f>+J20-F20</f>
        <v>42047</v>
      </c>
      <c r="I20" s="264"/>
      <c r="J20" s="193">
        <f>ROUND(-J19*J18,0)</f>
        <v>0</v>
      </c>
    </row>
    <row r="21" spans="2:11" ht="15" thickTop="1" thickBot="1">
      <c r="B21" s="148"/>
      <c r="D21" s="95"/>
      <c r="E21" s="140"/>
      <c r="F21" s="265"/>
      <c r="G21" s="23"/>
      <c r="H21" s="264"/>
      <c r="I21" s="264"/>
      <c r="J21" s="265"/>
    </row>
    <row r="22" spans="2:11" ht="14" thickBot="1">
      <c r="B22" s="148">
        <v>7</v>
      </c>
      <c r="D22" s="95" t="s">
        <v>147</v>
      </c>
      <c r="E22" s="140"/>
      <c r="F22" s="193">
        <f>+F16+F20</f>
        <v>-52585</v>
      </c>
      <c r="G22" s="23"/>
      <c r="H22" s="266">
        <f>+J22-F22</f>
        <v>52585</v>
      </c>
      <c r="I22" s="264"/>
      <c r="J22" s="193">
        <f>+J16+J20</f>
        <v>0</v>
      </c>
      <c r="K22" s="142"/>
    </row>
    <row r="23" spans="2:11" ht="14" thickTop="1">
      <c r="B23" s="148"/>
      <c r="D23" s="140"/>
      <c r="E23" s="140"/>
      <c r="F23" s="267"/>
      <c r="G23" s="23"/>
      <c r="H23" s="264"/>
      <c r="I23" s="264"/>
      <c r="J23" s="267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-158179</v>
      </c>
      <c r="G24" s="23"/>
      <c r="H24" s="193">
        <f>-H13-H22</f>
        <v>158179</v>
      </c>
      <c r="I24" s="264"/>
      <c r="J24" s="193">
        <f>-J13-J22</f>
        <v>0</v>
      </c>
    </row>
    <row r="25" spans="2:11" ht="14" thickTop="1">
      <c r="B25" s="148"/>
      <c r="C25" s="257"/>
      <c r="D25" s="12"/>
      <c r="E25" s="257"/>
      <c r="F25" s="257"/>
      <c r="G25" s="257"/>
      <c r="H25" s="257"/>
      <c r="I25" s="257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163</v>
      </c>
      <c r="F28" s="44"/>
      <c r="G28" s="44"/>
      <c r="H28" s="44"/>
      <c r="I28" s="44"/>
      <c r="J28" s="4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CF32-0D1E-8C40-987A-B9CF9CB82A15}">
  <sheetPr>
    <pageSetUpPr fitToPage="1"/>
  </sheetPr>
  <dimension ref="B1:K31"/>
  <sheetViews>
    <sheetView workbookViewId="0">
      <selection activeCell="B7" sqref="B7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184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53</v>
      </c>
    </row>
    <row r="7" spans="2:11">
      <c r="B7" s="27" t="s">
        <v>317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27" t="s">
        <v>235</v>
      </c>
      <c r="E13" s="294"/>
      <c r="F13" s="198">
        <v>1672534</v>
      </c>
      <c r="G13" s="57"/>
      <c r="H13" s="190">
        <f>-F13</f>
        <v>-1672534</v>
      </c>
      <c r="I13" s="57"/>
      <c r="J13" s="198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-83627</v>
      </c>
      <c r="G16" s="4"/>
      <c r="H16" s="48">
        <f>+J16-F16</f>
        <v>83627</v>
      </c>
      <c r="I16" s="39"/>
      <c r="J16" s="48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1588907</v>
      </c>
      <c r="J18" s="20">
        <f>+J13+J16</f>
        <v>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-333670</v>
      </c>
      <c r="G20" s="4"/>
      <c r="H20" s="48">
        <f>+J20-F20</f>
        <v>333670</v>
      </c>
      <c r="I20" s="39"/>
      <c r="J20" s="48">
        <f>ROUND(-J19*J18,0)</f>
        <v>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-417297</v>
      </c>
      <c r="G22" s="4"/>
      <c r="H22" s="141">
        <f>+J22-F22</f>
        <v>417297</v>
      </c>
      <c r="I22" s="39"/>
      <c r="J22" s="48">
        <f>+J16+J20</f>
        <v>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-1255237</v>
      </c>
      <c r="G24" s="4"/>
      <c r="H24" s="48">
        <f>-H13-H22</f>
        <v>1255237</v>
      </c>
      <c r="I24" s="39"/>
      <c r="J24" s="193">
        <f>-J13-J22</f>
        <v>0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236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13E5-442D-7448-A46D-81FCCE4A7B0B}">
  <sheetPr>
    <pageSetUpPr fitToPage="1"/>
  </sheetPr>
  <dimension ref="B1:K31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319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54</v>
      </c>
    </row>
    <row r="7" spans="2:11">
      <c r="B7" s="27" t="s">
        <v>318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45" t="s">
        <v>209</v>
      </c>
      <c r="E13" s="294"/>
      <c r="F13" s="198">
        <v>1260000</v>
      </c>
      <c r="G13" s="57"/>
      <c r="H13" s="190">
        <f>-F13</f>
        <v>-1260000</v>
      </c>
      <c r="I13" s="57"/>
      <c r="J13" s="198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-63000</v>
      </c>
      <c r="G16" s="4"/>
      <c r="H16" s="48">
        <f>+J16-F16</f>
        <v>63000</v>
      </c>
      <c r="I16" s="39"/>
      <c r="J16" s="48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1197000</v>
      </c>
      <c r="J18" s="20">
        <f>+J13+J16</f>
        <v>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-251370</v>
      </c>
      <c r="G20" s="4"/>
      <c r="H20" s="48">
        <f>+J20-F20</f>
        <v>251370</v>
      </c>
      <c r="I20" s="39"/>
      <c r="J20" s="48">
        <f>ROUND(-J19*J18,0)</f>
        <v>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-314370</v>
      </c>
      <c r="G22" s="4"/>
      <c r="H22" s="141">
        <f>+J22-F22</f>
        <v>314370</v>
      </c>
      <c r="I22" s="39"/>
      <c r="J22" s="48">
        <f>+J16+J20</f>
        <v>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-945630</v>
      </c>
      <c r="G24" s="4"/>
      <c r="H24" s="48">
        <f>-H13-H22</f>
        <v>945630</v>
      </c>
      <c r="I24" s="39"/>
      <c r="J24" s="193">
        <f>-J13-J22</f>
        <v>0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210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4FAB-4864-1A4B-9AFC-089AB4A4B061}">
  <sheetPr>
    <pageSetUpPr fitToPage="1"/>
  </sheetPr>
  <dimension ref="B1:K31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41.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321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55</v>
      </c>
    </row>
    <row r="7" spans="2:11">
      <c r="B7" s="21" t="s">
        <v>320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27" t="s">
        <v>204</v>
      </c>
      <c r="E13" s="294"/>
      <c r="F13" s="198">
        <v>0</v>
      </c>
      <c r="G13" s="57"/>
      <c r="H13" s="190">
        <v>-440000</v>
      </c>
      <c r="I13" s="57"/>
      <c r="J13" s="198">
        <f>+F13+H13</f>
        <v>-440000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0</v>
      </c>
      <c r="G16" s="4"/>
      <c r="H16" s="48">
        <f>+J16-F16</f>
        <v>22000</v>
      </c>
      <c r="I16" s="39"/>
      <c r="J16" s="48">
        <f>ROUND(-J15*J13,0)</f>
        <v>22000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0</v>
      </c>
      <c r="J18" s="20">
        <f>+J13+J16</f>
        <v>-418000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0</v>
      </c>
      <c r="G20" s="4"/>
      <c r="H20" s="48">
        <f>+J20-F20</f>
        <v>87780</v>
      </c>
      <c r="I20" s="39"/>
      <c r="J20" s="48">
        <f>ROUND(-J19*J18,0)</f>
        <v>87780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0</v>
      </c>
      <c r="G22" s="4"/>
      <c r="H22" s="141">
        <f>+J22-F22</f>
        <v>109780</v>
      </c>
      <c r="I22" s="39"/>
      <c r="J22" s="48">
        <f>+J16+J20</f>
        <v>109780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0</v>
      </c>
      <c r="G24" s="4"/>
      <c r="H24" s="48">
        <f>-H13-H22</f>
        <v>330220</v>
      </c>
      <c r="I24" s="39"/>
      <c r="J24" s="193">
        <f>-J13-J22</f>
        <v>330220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 s="35" customFormat="1">
      <c r="B28" s="64" t="s">
        <v>203</v>
      </c>
      <c r="F28" s="44"/>
      <c r="G28" s="44"/>
      <c r="H28" s="44"/>
      <c r="I28" s="44"/>
      <c r="J28" s="44"/>
    </row>
    <row r="29" spans="2:11" s="35" customFormat="1">
      <c r="B29" s="64"/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>
      <c r="B31" s="64"/>
    </row>
  </sheetData>
  <mergeCells count="1">
    <mergeCell ref="B1:J1"/>
  </mergeCells>
  <pageMargins left="0.7" right="0.7" top="0.75" bottom="0.75" header="0.3" footer="0.3"/>
  <pageSetup scale="86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056B-E928-E444-87B9-0F226F4405CB}">
  <sheetPr codeName="Sheet13">
    <pageSetUpPr fitToPage="1"/>
  </sheetPr>
  <dimension ref="B1:K32"/>
  <sheetViews>
    <sheetView workbookViewId="0">
      <selection activeCell="J5" sqref="J5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323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56</v>
      </c>
    </row>
    <row r="7" spans="2:11">
      <c r="B7" s="27" t="s">
        <v>322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 ht="14" thickBot="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 s="35" customFormat="1" ht="14" thickBot="1">
      <c r="B13" s="148">
        <v>1</v>
      </c>
      <c r="D13" s="27" t="s">
        <v>201</v>
      </c>
      <c r="E13" s="294"/>
      <c r="F13" s="198">
        <v>15101486</v>
      </c>
      <c r="G13" s="57"/>
      <c r="H13" s="190">
        <f>-F13</f>
        <v>-15101486</v>
      </c>
      <c r="I13" s="57"/>
      <c r="J13" s="198">
        <f>+F13+H13</f>
        <v>0</v>
      </c>
    </row>
    <row r="14" spans="2:11" s="35" customFormat="1">
      <c r="B14" s="148"/>
      <c r="F14" s="44"/>
      <c r="G14" s="44"/>
      <c r="H14" s="44"/>
      <c r="I14" s="44"/>
      <c r="J14" s="44"/>
    </row>
    <row r="15" spans="2:11">
      <c r="B15" s="148">
        <v>2</v>
      </c>
      <c r="D15" s="21" t="s">
        <v>144</v>
      </c>
      <c r="E15" s="21"/>
      <c r="F15" s="81">
        <f>+'Sch 1.2'!$F$18</f>
        <v>0.05</v>
      </c>
      <c r="G15" s="22"/>
      <c r="H15" s="22"/>
      <c r="I15" s="22"/>
      <c r="J15" s="81">
        <f>+'Sch 1.2'!$J$18</f>
        <v>0.05</v>
      </c>
      <c r="K15" s="4"/>
    </row>
    <row r="16" spans="2:11" ht="14" thickBot="1">
      <c r="B16" s="148">
        <v>3</v>
      </c>
      <c r="D16" s="21" t="s">
        <v>145</v>
      </c>
      <c r="E16" s="21"/>
      <c r="F16" s="48">
        <f>ROUND(-F15*F13,0)</f>
        <v>-755074</v>
      </c>
      <c r="G16" s="4"/>
      <c r="H16" s="48">
        <f>+J16-F16</f>
        <v>755074</v>
      </c>
      <c r="I16" s="39"/>
      <c r="J16" s="48">
        <f>ROUND(-J15*J13,0)</f>
        <v>0</v>
      </c>
      <c r="K16" s="4"/>
    </row>
    <row r="17" spans="2:11" ht="14" thickTop="1">
      <c r="B17" s="148"/>
      <c r="D17" s="21"/>
      <c r="E17" s="21"/>
      <c r="F17" s="20"/>
      <c r="J17" s="20"/>
    </row>
    <row r="18" spans="2:11">
      <c r="B18" s="148">
        <v>4</v>
      </c>
      <c r="D18" s="21" t="s">
        <v>30</v>
      </c>
      <c r="E18" s="21"/>
      <c r="F18" s="20">
        <f>+F13+F16</f>
        <v>14346412</v>
      </c>
      <c r="J18" s="20">
        <f>+J13+J16</f>
        <v>0</v>
      </c>
    </row>
    <row r="19" spans="2:11">
      <c r="B19" s="148">
        <v>5</v>
      </c>
      <c r="D19" s="21" t="s">
        <v>29</v>
      </c>
      <c r="E19" s="21"/>
      <c r="F19" s="49">
        <f>+'Sch 1.2'!$F$22</f>
        <v>0.21</v>
      </c>
      <c r="J19" s="49">
        <f>+'Sch 1.2'!$F$22</f>
        <v>0.21</v>
      </c>
    </row>
    <row r="20" spans="2:11" ht="14" thickBot="1">
      <c r="B20" s="148">
        <v>6</v>
      </c>
      <c r="D20" s="27" t="s">
        <v>146</v>
      </c>
      <c r="F20" s="48">
        <f>ROUND(-F19*F18,0)</f>
        <v>-3012747</v>
      </c>
      <c r="G20" s="4"/>
      <c r="H20" s="48">
        <f>+J20-F20</f>
        <v>3012747</v>
      </c>
      <c r="I20" s="39"/>
      <c r="J20" s="48">
        <f>ROUND(-J19*J18,0)</f>
        <v>0</v>
      </c>
    </row>
    <row r="21" spans="2:11" ht="15" thickTop="1" thickBot="1">
      <c r="B21" s="148"/>
      <c r="D21" s="95"/>
      <c r="E21" s="140"/>
      <c r="F21" s="50"/>
      <c r="G21" s="4"/>
      <c r="H21" s="39"/>
      <c r="I21" s="39"/>
      <c r="J21" s="50"/>
    </row>
    <row r="22" spans="2:11" ht="14" thickBot="1">
      <c r="B22" s="148">
        <v>7</v>
      </c>
      <c r="D22" s="95" t="s">
        <v>147</v>
      </c>
      <c r="E22" s="140"/>
      <c r="F22" s="48">
        <f>+F16+F20</f>
        <v>-3767821</v>
      </c>
      <c r="G22" s="4"/>
      <c r="H22" s="141">
        <f>+J22-F22</f>
        <v>3767821</v>
      </c>
      <c r="I22" s="39"/>
      <c r="J22" s="48">
        <f>+J16+J20</f>
        <v>0</v>
      </c>
      <c r="K22" s="142"/>
    </row>
    <row r="23" spans="2:11" ht="14" thickTop="1">
      <c r="B23" s="148"/>
      <c r="D23" s="140"/>
      <c r="E23" s="140"/>
      <c r="F23" s="51"/>
      <c r="G23" s="4"/>
      <c r="H23" s="39"/>
      <c r="I23" s="39"/>
      <c r="J23" s="51"/>
      <c r="K23" s="4"/>
    </row>
    <row r="24" spans="2:11" ht="14" thickBot="1">
      <c r="B24" s="148">
        <v>8</v>
      </c>
      <c r="D24" s="140" t="s">
        <v>2</v>
      </c>
      <c r="E24" s="140"/>
      <c r="F24" s="193">
        <f>-F13-F22</f>
        <v>-11333665</v>
      </c>
      <c r="G24" s="4"/>
      <c r="H24" s="48">
        <f>-H13-H22</f>
        <v>11333665</v>
      </c>
      <c r="I24" s="39"/>
      <c r="J24" s="193">
        <f>-J13-J22</f>
        <v>0</v>
      </c>
    </row>
    <row r="25" spans="2:11" ht="14" thickTop="1">
      <c r="B25" s="148"/>
      <c r="C25" s="294"/>
      <c r="D25" s="12"/>
      <c r="E25" s="294"/>
      <c r="F25" s="294"/>
      <c r="G25" s="294"/>
      <c r="H25" s="294"/>
      <c r="I25" s="294"/>
      <c r="J25" s="5"/>
      <c r="K25" s="4"/>
    </row>
    <row r="27" spans="2:11">
      <c r="B27" s="110" t="s">
        <v>74</v>
      </c>
      <c r="C27" s="70"/>
      <c r="D27" s="70"/>
      <c r="E27" s="70"/>
      <c r="F27" s="70"/>
      <c r="G27" s="70"/>
      <c r="H27" s="70"/>
      <c r="I27" s="70"/>
      <c r="J27" s="70"/>
    </row>
    <row r="28" spans="2:11">
      <c r="B28" s="64" t="s">
        <v>202</v>
      </c>
      <c r="C28" s="4"/>
      <c r="D28" s="4"/>
      <c r="E28" s="4"/>
      <c r="F28" s="4"/>
      <c r="G28" s="4"/>
      <c r="H28" s="4"/>
      <c r="I28" s="4"/>
      <c r="J28" s="4"/>
    </row>
    <row r="29" spans="2:11" s="35" customFormat="1">
      <c r="B29" s="64" t="s">
        <v>200</v>
      </c>
      <c r="F29" s="44"/>
      <c r="G29" s="44"/>
      <c r="H29" s="44"/>
      <c r="I29" s="44"/>
      <c r="J29" s="44"/>
    </row>
    <row r="30" spans="2:11" s="35" customFormat="1">
      <c r="B30" s="64"/>
      <c r="F30" s="44"/>
      <c r="G30" s="44"/>
      <c r="H30" s="44"/>
      <c r="I30" s="44"/>
      <c r="J30" s="44"/>
    </row>
    <row r="31" spans="2:11" s="35" customFormat="1">
      <c r="B31" s="64"/>
      <c r="F31" s="44"/>
      <c r="G31" s="44"/>
      <c r="H31" s="44"/>
      <c r="I31" s="44"/>
      <c r="J31" s="44"/>
    </row>
    <row r="32" spans="2:11">
      <c r="B32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FD35-DC4D-114E-8EF7-68FE04F03622}">
  <sheetPr>
    <pageSetUpPr fitToPage="1"/>
  </sheetPr>
  <dimension ref="B1:K38"/>
  <sheetViews>
    <sheetView workbookViewId="0">
      <selection activeCell="F31" sqref="F31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325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324</v>
      </c>
    </row>
    <row r="7" spans="2:11">
      <c r="B7" s="27" t="s">
        <v>326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>
      <c r="B13" s="112">
        <v>1</v>
      </c>
      <c r="C13" s="294"/>
      <c r="D13" s="27" t="s">
        <v>292</v>
      </c>
      <c r="E13" s="294"/>
      <c r="F13" s="149">
        <v>596969</v>
      </c>
      <c r="G13" s="294"/>
      <c r="H13" s="149">
        <f>+J13-F13</f>
        <v>18039</v>
      </c>
      <c r="I13" s="294"/>
      <c r="J13" s="149">
        <v>615008</v>
      </c>
    </row>
    <row r="14" spans="2:11">
      <c r="B14" s="112">
        <v>2</v>
      </c>
      <c r="C14" s="294"/>
      <c r="D14" s="27" t="s">
        <v>293</v>
      </c>
      <c r="E14" s="294"/>
      <c r="F14" s="331">
        <v>3369195</v>
      </c>
      <c r="G14" s="294"/>
      <c r="H14" s="331">
        <f t="shared" ref="H14:H17" si="0">+J14-F14</f>
        <v>245322</v>
      </c>
      <c r="I14" s="294"/>
      <c r="J14" s="331">
        <v>3614517</v>
      </c>
    </row>
    <row r="15" spans="2:11">
      <c r="B15" s="112">
        <v>3</v>
      </c>
      <c r="C15" s="294"/>
      <c r="D15" s="27" t="s">
        <v>294</v>
      </c>
      <c r="E15" s="294"/>
      <c r="F15" s="331">
        <v>377534</v>
      </c>
      <c r="G15" s="294"/>
      <c r="H15" s="331">
        <f t="shared" si="0"/>
        <v>-243174</v>
      </c>
      <c r="I15" s="294"/>
      <c r="J15" s="331">
        <v>134360</v>
      </c>
    </row>
    <row r="16" spans="2:11">
      <c r="B16" s="112">
        <v>4</v>
      </c>
      <c r="C16" s="294"/>
      <c r="D16" s="27" t="s">
        <v>295</v>
      </c>
      <c r="E16" s="294"/>
      <c r="F16" s="331">
        <v>293973</v>
      </c>
      <c r="G16" s="294"/>
      <c r="H16" s="331">
        <f t="shared" si="0"/>
        <v>36867</v>
      </c>
      <c r="I16" s="294"/>
      <c r="J16" s="331">
        <v>330840</v>
      </c>
    </row>
    <row r="17" spans="2:11">
      <c r="B17" s="112">
        <v>5</v>
      </c>
      <c r="C17" s="294"/>
      <c r="D17" s="27" t="s">
        <v>296</v>
      </c>
      <c r="E17" s="294"/>
      <c r="F17" s="192">
        <v>85604</v>
      </c>
      <c r="G17" s="294"/>
      <c r="H17" s="192">
        <f t="shared" si="0"/>
        <v>4518</v>
      </c>
      <c r="I17" s="294"/>
      <c r="J17" s="192">
        <v>90122</v>
      </c>
    </row>
    <row r="18" spans="2:11">
      <c r="B18" s="112">
        <v>6</v>
      </c>
      <c r="C18" s="294"/>
      <c r="D18" s="64" t="s">
        <v>297</v>
      </c>
      <c r="E18" s="294"/>
      <c r="F18" s="149">
        <f>SUM(F13:F17)-1</f>
        <v>4723274</v>
      </c>
      <c r="G18" s="294"/>
      <c r="H18" s="149">
        <f>SUM(H13:H17)-1</f>
        <v>61571</v>
      </c>
      <c r="I18" s="294"/>
      <c r="J18" s="149">
        <f>SUM(J13:J17)-1</f>
        <v>4784846</v>
      </c>
    </row>
    <row r="19" spans="2:11" ht="14" thickBot="1">
      <c r="B19" s="112">
        <v>7</v>
      </c>
      <c r="C19" s="294"/>
      <c r="D19" s="27" t="s">
        <v>298</v>
      </c>
      <c r="E19" s="294"/>
      <c r="F19" s="332">
        <v>5</v>
      </c>
      <c r="G19" s="333"/>
      <c r="H19" s="332">
        <v>5</v>
      </c>
      <c r="I19" s="333"/>
      <c r="J19" s="332">
        <f t="shared" ref="J19" si="1">+F19+H19</f>
        <v>10</v>
      </c>
    </row>
    <row r="20" spans="2:11" s="35" customFormat="1" ht="14" thickBot="1">
      <c r="B20" s="112">
        <v>8</v>
      </c>
      <c r="D20" s="27" t="s">
        <v>299</v>
      </c>
      <c r="E20" s="294"/>
      <c r="F20" s="198">
        <f>+F18/F19</f>
        <v>944654.8</v>
      </c>
      <c r="G20" s="57"/>
      <c r="H20" s="190">
        <f>+J20-F20</f>
        <v>-466170.20000000007</v>
      </c>
      <c r="I20" s="57"/>
      <c r="J20" s="198">
        <f>+J18/J19</f>
        <v>478484.6</v>
      </c>
    </row>
    <row r="21" spans="2:11" s="35" customFormat="1">
      <c r="B21" s="148"/>
      <c r="F21" s="44"/>
      <c r="G21" s="44"/>
      <c r="H21" s="44"/>
      <c r="I21" s="44"/>
      <c r="J21" s="44"/>
    </row>
    <row r="22" spans="2:11">
      <c r="B22" s="148">
        <v>9</v>
      </c>
      <c r="D22" s="21" t="s">
        <v>144</v>
      </c>
      <c r="E22" s="21"/>
      <c r="F22" s="81">
        <f>+'Sch 1.2'!$F$18</f>
        <v>0.05</v>
      </c>
      <c r="G22" s="22"/>
      <c r="H22" s="22"/>
      <c r="I22" s="22"/>
      <c r="J22" s="81">
        <f>+'Sch 1.2'!$J$18</f>
        <v>0.05</v>
      </c>
      <c r="K22" s="4"/>
    </row>
    <row r="23" spans="2:11" ht="14" thickBot="1">
      <c r="B23" s="148">
        <v>10</v>
      </c>
      <c r="D23" s="21" t="s">
        <v>145</v>
      </c>
      <c r="E23" s="21"/>
      <c r="F23" s="48">
        <f>ROUND(-F22*F20,0)</f>
        <v>-47233</v>
      </c>
      <c r="G23" s="4"/>
      <c r="H23" s="48">
        <f>+J23-F23</f>
        <v>23309</v>
      </c>
      <c r="I23" s="39"/>
      <c r="J23" s="48">
        <f>ROUND(-J22*J20,0)</f>
        <v>-23924</v>
      </c>
      <c r="K23" s="4"/>
    </row>
    <row r="24" spans="2:11" ht="14" thickTop="1">
      <c r="B24" s="148"/>
      <c r="D24" s="21"/>
      <c r="E24" s="21"/>
      <c r="F24" s="20"/>
      <c r="J24" s="20"/>
    </row>
    <row r="25" spans="2:11">
      <c r="B25" s="148">
        <v>11</v>
      </c>
      <c r="D25" s="21" t="s">
        <v>30</v>
      </c>
      <c r="E25" s="21"/>
      <c r="F25" s="20">
        <f>+F20+F23</f>
        <v>897421.8</v>
      </c>
      <c r="J25" s="20">
        <f>+J20+J23</f>
        <v>454560.6</v>
      </c>
    </row>
    <row r="26" spans="2:11">
      <c r="B26" s="148">
        <v>12</v>
      </c>
      <c r="D26" s="21" t="s">
        <v>29</v>
      </c>
      <c r="E26" s="21"/>
      <c r="F26" s="49">
        <f>+'Sch 1.2'!$F$22</f>
        <v>0.21</v>
      </c>
      <c r="J26" s="49">
        <f>+'Sch 1.2'!$F$22</f>
        <v>0.21</v>
      </c>
    </row>
    <row r="27" spans="2:11" ht="14" thickBot="1">
      <c r="B27" s="148">
        <v>13</v>
      </c>
      <c r="D27" s="27" t="s">
        <v>146</v>
      </c>
      <c r="F27" s="48">
        <f>ROUND(-F26*F25,0)</f>
        <v>-188459</v>
      </c>
      <c r="G27" s="4"/>
      <c r="H27" s="48">
        <f>+J27-F27</f>
        <v>93001</v>
      </c>
      <c r="I27" s="39"/>
      <c r="J27" s="48">
        <f>ROUND(-J26*J25,0)</f>
        <v>-95458</v>
      </c>
    </row>
    <row r="28" spans="2:11" ht="15" thickTop="1" thickBot="1">
      <c r="B28" s="148"/>
      <c r="D28" s="95"/>
      <c r="E28" s="140"/>
      <c r="F28" s="50"/>
      <c r="G28" s="4"/>
      <c r="H28" s="39"/>
      <c r="I28" s="39"/>
      <c r="J28" s="50"/>
    </row>
    <row r="29" spans="2:11" ht="14" thickBot="1">
      <c r="B29" s="148">
        <v>14</v>
      </c>
      <c r="D29" s="95" t="s">
        <v>147</v>
      </c>
      <c r="E29" s="140"/>
      <c r="F29" s="48">
        <f>+F23+F27</f>
        <v>-235692</v>
      </c>
      <c r="G29" s="4"/>
      <c r="H29" s="141">
        <f>+J29-F29</f>
        <v>116310</v>
      </c>
      <c r="I29" s="39"/>
      <c r="J29" s="48">
        <f>+J23+J27</f>
        <v>-119382</v>
      </c>
      <c r="K29" s="142"/>
    </row>
    <row r="30" spans="2:11" ht="14" thickTop="1">
      <c r="B30" s="148"/>
      <c r="D30" s="140"/>
      <c r="E30" s="140"/>
      <c r="F30" s="51"/>
      <c r="G30" s="4"/>
      <c r="H30" s="39"/>
      <c r="I30" s="39"/>
      <c r="J30" s="51"/>
      <c r="K30" s="4"/>
    </row>
    <row r="31" spans="2:11" ht="14" thickBot="1">
      <c r="B31" s="148">
        <v>15</v>
      </c>
      <c r="D31" s="140" t="s">
        <v>2</v>
      </c>
      <c r="E31" s="140"/>
      <c r="F31" s="193">
        <f>-F20-F29</f>
        <v>-708962.8</v>
      </c>
      <c r="G31" s="4"/>
      <c r="H31" s="48">
        <f>-H20-H29</f>
        <v>349860.20000000007</v>
      </c>
      <c r="I31" s="39"/>
      <c r="J31" s="193">
        <f>-J20-J29</f>
        <v>-359102.6</v>
      </c>
    </row>
    <row r="32" spans="2:11" ht="14" thickTop="1">
      <c r="B32" s="148"/>
      <c r="C32" s="294"/>
      <c r="D32" s="12"/>
      <c r="E32" s="294"/>
      <c r="F32" s="294"/>
      <c r="G32" s="294"/>
      <c r="H32" s="294"/>
      <c r="I32" s="294"/>
      <c r="J32" s="5"/>
      <c r="K32" s="4"/>
    </row>
    <row r="34" spans="2:10">
      <c r="B34" s="110" t="s">
        <v>74</v>
      </c>
      <c r="C34" s="70"/>
      <c r="D34" s="70"/>
      <c r="E34" s="70"/>
      <c r="F34" s="70"/>
      <c r="G34" s="70"/>
      <c r="H34" s="70"/>
      <c r="I34" s="70"/>
      <c r="J34" s="70"/>
    </row>
    <row r="35" spans="2:10" s="35" customFormat="1">
      <c r="B35" s="64" t="s">
        <v>300</v>
      </c>
      <c r="F35" s="44"/>
      <c r="G35" s="44"/>
      <c r="H35" s="44"/>
      <c r="I35" s="44"/>
      <c r="J35" s="44"/>
    </row>
    <row r="36" spans="2:10" s="35" customFormat="1">
      <c r="B36" s="64" t="s">
        <v>343</v>
      </c>
      <c r="F36" s="44"/>
      <c r="G36" s="44"/>
      <c r="H36" s="44"/>
      <c r="I36" s="44"/>
      <c r="J36" s="44"/>
    </row>
    <row r="37" spans="2:10" s="35" customFormat="1">
      <c r="B37" s="64" t="s">
        <v>346</v>
      </c>
      <c r="F37" s="44"/>
      <c r="G37" s="44"/>
      <c r="H37" s="44"/>
      <c r="I37" s="44"/>
      <c r="J37" s="44"/>
    </row>
    <row r="38" spans="2:10">
      <c r="B38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  <ignoredErrors>
    <ignoredError sqref="J1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8EBA-687B-E841-AB01-FCBB35D1E0AB}">
  <sheetPr>
    <pageSetUpPr fitToPage="1"/>
  </sheetPr>
  <dimension ref="B1:M52"/>
  <sheetViews>
    <sheetView workbookViewId="0">
      <selection activeCell="H43" sqref="H43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2" width="8.83203125" style="33"/>
    <col min="13" max="13" width="11.6640625" style="33" bestFit="1" customWidth="1"/>
    <col min="14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328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327</v>
      </c>
    </row>
    <row r="7" spans="2:11">
      <c r="B7" s="27" t="s">
        <v>529</v>
      </c>
    </row>
    <row r="8" spans="2:11">
      <c r="B8" s="27"/>
    </row>
    <row r="9" spans="2:11">
      <c r="B9" s="12"/>
      <c r="C9" s="12"/>
      <c r="D9" s="12"/>
      <c r="E9" s="12"/>
      <c r="F9" s="294" t="s">
        <v>19</v>
      </c>
      <c r="G9" s="12"/>
      <c r="H9" s="294"/>
      <c r="I9" s="12"/>
      <c r="J9" s="294" t="s">
        <v>24</v>
      </c>
    </row>
    <row r="10" spans="2:11" ht="14" thickBot="1">
      <c r="B10" s="292" t="s">
        <v>18</v>
      </c>
      <c r="C10" s="294"/>
      <c r="D10" s="292" t="s">
        <v>17</v>
      </c>
      <c r="E10" s="294"/>
      <c r="F10" s="292" t="s">
        <v>60</v>
      </c>
      <c r="G10" s="294"/>
      <c r="H10" s="292" t="s">
        <v>20</v>
      </c>
      <c r="I10" s="294"/>
      <c r="J10" s="292" t="s">
        <v>25</v>
      </c>
    </row>
    <row r="11" spans="2:11">
      <c r="B11" s="294"/>
      <c r="C11" s="294"/>
      <c r="D11" s="12"/>
      <c r="E11" s="294"/>
      <c r="F11" s="294" t="s">
        <v>9</v>
      </c>
      <c r="G11" s="294"/>
      <c r="H11" s="294" t="s">
        <v>10</v>
      </c>
      <c r="I11" s="294"/>
      <c r="J11" s="5" t="s">
        <v>11</v>
      </c>
    </row>
    <row r="12" spans="2:11">
      <c r="B12" s="294"/>
      <c r="C12" s="294"/>
      <c r="D12" s="12"/>
      <c r="E12" s="294"/>
      <c r="F12" s="294"/>
      <c r="G12" s="294"/>
      <c r="H12" s="294"/>
      <c r="I12" s="294"/>
      <c r="J12" s="5"/>
    </row>
    <row r="13" spans="2:11">
      <c r="B13" s="294">
        <v>1</v>
      </c>
      <c r="C13" s="294"/>
      <c r="D13" s="12" t="s">
        <v>530</v>
      </c>
      <c r="E13" s="294"/>
      <c r="F13" s="294"/>
      <c r="G13" s="294"/>
      <c r="H13" s="294"/>
      <c r="I13" s="294"/>
      <c r="J13" s="5"/>
    </row>
    <row r="14" spans="2:11">
      <c r="B14" s="112">
        <v>2</v>
      </c>
      <c r="C14" s="294"/>
      <c r="D14" s="35" t="s">
        <v>344</v>
      </c>
      <c r="E14" s="294"/>
      <c r="F14" s="149">
        <v>-657929</v>
      </c>
      <c r="G14" s="294"/>
      <c r="H14" s="294"/>
      <c r="I14" s="294"/>
      <c r="J14" s="149">
        <f>+F14+H14</f>
        <v>-657929</v>
      </c>
    </row>
    <row r="15" spans="2:11">
      <c r="B15" s="112">
        <v>3</v>
      </c>
      <c r="C15" s="294"/>
      <c r="D15" s="27" t="s">
        <v>298</v>
      </c>
      <c r="E15" s="294"/>
      <c r="F15" s="332">
        <v>15</v>
      </c>
      <c r="G15" s="294"/>
      <c r="H15" s="419">
        <v>-9</v>
      </c>
      <c r="I15" s="333"/>
      <c r="J15" s="332">
        <f t="shared" ref="J15" si="0">+F15+H15</f>
        <v>6</v>
      </c>
    </row>
    <row r="16" spans="2:11" s="35" customFormat="1">
      <c r="B16" s="112">
        <v>4</v>
      </c>
      <c r="D16" s="27" t="s">
        <v>299</v>
      </c>
      <c r="E16" s="294"/>
      <c r="F16" s="198">
        <f>+F14/F15</f>
        <v>-43861.933333333334</v>
      </c>
      <c r="G16" s="57"/>
      <c r="H16" s="420">
        <f>+J16-F16</f>
        <v>-65792.899999999994</v>
      </c>
      <c r="I16" s="57"/>
      <c r="J16" s="198">
        <f>+J14/J15</f>
        <v>-109654.83333333333</v>
      </c>
    </row>
    <row r="17" spans="2:11" s="35" customFormat="1">
      <c r="B17" s="112"/>
      <c r="F17" s="44"/>
      <c r="G17" s="44"/>
      <c r="H17" s="44"/>
      <c r="I17" s="44"/>
      <c r="J17" s="44"/>
    </row>
    <row r="18" spans="2:11">
      <c r="B18" s="112">
        <v>5</v>
      </c>
      <c r="D18" s="21" t="s">
        <v>144</v>
      </c>
      <c r="E18" s="21"/>
      <c r="F18" s="81"/>
      <c r="G18" s="22"/>
      <c r="H18" s="22"/>
      <c r="I18" s="22"/>
      <c r="J18" s="81"/>
      <c r="K18" s="4"/>
    </row>
    <row r="19" spans="2:11" ht="14" thickBot="1">
      <c r="B19" s="112">
        <v>6</v>
      </c>
      <c r="D19" s="21" t="s">
        <v>145</v>
      </c>
      <c r="E19" s="21"/>
      <c r="F19" s="48">
        <f>ROUND(-F18*F16,0)</f>
        <v>0</v>
      </c>
      <c r="G19" s="4"/>
      <c r="H19" s="48">
        <f>+J19-F19</f>
        <v>0</v>
      </c>
      <c r="I19" s="39"/>
      <c r="J19" s="48">
        <f>ROUND(-J18*J16,0)</f>
        <v>0</v>
      </c>
      <c r="K19" s="4"/>
    </row>
    <row r="20" spans="2:11" ht="14" thickTop="1">
      <c r="B20" s="112"/>
      <c r="D20" s="21"/>
      <c r="E20" s="21"/>
      <c r="F20" s="20"/>
      <c r="J20" s="20"/>
    </row>
    <row r="21" spans="2:11">
      <c r="B21" s="112">
        <v>7</v>
      </c>
      <c r="D21" s="21" t="s">
        <v>30</v>
      </c>
      <c r="E21" s="21"/>
      <c r="F21" s="20">
        <f>+F16+F19</f>
        <v>-43861.933333333334</v>
      </c>
      <c r="J21" s="20">
        <f>+J16+J19</f>
        <v>-109654.83333333333</v>
      </c>
    </row>
    <row r="22" spans="2:11">
      <c r="B22" s="112">
        <v>8</v>
      </c>
      <c r="D22" s="21" t="s">
        <v>29</v>
      </c>
      <c r="E22" s="21"/>
      <c r="F22" s="49">
        <f>+'Sch 1.2'!$F$22</f>
        <v>0.21</v>
      </c>
      <c r="J22" s="49">
        <f>+'Sch 1.2'!$F$22</f>
        <v>0.21</v>
      </c>
    </row>
    <row r="23" spans="2:11" ht="14" thickBot="1">
      <c r="B23" s="112">
        <v>9</v>
      </c>
      <c r="D23" s="27" t="s">
        <v>146</v>
      </c>
      <c r="F23" s="48">
        <f>ROUND(-F22*F21,0)</f>
        <v>9211</v>
      </c>
      <c r="G23" s="4"/>
      <c r="H23" s="48">
        <f>+J23-F23</f>
        <v>13817</v>
      </c>
      <c r="I23" s="39"/>
      <c r="J23" s="48">
        <f>ROUND(-J22*J21,0)</f>
        <v>23028</v>
      </c>
    </row>
    <row r="24" spans="2:11" ht="14" thickTop="1">
      <c r="B24" s="112"/>
      <c r="D24" s="95"/>
      <c r="E24" s="140"/>
      <c r="F24" s="50"/>
      <c r="G24" s="4"/>
      <c r="H24" s="39"/>
      <c r="I24" s="39"/>
      <c r="J24" s="50"/>
    </row>
    <row r="25" spans="2:11" ht="14" thickBot="1">
      <c r="B25" s="112">
        <v>10</v>
      </c>
      <c r="D25" s="95" t="s">
        <v>147</v>
      </c>
      <c r="E25" s="140"/>
      <c r="F25" s="48">
        <f>+F19+F23</f>
        <v>9211</v>
      </c>
      <c r="G25" s="4"/>
      <c r="H25" s="421">
        <f>+J25-F25</f>
        <v>13817</v>
      </c>
      <c r="I25" s="39"/>
      <c r="J25" s="48">
        <f>+J19+J23</f>
        <v>23028</v>
      </c>
      <c r="K25" s="142"/>
    </row>
    <row r="26" spans="2:11" ht="14" thickTop="1">
      <c r="B26" s="112"/>
      <c r="D26" s="140"/>
      <c r="E26" s="140"/>
      <c r="F26" s="51"/>
      <c r="G26" s="4"/>
      <c r="H26" s="39"/>
      <c r="I26" s="39"/>
      <c r="J26" s="51"/>
      <c r="K26" s="4"/>
    </row>
    <row r="27" spans="2:11">
      <c r="B27" s="148">
        <v>11</v>
      </c>
      <c r="C27" s="294"/>
      <c r="D27" s="12" t="s">
        <v>531</v>
      </c>
      <c r="E27" s="294"/>
      <c r="F27" s="294"/>
      <c r="G27" s="294"/>
      <c r="H27" s="294"/>
      <c r="I27" s="294"/>
      <c r="J27" s="5"/>
      <c r="K27" s="4"/>
    </row>
    <row r="28" spans="2:11">
      <c r="B28" s="148">
        <v>12</v>
      </c>
      <c r="C28" s="294"/>
      <c r="D28" s="399" t="s">
        <v>344</v>
      </c>
      <c r="E28" s="400"/>
      <c r="F28" s="401">
        <v>-9761136</v>
      </c>
      <c r="G28" s="400"/>
      <c r="H28" s="400"/>
      <c r="I28" s="400"/>
      <c r="J28" s="401">
        <f>+F28+H28</f>
        <v>-9761136</v>
      </c>
      <c r="K28" s="4"/>
    </row>
    <row r="29" spans="2:11">
      <c r="B29" s="148">
        <v>13</v>
      </c>
      <c r="C29" s="294"/>
      <c r="D29" s="402" t="s">
        <v>298</v>
      </c>
      <c r="E29" s="400"/>
      <c r="F29" s="403">
        <f>(180-16)/12</f>
        <v>13.666666666666666</v>
      </c>
      <c r="G29" s="400"/>
      <c r="H29" s="422">
        <v>-9</v>
      </c>
      <c r="I29" s="404"/>
      <c r="J29" s="403">
        <f t="shared" ref="J29" si="1">+F29+H29</f>
        <v>4.6666666666666661</v>
      </c>
      <c r="K29" s="4"/>
    </row>
    <row r="30" spans="2:11">
      <c r="B30" s="148">
        <v>14</v>
      </c>
      <c r="C30" s="294"/>
      <c r="D30" s="402" t="s">
        <v>299</v>
      </c>
      <c r="E30" s="400"/>
      <c r="F30" s="405">
        <f>+F28/F29</f>
        <v>-714229.46341463423</v>
      </c>
      <c r="G30" s="406"/>
      <c r="H30" s="423">
        <f>+J30-F30</f>
        <v>-1377442.5365853659</v>
      </c>
      <c r="I30" s="406"/>
      <c r="J30" s="405">
        <f>+J28/J29</f>
        <v>-2091672.0000000002</v>
      </c>
      <c r="K30" s="4"/>
    </row>
    <row r="31" spans="2:11">
      <c r="B31" s="148"/>
      <c r="C31" s="294"/>
      <c r="D31" s="399"/>
      <c r="E31" s="399"/>
      <c r="F31" s="407"/>
      <c r="G31" s="407"/>
      <c r="H31" s="407"/>
      <c r="I31" s="407"/>
      <c r="J31" s="407"/>
      <c r="K31" s="4"/>
    </row>
    <row r="32" spans="2:11" ht="15">
      <c r="B32" s="148">
        <v>15</v>
      </c>
      <c r="C32" s="294"/>
      <c r="D32" s="408" t="s">
        <v>144</v>
      </c>
      <c r="E32" s="408"/>
      <c r="F32" s="427"/>
      <c r="G32" s="409"/>
      <c r="H32" s="409"/>
      <c r="I32" s="409"/>
      <c r="J32" s="427"/>
      <c r="K32" s="4"/>
    </row>
    <row r="33" spans="2:13" ht="16" thickBot="1">
      <c r="B33" s="148">
        <v>16</v>
      </c>
      <c r="C33" s="294"/>
      <c r="D33" s="408" t="s">
        <v>145</v>
      </c>
      <c r="E33" s="408"/>
      <c r="F33" s="410">
        <f>ROUND(-F32*F30,0)</f>
        <v>0</v>
      </c>
      <c r="G33" s="411"/>
      <c r="H33" s="410">
        <f>+J33-F33</f>
        <v>0</v>
      </c>
      <c r="I33" s="412"/>
      <c r="J33" s="410">
        <f>ROUND(-J32*J30,0)</f>
        <v>0</v>
      </c>
      <c r="K33" s="4"/>
    </row>
    <row r="34" spans="2:13" ht="16" thickTop="1">
      <c r="B34" s="148"/>
      <c r="C34" s="294"/>
      <c r="D34" s="408"/>
      <c r="E34" s="408"/>
      <c r="F34" s="413"/>
      <c r="G34" s="414"/>
      <c r="H34" s="414"/>
      <c r="I34" s="414"/>
      <c r="J34" s="413"/>
      <c r="K34" s="4"/>
    </row>
    <row r="35" spans="2:13" ht="15">
      <c r="B35" s="148">
        <v>17</v>
      </c>
      <c r="C35" s="294"/>
      <c r="D35" s="408" t="s">
        <v>30</v>
      </c>
      <c r="E35" s="408"/>
      <c r="F35" s="413"/>
      <c r="G35" s="414"/>
      <c r="H35" s="414"/>
      <c r="I35" s="414"/>
      <c r="J35" s="413"/>
      <c r="K35" s="4"/>
    </row>
    <row r="36" spans="2:13" ht="15">
      <c r="B36" s="148">
        <v>18</v>
      </c>
      <c r="C36" s="294"/>
      <c r="D36" s="408" t="s">
        <v>29</v>
      </c>
      <c r="E36" s="408"/>
      <c r="F36" s="428"/>
      <c r="G36" s="414"/>
      <c r="H36" s="414"/>
      <c r="I36" s="414"/>
      <c r="J36" s="428"/>
      <c r="K36" s="4"/>
    </row>
    <row r="37" spans="2:13" ht="16" thickBot="1">
      <c r="B37" s="148">
        <v>19</v>
      </c>
      <c r="C37" s="294"/>
      <c r="D37" s="402" t="s">
        <v>146</v>
      </c>
      <c r="E37" s="414"/>
      <c r="F37" s="410">
        <f>ROUND(-F36*F35,0)</f>
        <v>0</v>
      </c>
      <c r="G37" s="411"/>
      <c r="H37" s="410">
        <f>+J37-F37</f>
        <v>0</v>
      </c>
      <c r="I37" s="412"/>
      <c r="J37" s="410">
        <f>ROUND(-J36*J35,0)</f>
        <v>0</v>
      </c>
      <c r="K37" s="4"/>
    </row>
    <row r="38" spans="2:13" ht="16" thickTop="1">
      <c r="B38" s="148"/>
      <c r="C38" s="294"/>
      <c r="D38" s="415"/>
      <c r="E38" s="416"/>
      <c r="F38" s="417"/>
      <c r="G38" s="411"/>
      <c r="H38" s="412"/>
      <c r="I38" s="412"/>
      <c r="J38" s="417"/>
      <c r="K38" s="4"/>
    </row>
    <row r="39" spans="2:13" ht="16" thickBot="1">
      <c r="B39" s="148">
        <v>20</v>
      </c>
      <c r="C39" s="294"/>
      <c r="D39" s="415" t="s">
        <v>147</v>
      </c>
      <c r="E39" s="416"/>
      <c r="F39" s="410">
        <f>+F33+F37</f>
        <v>0</v>
      </c>
      <c r="G39" s="411"/>
      <c r="H39" s="424">
        <f>+J39-F39</f>
        <v>0</v>
      </c>
      <c r="I39" s="412"/>
      <c r="J39" s="410">
        <f>+J33+J37</f>
        <v>0</v>
      </c>
      <c r="K39" s="4"/>
    </row>
    <row r="40" spans="2:13" ht="17" thickTop="1" thickBot="1">
      <c r="B40" s="148"/>
      <c r="C40" s="294"/>
      <c r="D40" s="416"/>
      <c r="E40" s="416"/>
      <c r="F40" s="418"/>
      <c r="G40" s="411"/>
      <c r="H40" s="412"/>
      <c r="I40" s="412"/>
      <c r="J40" s="418"/>
      <c r="K40" s="4"/>
    </row>
    <row r="41" spans="2:13" ht="14" thickBot="1">
      <c r="B41" s="148">
        <v>21</v>
      </c>
      <c r="C41" s="294"/>
      <c r="D41" s="12" t="s">
        <v>534</v>
      </c>
      <c r="E41" s="294"/>
      <c r="F41" s="401">
        <f>+F16+F30</f>
        <v>-758091.39674796758</v>
      </c>
      <c r="G41" s="294"/>
      <c r="H41" s="425">
        <f>+H16+H30</f>
        <v>-1443235.4365853658</v>
      </c>
      <c r="I41" s="294"/>
      <c r="J41" s="401">
        <f>+J16+J30</f>
        <v>-2201326.8333333335</v>
      </c>
      <c r="K41" s="4"/>
      <c r="M41" s="9"/>
    </row>
    <row r="42" spans="2:13" ht="14" thickBot="1">
      <c r="B42" s="148"/>
      <c r="C42" s="294"/>
      <c r="D42" s="12"/>
      <c r="E42" s="294"/>
      <c r="F42" s="294"/>
      <c r="G42" s="294"/>
      <c r="H42" s="294"/>
      <c r="I42" s="294"/>
      <c r="J42" s="294"/>
      <c r="K42" s="4"/>
    </row>
    <row r="43" spans="2:13" ht="14" thickBot="1">
      <c r="B43" s="148">
        <v>22</v>
      </c>
      <c r="C43" s="294"/>
      <c r="D43" s="12" t="s">
        <v>535</v>
      </c>
      <c r="E43" s="294"/>
      <c r="F43" s="401">
        <f>+F25+F39</f>
        <v>9211</v>
      </c>
      <c r="G43" s="294"/>
      <c r="H43" s="426">
        <f>+H25+H39</f>
        <v>13817</v>
      </c>
      <c r="I43" s="294"/>
      <c r="J43" s="401">
        <f>+J25+J39</f>
        <v>23028</v>
      </c>
      <c r="K43" s="4"/>
      <c r="M43" s="9"/>
    </row>
    <row r="44" spans="2:13">
      <c r="B44" s="148"/>
      <c r="C44" s="294"/>
      <c r="D44" s="12"/>
      <c r="E44" s="294"/>
      <c r="F44" s="294"/>
      <c r="G44" s="294"/>
      <c r="H44" s="294"/>
      <c r="I44" s="294"/>
      <c r="J44" s="5"/>
      <c r="K44" s="4"/>
    </row>
    <row r="45" spans="2:13" ht="14" thickBot="1">
      <c r="B45" s="148">
        <v>23</v>
      </c>
      <c r="C45" s="294"/>
      <c r="D45" s="140" t="s">
        <v>2</v>
      </c>
      <c r="E45" s="140"/>
      <c r="F45" s="193">
        <f>-F41-F43</f>
        <v>748880.39674796758</v>
      </c>
      <c r="G45" s="4"/>
      <c r="H45" s="193">
        <f>-H41-H43</f>
        <v>1429418.4365853658</v>
      </c>
      <c r="I45" s="39"/>
      <c r="J45" s="193">
        <f>-J41-J43</f>
        <v>2178298.8333333335</v>
      </c>
      <c r="K45" s="4"/>
      <c r="M45" s="9"/>
    </row>
    <row r="46" spans="2:13" ht="14" thickTop="1">
      <c r="B46" s="148"/>
      <c r="C46" s="294"/>
      <c r="D46" s="12"/>
      <c r="E46" s="294"/>
      <c r="F46" s="294"/>
      <c r="G46" s="294"/>
      <c r="H46" s="294"/>
      <c r="I46" s="294"/>
      <c r="J46" s="5"/>
      <c r="K46" s="4"/>
    </row>
    <row r="47" spans="2:13">
      <c r="B47" s="148"/>
      <c r="C47" s="294"/>
      <c r="D47" s="12"/>
      <c r="E47" s="294"/>
      <c r="F47" s="294"/>
      <c r="G47" s="294"/>
      <c r="H47" s="294"/>
      <c r="I47" s="294"/>
      <c r="J47" s="5"/>
      <c r="K47" s="4"/>
    </row>
    <row r="48" spans="2:13">
      <c r="B48" s="110" t="s">
        <v>74</v>
      </c>
      <c r="C48" s="70"/>
      <c r="D48" s="70"/>
      <c r="E48" s="70"/>
      <c r="F48" s="70"/>
      <c r="G48" s="70"/>
      <c r="H48" s="70"/>
      <c r="I48" s="70"/>
      <c r="J48" s="70"/>
    </row>
    <row r="49" spans="2:10" s="35" customFormat="1">
      <c r="B49" s="64" t="s">
        <v>532</v>
      </c>
      <c r="F49" s="44"/>
      <c r="G49" s="44"/>
      <c r="H49" s="44"/>
      <c r="I49" s="44"/>
      <c r="J49" s="44"/>
    </row>
    <row r="50" spans="2:10" s="35" customFormat="1">
      <c r="B50" s="64" t="s">
        <v>533</v>
      </c>
      <c r="F50" s="44"/>
      <c r="G50" s="44"/>
      <c r="H50" s="44"/>
      <c r="I50" s="44"/>
      <c r="J50" s="44"/>
    </row>
    <row r="51" spans="2:10" s="35" customFormat="1">
      <c r="B51" s="64" t="s">
        <v>536</v>
      </c>
      <c r="F51" s="44"/>
      <c r="G51" s="44"/>
      <c r="H51" s="44"/>
      <c r="I51" s="44"/>
      <c r="J51" s="44"/>
    </row>
    <row r="52" spans="2:10">
      <c r="B52" s="64"/>
    </row>
  </sheetData>
  <mergeCells count="1">
    <mergeCell ref="B1:J1"/>
  </mergeCells>
  <pageMargins left="0.7" right="0.7" top="0.75" bottom="0.75" header="0.3" footer="0.3"/>
  <pageSetup scale="8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8">
    <pageSetUpPr fitToPage="1"/>
  </sheetPr>
  <dimension ref="B1:M41"/>
  <sheetViews>
    <sheetView topLeftCell="A2" zoomScale="125" zoomScaleNormal="125" zoomScalePageLayoutView="125" workbookViewId="0">
      <selection activeCell="P25" sqref="P25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4.1640625" style="33" customWidth="1"/>
    <col min="5" max="5" width="1.33203125" style="33" customWidth="1"/>
    <col min="6" max="6" width="14.5" style="33" customWidth="1"/>
    <col min="7" max="7" width="1.33203125" style="33" customWidth="1"/>
    <col min="8" max="8" width="11.83203125" style="33" bestFit="1" customWidth="1"/>
    <col min="9" max="9" width="1.33203125" style="33" customWidth="1"/>
    <col min="10" max="10" width="15.6640625" style="33" customWidth="1"/>
    <col min="11" max="11" width="2.83203125" style="33" customWidth="1"/>
    <col min="12" max="16384" width="8.83203125" style="33"/>
  </cols>
  <sheetData>
    <row r="1" spans="2:13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3" ht="16">
      <c r="B2" s="159"/>
    </row>
    <row r="3" spans="2:13">
      <c r="B3" s="12" t="str">
        <f>+'Sch 1.1'!B3</f>
        <v>Kentucky Public Service Commission</v>
      </c>
      <c r="D3" s="131"/>
      <c r="H3" s="131"/>
      <c r="J3" s="183" t="str">
        <f>+'Sch 1'!J3</f>
        <v>Case No. 2018-00294</v>
      </c>
    </row>
    <row r="4" spans="2:13">
      <c r="D4" s="131"/>
      <c r="H4" s="131"/>
      <c r="J4" s="36" t="s">
        <v>331</v>
      </c>
    </row>
    <row r="5" spans="2:13">
      <c r="B5" s="86" t="str">
        <f>+'Sch 1.1'!B5</f>
        <v>Kentucky Utilities Company</v>
      </c>
      <c r="D5" s="62"/>
      <c r="H5" s="62"/>
      <c r="J5" s="183" t="s">
        <v>32</v>
      </c>
    </row>
    <row r="6" spans="2:13">
      <c r="B6" s="12" t="s">
        <v>332</v>
      </c>
      <c r="D6" s="62"/>
      <c r="H6" s="62"/>
    </row>
    <row r="7" spans="2:13">
      <c r="B7" s="33" t="s">
        <v>86</v>
      </c>
      <c r="D7" s="62"/>
      <c r="H7" s="62"/>
    </row>
    <row r="8" spans="2:13">
      <c r="D8" s="62"/>
      <c r="H8" s="62"/>
    </row>
    <row r="9" spans="2:13">
      <c r="B9" s="12"/>
      <c r="C9" s="12"/>
      <c r="D9" s="12"/>
      <c r="E9" s="12"/>
      <c r="F9" s="13" t="s">
        <v>19</v>
      </c>
      <c r="G9" s="12"/>
      <c r="H9" s="13"/>
      <c r="I9" s="12"/>
      <c r="J9" s="13" t="s">
        <v>24</v>
      </c>
    </row>
    <row r="10" spans="2:13" ht="14" thickBot="1">
      <c r="B10" s="46" t="s">
        <v>18</v>
      </c>
      <c r="C10" s="13"/>
      <c r="D10" s="46" t="s">
        <v>17</v>
      </c>
      <c r="E10" s="13"/>
      <c r="F10" s="176" t="s">
        <v>60</v>
      </c>
      <c r="G10" s="13"/>
      <c r="H10" s="46" t="s">
        <v>20</v>
      </c>
      <c r="I10" s="13"/>
      <c r="J10" s="46" t="s">
        <v>25</v>
      </c>
    </row>
    <row r="11" spans="2:13">
      <c r="B11" s="12"/>
      <c r="C11" s="13"/>
      <c r="D11" s="12"/>
      <c r="E11" s="13"/>
      <c r="F11" s="13" t="s">
        <v>9</v>
      </c>
      <c r="G11" s="13"/>
      <c r="H11" s="13" t="s">
        <v>10</v>
      </c>
      <c r="I11" s="13"/>
      <c r="J11" s="5" t="s">
        <v>11</v>
      </c>
    </row>
    <row r="12" spans="2:13">
      <c r="B12" s="8"/>
    </row>
    <row r="13" spans="2:13" ht="14">
      <c r="B13" s="132">
        <v>1</v>
      </c>
      <c r="D13" s="133" t="s">
        <v>160</v>
      </c>
      <c r="F13" s="134">
        <f>+'Sch 1.1'!F30</f>
        <v>4099135883</v>
      </c>
      <c r="H13" s="135">
        <f>+J13-F13</f>
        <v>-86356165.511231422</v>
      </c>
      <c r="J13" s="134">
        <f>+'Sch 1.1'!J30</f>
        <v>4012779717.4887686</v>
      </c>
    </row>
    <row r="14" spans="2:13">
      <c r="B14" s="8">
        <v>2</v>
      </c>
      <c r="D14" s="136" t="s">
        <v>112</v>
      </c>
      <c r="F14" s="111">
        <f>+F40</f>
        <v>2.0529186363350087E-2</v>
      </c>
      <c r="H14" s="137"/>
      <c r="J14" s="111">
        <f>+J40</f>
        <v>2.0529186363350087E-2</v>
      </c>
      <c r="L14" s="138"/>
      <c r="M14" s="138"/>
    </row>
    <row r="15" spans="2:13">
      <c r="B15" s="8">
        <v>3</v>
      </c>
      <c r="D15" s="228" t="s">
        <v>86</v>
      </c>
      <c r="F15" s="41">
        <f>+F13*F14</f>
        <v>84151924.47080262</v>
      </c>
      <c r="H15" s="137"/>
      <c r="J15" s="41">
        <f>+J13*J14</f>
        <v>82379102.65539825</v>
      </c>
      <c r="L15" s="138"/>
      <c r="M15" s="138"/>
    </row>
    <row r="16" spans="2:13">
      <c r="B16" s="8"/>
      <c r="D16" s="228"/>
      <c r="F16" s="334"/>
      <c r="H16" s="137"/>
      <c r="J16" s="334"/>
      <c r="L16" s="138"/>
      <c r="M16" s="138"/>
    </row>
    <row r="17" spans="2:13">
      <c r="B17" s="8">
        <v>4</v>
      </c>
      <c r="D17" s="228" t="s">
        <v>520</v>
      </c>
      <c r="F17" s="347">
        <v>109200168</v>
      </c>
      <c r="H17" s="137"/>
      <c r="J17" s="347">
        <f>+F17+H17</f>
        <v>109200168</v>
      </c>
      <c r="L17" s="138"/>
      <c r="M17" s="138"/>
    </row>
    <row r="18" spans="2:13">
      <c r="B18" s="8"/>
      <c r="D18" s="228"/>
      <c r="F18" s="334"/>
      <c r="H18" s="137"/>
      <c r="J18" s="334"/>
      <c r="L18" s="138"/>
      <c r="M18" s="138"/>
    </row>
    <row r="19" spans="2:13">
      <c r="B19" s="8">
        <v>5</v>
      </c>
      <c r="D19" s="136" t="s">
        <v>521</v>
      </c>
      <c r="F19" s="348">
        <f>+F15-F17</f>
        <v>-25048243.52919738</v>
      </c>
      <c r="H19" s="137"/>
      <c r="J19" s="348">
        <f>+J15-J17</f>
        <v>-26821065.34460175</v>
      </c>
    </row>
    <row r="20" spans="2:13">
      <c r="B20" s="8"/>
      <c r="D20" s="228"/>
      <c r="F20" s="139"/>
      <c r="H20" s="137"/>
      <c r="J20" s="139"/>
    </row>
    <row r="21" spans="2:13">
      <c r="B21" s="8">
        <v>6</v>
      </c>
      <c r="D21" s="21" t="s">
        <v>144</v>
      </c>
      <c r="E21" s="21"/>
      <c r="F21" s="81">
        <f>+'Sch 1.2'!$F$18</f>
        <v>0.05</v>
      </c>
      <c r="G21" s="22"/>
      <c r="H21" s="22"/>
      <c r="I21" s="22"/>
      <c r="J21" s="81">
        <f>+'Sch 1.2'!$J$18</f>
        <v>0.05</v>
      </c>
    </row>
    <row r="22" spans="2:13" ht="14" thickBot="1">
      <c r="B22" s="8">
        <v>7</v>
      </c>
      <c r="D22" s="21" t="s">
        <v>145</v>
      </c>
      <c r="E22" s="21"/>
      <c r="F22" s="48">
        <f>ROUND(-F21*F19,0)</f>
        <v>1252412</v>
      </c>
      <c r="G22" s="4"/>
      <c r="H22" s="48">
        <f>+J22-F22</f>
        <v>88641</v>
      </c>
      <c r="I22" s="39"/>
      <c r="J22" s="48">
        <f>ROUND(-J21*J19,0)</f>
        <v>1341053</v>
      </c>
    </row>
    <row r="23" spans="2:13" ht="14" thickTop="1">
      <c r="B23" s="8"/>
      <c r="D23" s="21"/>
      <c r="E23" s="21"/>
      <c r="F23" s="20"/>
      <c r="J23" s="20"/>
    </row>
    <row r="24" spans="2:13">
      <c r="B24" s="8">
        <v>8</v>
      </c>
      <c r="D24" s="21" t="s">
        <v>30</v>
      </c>
      <c r="E24" s="21"/>
      <c r="F24" s="20">
        <f>+F19+F22</f>
        <v>-23795831.52919738</v>
      </c>
      <c r="J24" s="20">
        <f>+J19+J22</f>
        <v>-25480012.34460175</v>
      </c>
    </row>
    <row r="25" spans="2:13">
      <c r="B25" s="8">
        <v>9</v>
      </c>
      <c r="D25" s="21" t="s">
        <v>29</v>
      </c>
      <c r="E25" s="21"/>
      <c r="F25" s="49">
        <f>+'Sch 1.2'!$F$22</f>
        <v>0.21</v>
      </c>
      <c r="J25" s="49">
        <f>+'Sch 1.2'!$F$22</f>
        <v>0.21</v>
      </c>
    </row>
    <row r="26" spans="2:13" ht="14" thickBot="1">
      <c r="B26" s="8">
        <v>10</v>
      </c>
      <c r="D26" s="27" t="s">
        <v>146</v>
      </c>
      <c r="F26" s="48">
        <f>ROUND(-F25*F24,0)</f>
        <v>4997125</v>
      </c>
      <c r="G26" s="4"/>
      <c r="H26" s="48">
        <f>+J26-F26</f>
        <v>353678</v>
      </c>
      <c r="I26" s="39"/>
      <c r="J26" s="48">
        <f>ROUND(-J25*J24,0)</f>
        <v>5350803</v>
      </c>
    </row>
    <row r="27" spans="2:13" ht="15" thickTop="1" thickBot="1">
      <c r="B27" s="8"/>
      <c r="D27" s="95"/>
      <c r="E27" s="140"/>
      <c r="F27" s="50"/>
      <c r="G27" s="4"/>
      <c r="H27" s="39"/>
      <c r="I27" s="39"/>
      <c r="J27" s="50"/>
    </row>
    <row r="28" spans="2:13" ht="14" thickBot="1">
      <c r="B28" s="8">
        <v>11</v>
      </c>
      <c r="D28" s="95" t="s">
        <v>147</v>
      </c>
      <c r="E28" s="140"/>
      <c r="F28" s="48">
        <f>+F22+F26</f>
        <v>6249537</v>
      </c>
      <c r="G28" s="4"/>
      <c r="H28" s="141">
        <f>+J28-F28</f>
        <v>442319</v>
      </c>
      <c r="I28" s="39"/>
      <c r="J28" s="48">
        <f>+J22+J26</f>
        <v>6691856</v>
      </c>
      <c r="K28" s="143"/>
    </row>
    <row r="29" spans="2:13" ht="14" thickTop="1">
      <c r="B29" s="8"/>
      <c r="D29" s="140"/>
      <c r="E29" s="140"/>
      <c r="F29" s="51"/>
      <c r="G29" s="4"/>
      <c r="H29" s="39"/>
      <c r="I29" s="39"/>
      <c r="J29" s="51"/>
    </row>
    <row r="30" spans="2:13" ht="14" thickBot="1">
      <c r="B30" s="8">
        <v>12</v>
      </c>
      <c r="D30" s="140" t="s">
        <v>2</v>
      </c>
      <c r="E30" s="140"/>
      <c r="F30" s="193">
        <f>+F28</f>
        <v>6249537</v>
      </c>
      <c r="G30" s="4"/>
      <c r="H30" s="48">
        <f>-H19-H28</f>
        <v>-442319</v>
      </c>
      <c r="I30" s="39"/>
      <c r="J30" s="193">
        <f>+J28</f>
        <v>6691856</v>
      </c>
    </row>
    <row r="31" spans="2:13" ht="14" thickTop="1">
      <c r="B31" s="8"/>
      <c r="D31" s="12"/>
      <c r="E31" s="230"/>
      <c r="G31" s="230"/>
      <c r="H31" s="230"/>
      <c r="I31" s="230"/>
    </row>
    <row r="32" spans="2:13">
      <c r="F32" s="230"/>
    </row>
    <row r="33" spans="2:10">
      <c r="B33" s="110" t="s">
        <v>74</v>
      </c>
      <c r="C33" s="70"/>
      <c r="D33" s="70"/>
      <c r="E33" s="70"/>
      <c r="F33" s="70"/>
      <c r="G33" s="70"/>
      <c r="H33" s="70"/>
      <c r="I33" s="70"/>
      <c r="J33" s="70"/>
    </row>
    <row r="34" spans="2:10">
      <c r="B34" s="187" t="s">
        <v>522</v>
      </c>
      <c r="C34" s="4"/>
      <c r="D34" s="4"/>
      <c r="E34" s="4"/>
      <c r="F34" s="4"/>
      <c r="G34" s="4"/>
      <c r="H34" s="4"/>
      <c r="I34" s="4"/>
      <c r="J34" s="4"/>
    </row>
    <row r="35" spans="2:10">
      <c r="B35" s="187" t="s">
        <v>110</v>
      </c>
    </row>
    <row r="36" spans="2:10">
      <c r="B36" s="64" t="s">
        <v>85</v>
      </c>
    </row>
    <row r="37" spans="2:10">
      <c r="D37" s="228" t="s">
        <v>131</v>
      </c>
    </row>
    <row r="38" spans="2:10">
      <c r="D38" s="199" t="s">
        <v>130</v>
      </c>
      <c r="F38" s="22">
        <f>+'Sch 2'!L14</f>
        <v>4.0190756968707075E-4</v>
      </c>
      <c r="J38" s="22">
        <f>+'Sch 2'!L21</f>
        <v>4.0190756968707075E-4</v>
      </c>
    </row>
    <row r="39" spans="2:10">
      <c r="D39" s="199" t="s">
        <v>28</v>
      </c>
      <c r="F39" s="22">
        <f>+'Sch 2'!L15</f>
        <v>2.0127278793663016E-2</v>
      </c>
      <c r="J39" s="22">
        <f>+'Sch 2'!L22</f>
        <v>2.0127278793663016E-2</v>
      </c>
    </row>
    <row r="40" spans="2:10" ht="14" thickBot="1">
      <c r="F40" s="239">
        <f>+F38+F39</f>
        <v>2.0529186363350087E-2</v>
      </c>
      <c r="J40" s="239">
        <f>+J38+J39</f>
        <v>2.0529186363350087E-2</v>
      </c>
    </row>
    <row r="41" spans="2:10" ht="14" thickTop="1"/>
  </sheetData>
  <mergeCells count="1">
    <mergeCell ref="B1:J1"/>
  </mergeCells>
  <phoneticPr fontId="4" type="noConversion"/>
  <printOptions horizontalCentered="1"/>
  <pageMargins left="0.75" right="0.75" top="1" bottom="1" header="0.5" footer="0.5"/>
  <pageSetup scale="9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B1:L44"/>
  <sheetViews>
    <sheetView zoomScale="141" zoomScaleNormal="141" zoomScalePageLayoutView="141" workbookViewId="0">
      <selection activeCell="F35" sqref="F35"/>
    </sheetView>
  </sheetViews>
  <sheetFormatPr baseColWidth="10" defaultColWidth="8.83203125" defaultRowHeight="13"/>
  <cols>
    <col min="1" max="1" width="2.83203125" style="31" customWidth="1"/>
    <col min="2" max="2" width="5.6640625" style="31" customWidth="1"/>
    <col min="3" max="3" width="1.33203125" style="31" customWidth="1"/>
    <col min="4" max="4" width="35.5" style="31" customWidth="1"/>
    <col min="5" max="5" width="1.33203125" style="31" customWidth="1"/>
    <col min="6" max="6" width="12.6640625" style="31" customWidth="1"/>
    <col min="7" max="7" width="1.33203125" style="31" customWidth="1"/>
    <col min="8" max="8" width="12.6640625" style="31" customWidth="1"/>
    <col min="9" max="9" width="1.33203125" style="31" customWidth="1"/>
    <col min="10" max="10" width="12.6640625" style="31" customWidth="1"/>
    <col min="11" max="11" width="2.83203125" style="31" customWidth="1"/>
    <col min="12" max="16384" width="8.83203125" style="31"/>
  </cols>
  <sheetData>
    <row r="1" spans="2:12" ht="16">
      <c r="B1" s="448"/>
      <c r="C1" s="448"/>
      <c r="D1" s="448"/>
      <c r="E1" s="448"/>
      <c r="F1" s="448"/>
      <c r="G1" s="448"/>
      <c r="H1" s="448"/>
      <c r="I1" s="448"/>
      <c r="J1" s="448"/>
      <c r="K1" s="24"/>
      <c r="L1" s="83" t="s">
        <v>91</v>
      </c>
    </row>
    <row r="3" spans="2:12">
      <c r="B3" s="1" t="str">
        <f>+'Sch 1.1'!B3</f>
        <v>Kentucky Public Service Commission</v>
      </c>
      <c r="J3" s="183" t="str">
        <f>+'Sch 1.1'!J3</f>
        <v>Case No. 2018-00294</v>
      </c>
    </row>
    <row r="4" spans="2:12">
      <c r="J4" s="184" t="s">
        <v>88</v>
      </c>
    </row>
    <row r="5" spans="2:12">
      <c r="B5" s="3" t="str">
        <f>+'Sch 1.1'!B5</f>
        <v>Kentucky Utilities Company</v>
      </c>
      <c r="J5" s="36" t="s">
        <v>32</v>
      </c>
    </row>
    <row r="6" spans="2:12">
      <c r="B6" s="1" t="s">
        <v>36</v>
      </c>
    </row>
    <row r="7" spans="2:12">
      <c r="B7" s="27"/>
      <c r="C7" s="33"/>
      <c r="D7" s="33"/>
    </row>
    <row r="8" spans="2:12">
      <c r="B8" s="27"/>
    </row>
    <row r="9" spans="2:12">
      <c r="B9" s="1"/>
      <c r="C9" s="1"/>
      <c r="D9" s="1"/>
      <c r="E9" s="1"/>
      <c r="F9" s="53" t="s">
        <v>19</v>
      </c>
      <c r="G9" s="1"/>
      <c r="H9" s="53"/>
      <c r="I9" s="1"/>
      <c r="J9" s="2" t="s">
        <v>24</v>
      </c>
    </row>
    <row r="10" spans="2:12" ht="14" thickBot="1">
      <c r="B10" s="30" t="s">
        <v>18</v>
      </c>
      <c r="C10" s="2"/>
      <c r="D10" s="30" t="s">
        <v>17</v>
      </c>
      <c r="E10" s="2"/>
      <c r="F10" s="52" t="s">
        <v>60</v>
      </c>
      <c r="G10" s="53"/>
      <c r="H10" s="52" t="s">
        <v>20</v>
      </c>
      <c r="I10" s="2"/>
      <c r="J10" s="30" t="s">
        <v>25</v>
      </c>
    </row>
    <row r="11" spans="2:12">
      <c r="B11" s="2"/>
      <c r="C11" s="2"/>
      <c r="D11" s="1"/>
      <c r="E11" s="2"/>
      <c r="F11" s="2" t="s">
        <v>9</v>
      </c>
      <c r="G11" s="2"/>
      <c r="H11" s="2" t="s">
        <v>10</v>
      </c>
      <c r="I11" s="2"/>
      <c r="J11" s="5" t="s">
        <v>11</v>
      </c>
    </row>
    <row r="12" spans="2:12" s="28" customFormat="1"/>
    <row r="13" spans="2:12" s="28" customFormat="1">
      <c r="B13" s="29"/>
      <c r="F13" s="37"/>
      <c r="G13" s="37"/>
      <c r="H13" s="37"/>
      <c r="I13" s="37"/>
      <c r="J13" s="37"/>
    </row>
    <row r="14" spans="2:12" s="28" customFormat="1">
      <c r="B14" s="29"/>
      <c r="F14" s="37"/>
      <c r="G14" s="37"/>
      <c r="H14" s="37"/>
      <c r="I14" s="37"/>
      <c r="J14" s="37"/>
    </row>
    <row r="15" spans="2:12" s="28" customFormat="1" ht="14" thickBot="1">
      <c r="B15" s="29"/>
      <c r="F15" s="37"/>
      <c r="G15" s="37"/>
      <c r="H15" s="37"/>
      <c r="I15" s="37"/>
      <c r="J15" s="37"/>
    </row>
    <row r="16" spans="2:12" s="28" customFormat="1" ht="14" thickBot="1">
      <c r="B16" s="29"/>
      <c r="F16" s="78"/>
      <c r="G16" s="37"/>
      <c r="H16" s="55">
        <f>+J16-F16</f>
        <v>0</v>
      </c>
      <c r="I16" s="37"/>
      <c r="J16" s="78"/>
    </row>
    <row r="17" spans="2:12" s="28" customFormat="1">
      <c r="B17" s="29"/>
      <c r="F17" s="37"/>
      <c r="G17" s="37"/>
      <c r="H17" s="37"/>
      <c r="I17" s="37"/>
      <c r="J17" s="37"/>
    </row>
    <row r="18" spans="2:12" ht="14" thickBot="1">
      <c r="B18" s="34">
        <v>4</v>
      </c>
      <c r="D18" s="21" t="s">
        <v>100</v>
      </c>
      <c r="E18" s="21"/>
      <c r="F18" s="81">
        <f>+'Sch 1.2'!$F$18</f>
        <v>0.05</v>
      </c>
      <c r="G18" s="22"/>
      <c r="H18" s="22"/>
      <c r="I18" s="22"/>
      <c r="J18" s="81">
        <f>+F18+H18</f>
        <v>0.05</v>
      </c>
      <c r="K18" s="32"/>
    </row>
    <row r="19" spans="2:12" ht="14" thickBot="1">
      <c r="B19" s="34">
        <v>5</v>
      </c>
      <c r="D19" s="21" t="s">
        <v>101</v>
      </c>
      <c r="E19" s="21"/>
      <c r="F19" s="48">
        <f>ROUND(-F18*F16,0)</f>
        <v>0</v>
      </c>
      <c r="G19" s="33"/>
      <c r="H19" s="55">
        <f>+J19-F19</f>
        <v>0</v>
      </c>
      <c r="I19" s="33"/>
      <c r="J19" s="48">
        <f>ROUND(-J18*J16,0)</f>
        <v>0</v>
      </c>
      <c r="K19" s="32"/>
    </row>
    <row r="20" spans="2:12" ht="14" thickTop="1">
      <c r="B20" s="34"/>
      <c r="D20" s="21"/>
      <c r="E20" s="21"/>
      <c r="F20" s="20"/>
      <c r="G20" s="33"/>
      <c r="H20" s="33"/>
      <c r="I20" s="33"/>
      <c r="J20" s="20"/>
    </row>
    <row r="21" spans="2:12">
      <c r="B21" s="34">
        <v>6</v>
      </c>
      <c r="D21" s="21" t="s">
        <v>30</v>
      </c>
      <c r="E21" s="21"/>
      <c r="F21" s="20">
        <f>+F16+F19</f>
        <v>0</v>
      </c>
      <c r="G21" s="33"/>
      <c r="H21" s="33"/>
      <c r="I21" s="33"/>
      <c r="J21" s="20">
        <f>+J16+J19</f>
        <v>0</v>
      </c>
    </row>
    <row r="22" spans="2:12" ht="14" thickBot="1">
      <c r="B22" s="34">
        <v>7</v>
      </c>
      <c r="D22" s="21" t="s">
        <v>29</v>
      </c>
      <c r="E22" s="21"/>
      <c r="F22" s="49">
        <f>+'Sch 1.2'!$F$22</f>
        <v>0.21</v>
      </c>
      <c r="G22" s="33"/>
      <c r="H22" s="33"/>
      <c r="I22" s="33"/>
      <c r="J22" s="49">
        <f>+F22+H22</f>
        <v>0.21</v>
      </c>
    </row>
    <row r="23" spans="2:12" ht="14" thickBot="1">
      <c r="B23" s="34">
        <v>8</v>
      </c>
      <c r="D23" s="27" t="s">
        <v>102</v>
      </c>
      <c r="E23" s="33"/>
      <c r="F23" s="48">
        <f>ROUND(-F22*F21,0)</f>
        <v>0</v>
      </c>
      <c r="G23" s="33"/>
      <c r="H23" s="55">
        <f>+J23-F23</f>
        <v>0</v>
      </c>
      <c r="I23" s="33"/>
      <c r="J23" s="48">
        <f>ROUND(-J22*J21,0)</f>
        <v>0</v>
      </c>
    </row>
    <row r="24" spans="2:12" ht="14" thickTop="1">
      <c r="B24" s="34"/>
      <c r="D24" s="17"/>
      <c r="E24" s="18"/>
      <c r="F24" s="50"/>
      <c r="G24" s="4"/>
      <c r="H24" s="39"/>
      <c r="I24" s="39"/>
      <c r="J24" s="50"/>
    </row>
    <row r="25" spans="2:12" ht="14" thickBot="1">
      <c r="B25" s="34">
        <v>9</v>
      </c>
      <c r="D25" s="17" t="s">
        <v>63</v>
      </c>
      <c r="E25" s="18"/>
      <c r="F25" s="48">
        <f>+F19+F23</f>
        <v>0</v>
      </c>
      <c r="G25" s="4"/>
      <c r="H25" s="48">
        <f>+J25-F25</f>
        <v>0</v>
      </c>
      <c r="I25" s="39"/>
      <c r="J25" s="48">
        <f>+J19+J23</f>
        <v>0</v>
      </c>
      <c r="K25" s="25"/>
      <c r="L25" s="26"/>
    </row>
    <row r="26" spans="2:12" ht="14" thickTop="1">
      <c r="B26" s="34"/>
      <c r="D26" s="18"/>
      <c r="E26" s="18"/>
      <c r="F26" s="51"/>
      <c r="G26" s="4"/>
      <c r="H26" s="39"/>
      <c r="I26" s="39"/>
      <c r="J26" s="51"/>
      <c r="K26" s="32"/>
    </row>
    <row r="27" spans="2:12" ht="14" thickBot="1">
      <c r="B27" s="34">
        <v>10</v>
      </c>
      <c r="D27" s="18" t="s">
        <v>2</v>
      </c>
      <c r="E27" s="18"/>
      <c r="F27" s="48">
        <f>-F16-F25</f>
        <v>0</v>
      </c>
      <c r="G27" s="4"/>
      <c r="H27" s="48">
        <f>+J27-F27</f>
        <v>0</v>
      </c>
      <c r="I27" s="39"/>
      <c r="J27" s="48">
        <f>-J16-J25</f>
        <v>0</v>
      </c>
    </row>
    <row r="28" spans="2:12" ht="14" thickTop="1">
      <c r="B28" s="34"/>
      <c r="D28" s="18"/>
      <c r="E28" s="18"/>
      <c r="F28" s="20"/>
      <c r="G28" s="4"/>
      <c r="H28" s="20"/>
      <c r="I28" s="39"/>
      <c r="J28" s="20"/>
    </row>
    <row r="29" spans="2:12">
      <c r="D29" s="33"/>
    </row>
    <row r="30" spans="2:12">
      <c r="B30" s="58" t="s">
        <v>74</v>
      </c>
      <c r="C30" s="56"/>
      <c r="D30" s="56"/>
      <c r="E30" s="56"/>
      <c r="F30" s="56"/>
      <c r="G30" s="56"/>
      <c r="H30" s="56"/>
      <c r="I30" s="56"/>
      <c r="J30" s="56"/>
    </row>
    <row r="31" spans="2:12" s="28" customFormat="1">
      <c r="B31" s="185" t="s">
        <v>103</v>
      </c>
      <c r="F31" s="37"/>
      <c r="G31" s="37"/>
      <c r="H31" s="37"/>
      <c r="I31" s="37"/>
      <c r="J31" s="37"/>
    </row>
    <row r="32" spans="2:12" s="28" customFormat="1">
      <c r="B32" s="186" t="s">
        <v>104</v>
      </c>
      <c r="F32" s="37"/>
      <c r="G32" s="37"/>
      <c r="H32" s="37"/>
      <c r="I32" s="37"/>
      <c r="J32" s="37"/>
    </row>
    <row r="33" spans="2:10" s="28" customFormat="1">
      <c r="B33" s="29"/>
      <c r="F33" s="37"/>
      <c r="G33" s="37"/>
      <c r="H33" s="37"/>
      <c r="I33" s="37"/>
      <c r="J33" s="37"/>
    </row>
    <row r="34" spans="2:10" s="28" customFormat="1">
      <c r="B34" s="29"/>
      <c r="F34" s="37"/>
      <c r="G34" s="37"/>
      <c r="H34" s="37"/>
      <c r="I34" s="37"/>
      <c r="J34" s="37"/>
    </row>
    <row r="35" spans="2:10" s="28" customFormat="1">
      <c r="B35" s="29"/>
      <c r="F35" s="37"/>
      <c r="G35" s="37"/>
      <c r="H35" s="37"/>
      <c r="I35" s="37"/>
      <c r="J35" s="37"/>
    </row>
    <row r="36" spans="2:10" s="28" customFormat="1">
      <c r="B36" s="29"/>
      <c r="F36" s="37"/>
      <c r="G36" s="37"/>
      <c r="H36" s="37"/>
      <c r="I36" s="37"/>
      <c r="J36" s="37"/>
    </row>
    <row r="37" spans="2:10" s="28" customFormat="1">
      <c r="B37" s="29"/>
      <c r="F37" s="37"/>
      <c r="G37" s="37"/>
      <c r="H37" s="37"/>
      <c r="I37" s="37"/>
      <c r="J37" s="37"/>
    </row>
    <row r="38" spans="2:10" s="28" customFormat="1">
      <c r="B38" s="29"/>
      <c r="F38" s="37"/>
      <c r="G38" s="37"/>
      <c r="H38" s="37"/>
      <c r="I38" s="37"/>
      <c r="J38" s="37"/>
    </row>
    <row r="39" spans="2:10" s="28" customFormat="1">
      <c r="B39" s="29"/>
      <c r="F39" s="37"/>
      <c r="G39" s="37"/>
      <c r="H39" s="37"/>
      <c r="I39" s="37"/>
      <c r="J39" s="37"/>
    </row>
    <row r="40" spans="2:10" s="28" customFormat="1">
      <c r="B40" s="29"/>
      <c r="F40" s="37"/>
      <c r="G40" s="37"/>
      <c r="H40" s="37"/>
      <c r="I40" s="37"/>
      <c r="J40" s="37"/>
    </row>
    <row r="41" spans="2:10" s="28" customFormat="1">
      <c r="B41" s="29"/>
      <c r="F41" s="37"/>
      <c r="G41" s="37"/>
      <c r="H41" s="37"/>
      <c r="I41" s="37"/>
      <c r="J41" s="37"/>
    </row>
    <row r="42" spans="2:10" s="28" customFormat="1"/>
    <row r="43" spans="2:10" s="28" customFormat="1"/>
    <row r="44" spans="2:10" s="28" customFormat="1"/>
  </sheetData>
  <mergeCells count="1">
    <mergeCell ref="B1:J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L35"/>
  <sheetViews>
    <sheetView showGridLines="0" zoomScale="125" zoomScaleNormal="125" zoomScalePageLayoutView="125" workbookViewId="0">
      <selection activeCell="B2" sqref="B2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5.1640625" style="33" customWidth="1"/>
    <col min="5" max="5" width="1.33203125" style="33" customWidth="1"/>
    <col min="6" max="6" width="18" style="33" customWidth="1"/>
    <col min="7" max="7" width="1.33203125" style="33" customWidth="1"/>
    <col min="8" max="8" width="14.33203125" style="33" customWidth="1"/>
    <col min="9" max="9" width="1.33203125" style="33" customWidth="1"/>
    <col min="10" max="10" width="12.6640625" style="33" customWidth="1"/>
    <col min="11" max="11" width="3.5" style="33" customWidth="1"/>
    <col min="12" max="16384" width="8.83203125" style="33"/>
  </cols>
  <sheetData>
    <row r="1" spans="2:12" ht="20">
      <c r="B1" s="439" t="s">
        <v>564</v>
      </c>
      <c r="C1" s="439"/>
      <c r="D1" s="439"/>
      <c r="E1" s="439"/>
      <c r="F1" s="439"/>
      <c r="G1" s="439"/>
      <c r="H1" s="439"/>
      <c r="I1" s="439"/>
      <c r="J1" s="439"/>
    </row>
    <row r="2" spans="2:12" ht="16">
      <c r="B2" s="83"/>
    </row>
    <row r="3" spans="2:12">
      <c r="B3" s="12" t="str">
        <f>+'Sch 1.1'!B3</f>
        <v>Kentucky Public Service Commission</v>
      </c>
      <c r="J3" s="33" t="str">
        <f>+'Sch 1.1'!J3</f>
        <v>Case No. 2018-00294</v>
      </c>
    </row>
    <row r="4" spans="2:12">
      <c r="J4" s="27" t="s">
        <v>176</v>
      </c>
    </row>
    <row r="5" spans="2:12">
      <c r="B5" s="86" t="str">
        <f>+'Sch 1.1'!B5</f>
        <v>Kentucky Utilities Company</v>
      </c>
      <c r="J5" s="27"/>
    </row>
    <row r="6" spans="2:12">
      <c r="B6" s="12" t="str">
        <f>+'Sch 1.1'!B6</f>
        <v>Base Period ending December 31, 2018; Fully Forecasted Test Period ending April 30, 2020</v>
      </c>
    </row>
    <row r="7" spans="2:12">
      <c r="B7" s="27" t="s">
        <v>111</v>
      </c>
    </row>
    <row r="8" spans="2:12">
      <c r="B8" s="45"/>
    </row>
    <row r="9" spans="2:12">
      <c r="B9" s="45"/>
      <c r="F9" s="72"/>
    </row>
    <row r="10" spans="2:12">
      <c r="F10" s="442"/>
      <c r="G10" s="442"/>
      <c r="H10" s="72"/>
      <c r="I10" s="4"/>
      <c r="J10" s="72"/>
    </row>
    <row r="11" spans="2:12" ht="14" thickBot="1">
      <c r="B11" s="46" t="s">
        <v>18</v>
      </c>
      <c r="C11" s="13"/>
      <c r="D11" s="46" t="s">
        <v>17</v>
      </c>
      <c r="E11" s="13"/>
      <c r="F11" s="177" t="s">
        <v>19</v>
      </c>
      <c r="G11" s="72"/>
      <c r="H11" s="177" t="s">
        <v>107</v>
      </c>
      <c r="I11" s="13"/>
      <c r="J11" s="177" t="s">
        <v>64</v>
      </c>
    </row>
    <row r="12" spans="2:12">
      <c r="B12" s="13"/>
      <c r="C12" s="13"/>
      <c r="D12" s="12"/>
      <c r="E12" s="13"/>
      <c r="F12" s="13" t="s">
        <v>9</v>
      </c>
      <c r="G12" s="162"/>
      <c r="H12" s="5" t="s">
        <v>10</v>
      </c>
      <c r="I12" s="13"/>
      <c r="J12" s="5" t="s">
        <v>11</v>
      </c>
    </row>
    <row r="13" spans="2:12" s="35" customFormat="1"/>
    <row r="14" spans="2:12" s="35" customFormat="1" ht="20" customHeight="1">
      <c r="B14" s="112">
        <v>1</v>
      </c>
      <c r="D14" s="35" t="s">
        <v>151</v>
      </c>
      <c r="F14" s="57">
        <f>+'Sch 1.1'!F30</f>
        <v>4099135883</v>
      </c>
      <c r="G14" s="57"/>
      <c r="H14" s="57">
        <f>+'Sch 1.1'!J30</f>
        <v>4012779717.4887686</v>
      </c>
      <c r="I14" s="73"/>
      <c r="J14" s="57">
        <f t="shared" ref="J14:J22" si="0">+H14-F14</f>
        <v>-86356165.511231422</v>
      </c>
      <c r="L14" s="144" t="s">
        <v>90</v>
      </c>
    </row>
    <row r="15" spans="2:12" s="35" customFormat="1" ht="20" customHeight="1">
      <c r="B15" s="112">
        <v>2</v>
      </c>
      <c r="D15" s="35" t="s">
        <v>22</v>
      </c>
      <c r="F15" s="145">
        <f>+'Sch 1.1'!F32</f>
        <v>7.5591022201740132E-2</v>
      </c>
      <c r="G15" s="164"/>
      <c r="H15" s="145">
        <f>+'Sch 1.1'!J32</f>
        <v>7.1786365598703578E-2</v>
      </c>
      <c r="I15" s="73"/>
      <c r="J15" s="145">
        <f t="shared" si="0"/>
        <v>-3.8046566030365547E-3</v>
      </c>
    </row>
    <row r="16" spans="2:12" s="35" customFormat="1" ht="20" customHeight="1">
      <c r="B16" s="112">
        <v>3</v>
      </c>
      <c r="D16" s="35" t="s">
        <v>27</v>
      </c>
      <c r="F16" s="44">
        <f>+F14*F15</f>
        <v>309857871.53980267</v>
      </c>
      <c r="G16" s="44"/>
      <c r="H16" s="44">
        <f>+H14*H15</f>
        <v>288062871.8667112</v>
      </c>
      <c r="I16" s="73"/>
      <c r="J16" s="44">
        <f t="shared" si="0"/>
        <v>-21794999.673091471</v>
      </c>
    </row>
    <row r="17" spans="2:10" s="35" customFormat="1" ht="20" customHeight="1">
      <c r="B17" s="112">
        <v>4</v>
      </c>
      <c r="D17" s="54" t="s">
        <v>81</v>
      </c>
      <c r="F17" s="146">
        <f>+'Sch 1.1'!F49</f>
        <v>225740344</v>
      </c>
      <c r="G17" s="151"/>
      <c r="H17" s="146">
        <f>+'Sch 1.1'!J49</f>
        <v>245621775.47912741</v>
      </c>
      <c r="I17" s="73"/>
      <c r="J17" s="146">
        <f t="shared" si="0"/>
        <v>19881431.479127407</v>
      </c>
    </row>
    <row r="18" spans="2:10" s="35" customFormat="1" ht="20" customHeight="1">
      <c r="B18" s="112">
        <v>5</v>
      </c>
      <c r="D18" s="54" t="s">
        <v>82</v>
      </c>
      <c r="F18" s="44">
        <f>+F16-F17</f>
        <v>84117527.53980267</v>
      </c>
      <c r="G18" s="44"/>
      <c r="H18" s="44">
        <f>+H16-H17</f>
        <v>42441096.387583792</v>
      </c>
      <c r="I18" s="73"/>
      <c r="J18" s="44">
        <f t="shared" si="0"/>
        <v>-41676431.152218878</v>
      </c>
    </row>
    <row r="19" spans="2:10" s="35" customFormat="1" ht="20" customHeight="1">
      <c r="B19" s="112">
        <v>6</v>
      </c>
      <c r="D19" s="35" t="s">
        <v>159</v>
      </c>
      <c r="F19" s="146">
        <f>(F18*'Sch 1.1'!F52)-+F18</f>
        <v>28545797.281301096</v>
      </c>
      <c r="G19" s="44"/>
      <c r="H19" s="146">
        <f>(H18*'Sch 1.1'!J52)-H18</f>
        <v>14402645.552115925</v>
      </c>
      <c r="I19" s="73"/>
      <c r="J19" s="146">
        <f t="shared" si="0"/>
        <v>-14143151.729185171</v>
      </c>
    </row>
    <row r="20" spans="2:10" s="35" customFormat="1" ht="20" customHeight="1">
      <c r="B20" s="112">
        <v>7</v>
      </c>
      <c r="D20" s="35" t="s">
        <v>113</v>
      </c>
      <c r="F20" s="44">
        <f>+F18+F19</f>
        <v>112663324.82110377</v>
      </c>
      <c r="G20" s="44"/>
      <c r="H20" s="44">
        <f>+H18+H19</f>
        <v>56843741.939699717</v>
      </c>
      <c r="I20" s="73"/>
      <c r="J20" s="44">
        <f t="shared" si="0"/>
        <v>-55819582.88140405</v>
      </c>
    </row>
    <row r="21" spans="2:10" s="35" customFormat="1" ht="19" customHeight="1">
      <c r="B21" s="112">
        <v>8</v>
      </c>
      <c r="D21" s="64" t="s">
        <v>154</v>
      </c>
      <c r="F21" s="146">
        <f>+'Sch 1.1'!F54</f>
        <v>-203466</v>
      </c>
      <c r="H21" s="146">
        <f>+'Sch 1.1'!J54</f>
        <v>-203466</v>
      </c>
      <c r="J21" s="146">
        <f t="shared" si="0"/>
        <v>0</v>
      </c>
    </row>
    <row r="22" spans="2:10" s="35" customFormat="1" ht="19" customHeight="1" thickBot="1">
      <c r="B22" s="112">
        <v>9</v>
      </c>
      <c r="D22" s="35" t="s">
        <v>155</v>
      </c>
      <c r="F22" s="258">
        <f>+F20+F21</f>
        <v>112459858.82110377</v>
      </c>
      <c r="H22" s="258">
        <f>+H20+H21</f>
        <v>56640275.939699717</v>
      </c>
      <c r="J22" s="258">
        <f t="shared" si="0"/>
        <v>-55819582.88140405</v>
      </c>
    </row>
    <row r="23" spans="2:10" s="35" customFormat="1" ht="19" customHeight="1" thickTop="1">
      <c r="D23" s="64"/>
      <c r="H23" s="147"/>
    </row>
    <row r="24" spans="2:10" s="35" customFormat="1">
      <c r="B24" s="114" t="s">
        <v>74</v>
      </c>
      <c r="C24" s="114"/>
      <c r="D24" s="114"/>
      <c r="E24" s="114"/>
      <c r="F24" s="114"/>
      <c r="G24" s="114"/>
      <c r="H24" s="114"/>
      <c r="I24" s="114"/>
      <c r="J24" s="114"/>
    </row>
    <row r="25" spans="2:10" s="35" customFormat="1">
      <c r="B25" s="64" t="s">
        <v>189</v>
      </c>
    </row>
    <row r="26" spans="2:10" s="35" customFormat="1">
      <c r="B26" s="443"/>
      <c r="C26" s="443"/>
      <c r="D26" s="443"/>
    </row>
    <row r="27" spans="2:10" s="35" customFormat="1">
      <c r="D27" s="211" t="s">
        <v>76</v>
      </c>
      <c r="E27" s="212"/>
      <c r="F27" s="212">
        <f>+'Sch 1.1'!F53</f>
        <v>112663324.82110377</v>
      </c>
      <c r="G27" s="212"/>
      <c r="H27" s="212">
        <f>+'Sch 1.1'!J53</f>
        <v>56843741.939699717</v>
      </c>
      <c r="I27" s="212"/>
      <c r="J27" s="212">
        <f>+'Sch 1.1'!H53</f>
        <v>-55819582.88140405</v>
      </c>
    </row>
    <row r="28" spans="2:10" s="35" customFormat="1">
      <c r="D28" s="210"/>
      <c r="E28" s="210"/>
      <c r="F28" s="212">
        <f>+F20-F27</f>
        <v>0</v>
      </c>
      <c r="G28" s="212"/>
      <c r="H28" s="212">
        <f>+H20-H27</f>
        <v>0</v>
      </c>
      <c r="I28" s="212"/>
      <c r="J28" s="212">
        <f>+J20-J27</f>
        <v>0</v>
      </c>
    </row>
    <row r="29" spans="2:10" s="35" customFormat="1"/>
    <row r="30" spans="2:10" s="35" customFormat="1"/>
    <row r="31" spans="2:10" s="35" customFormat="1"/>
    <row r="32" spans="2:10" s="35" customFormat="1">
      <c r="H32" s="54" t="s">
        <v>62</v>
      </c>
    </row>
    <row r="33" s="35" customFormat="1"/>
    <row r="34" s="35" customFormat="1"/>
    <row r="35" s="35" customFormat="1"/>
  </sheetData>
  <mergeCells count="3">
    <mergeCell ref="B1:J1"/>
    <mergeCell ref="F10:G10"/>
    <mergeCell ref="B26:D26"/>
  </mergeCells>
  <phoneticPr fontId="4" type="noConversion"/>
  <printOptions horizontalCentered="1"/>
  <pageMargins left="0.7" right="0.7" top="0.75" bottom="0.75" header="0.3" footer="0.3"/>
  <pageSetup scale="87" orientation="portrait"/>
  <ignoredErrors>
    <ignoredError sqref="F21:H2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>
    <pageSetUpPr fitToPage="1"/>
  </sheetPr>
  <dimension ref="A1:N37"/>
  <sheetViews>
    <sheetView zoomScale="125" zoomScaleNormal="125" zoomScalePageLayoutView="125" workbookViewId="0">
      <selection activeCell="A18" sqref="A18:XFD32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3.6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3.6640625" style="33" customWidth="1"/>
    <col min="11" max="11" width="2.83203125" style="33" customWidth="1"/>
    <col min="12" max="12" width="8.83203125" style="33"/>
    <col min="13" max="13" width="1.6640625" style="33" customWidth="1"/>
    <col min="14" max="14" width="12.1640625" style="33" customWidth="1"/>
    <col min="15" max="16384" width="8.83203125" style="33"/>
  </cols>
  <sheetData>
    <row r="1" spans="1:14" ht="14">
      <c r="B1" s="448"/>
      <c r="C1" s="448"/>
      <c r="D1" s="448"/>
      <c r="E1" s="448"/>
      <c r="F1" s="448"/>
      <c r="G1" s="448"/>
      <c r="H1" s="448"/>
      <c r="I1" s="448"/>
      <c r="J1" s="448"/>
      <c r="K1" s="24"/>
      <c r="L1" s="24"/>
    </row>
    <row r="2" spans="1:14" ht="16">
      <c r="B2" s="159"/>
    </row>
    <row r="3" spans="1:14">
      <c r="B3" s="12" t="str">
        <f>+'Sch 1.1'!B3</f>
        <v>Kentucky Public Service Commission</v>
      </c>
      <c r="J3" s="183" t="str">
        <f>+'Sch 1.1'!J3</f>
        <v>Case No. 2018-00294</v>
      </c>
    </row>
    <row r="4" spans="1:14">
      <c r="I4" s="45"/>
      <c r="J4" s="184" t="s">
        <v>88</v>
      </c>
    </row>
    <row r="5" spans="1:14">
      <c r="B5" s="86" t="str">
        <f>+'Sch 1.1'!B5</f>
        <v>Kentucky Utilities Company</v>
      </c>
      <c r="I5" s="27"/>
      <c r="J5" s="36" t="s">
        <v>32</v>
      </c>
    </row>
    <row r="6" spans="1:14">
      <c r="B6" s="12" t="s">
        <v>36</v>
      </c>
    </row>
    <row r="7" spans="1:14">
      <c r="B7" s="45"/>
    </row>
    <row r="8" spans="1:14">
      <c r="B8" s="27"/>
    </row>
    <row r="9" spans="1:14">
      <c r="B9" s="12"/>
      <c r="C9" s="12"/>
      <c r="D9" s="12"/>
      <c r="E9" s="12"/>
      <c r="F9" s="155" t="s">
        <v>19</v>
      </c>
      <c r="G9" s="12"/>
      <c r="H9" s="155"/>
      <c r="I9" s="12"/>
      <c r="J9" s="155" t="s">
        <v>24</v>
      </c>
    </row>
    <row r="10" spans="1:14" ht="14" thickBot="1">
      <c r="B10" s="156" t="s">
        <v>18</v>
      </c>
      <c r="C10" s="155"/>
      <c r="D10" s="156" t="s">
        <v>17</v>
      </c>
      <c r="E10" s="155"/>
      <c r="F10" s="156" t="s">
        <v>60</v>
      </c>
      <c r="G10" s="155"/>
      <c r="H10" s="156" t="s">
        <v>20</v>
      </c>
      <c r="I10" s="155"/>
      <c r="J10" s="156" t="s">
        <v>25</v>
      </c>
    </row>
    <row r="11" spans="1:14">
      <c r="B11" s="155"/>
      <c r="C11" s="155"/>
      <c r="D11" s="12"/>
      <c r="E11" s="155"/>
      <c r="F11" s="155" t="s">
        <v>9</v>
      </c>
      <c r="G11" s="155"/>
      <c r="H11" s="155" t="s">
        <v>10</v>
      </c>
      <c r="I11" s="155"/>
      <c r="J11" s="5" t="s">
        <v>11</v>
      </c>
    </row>
    <row r="12" spans="1:14">
      <c r="B12" s="148"/>
      <c r="C12" s="163"/>
      <c r="D12" s="12"/>
      <c r="E12" s="163"/>
      <c r="F12" s="163"/>
      <c r="G12" s="163"/>
      <c r="H12" s="163"/>
      <c r="I12" s="163"/>
      <c r="J12" s="5"/>
    </row>
    <row r="13" spans="1:14" ht="14" thickBot="1">
      <c r="B13" s="148">
        <v>1</v>
      </c>
      <c r="C13" s="163"/>
      <c r="D13" s="188" t="s">
        <v>21</v>
      </c>
      <c r="E13" s="182"/>
      <c r="F13" s="182"/>
      <c r="G13" s="182"/>
      <c r="H13" s="182"/>
      <c r="I13" s="182"/>
      <c r="J13" s="5"/>
    </row>
    <row r="14" spans="1:14" ht="14" thickBot="1">
      <c r="A14" s="35"/>
      <c r="B14" s="148">
        <v>2</v>
      </c>
      <c r="C14" s="35"/>
      <c r="D14" s="54"/>
      <c r="E14" s="35"/>
      <c r="F14" s="189"/>
      <c r="G14" s="57"/>
      <c r="H14" s="190"/>
      <c r="I14" s="57"/>
      <c r="J14" s="189">
        <f>+F14+H14</f>
        <v>0</v>
      </c>
      <c r="K14" s="151"/>
      <c r="L14" s="151"/>
      <c r="M14" s="151"/>
      <c r="N14" s="4"/>
    </row>
    <row r="15" spans="1:14">
      <c r="A15" s="35"/>
      <c r="B15" s="148"/>
      <c r="C15" s="35"/>
      <c r="D15" s="54"/>
      <c r="E15" s="35"/>
      <c r="F15" s="44"/>
      <c r="G15" s="44"/>
      <c r="H15" s="44"/>
      <c r="I15" s="44"/>
      <c r="J15" s="44"/>
      <c r="K15" s="151"/>
      <c r="L15" s="151"/>
      <c r="M15" s="151"/>
      <c r="N15" s="4"/>
    </row>
    <row r="16" spans="1:14" ht="14" thickBot="1">
      <c r="A16" s="35"/>
      <c r="B16" s="148">
        <v>3</v>
      </c>
      <c r="C16" s="35"/>
      <c r="D16" s="12" t="s">
        <v>61</v>
      </c>
      <c r="E16" s="12"/>
      <c r="F16" s="124">
        <f>-F14</f>
        <v>0</v>
      </c>
      <c r="G16" s="12"/>
      <c r="H16" s="124">
        <f>+J16-F16</f>
        <v>0</v>
      </c>
      <c r="I16" s="12"/>
      <c r="J16" s="124">
        <f>-J14</f>
        <v>0</v>
      </c>
      <c r="K16" s="168"/>
      <c r="L16" s="169"/>
      <c r="M16" s="168"/>
      <c r="N16" s="4"/>
    </row>
    <row r="17" spans="2:14" ht="14" thickTop="1">
      <c r="B17" s="148"/>
      <c r="C17" s="163"/>
      <c r="D17" s="12"/>
      <c r="E17" s="182"/>
      <c r="F17" s="182"/>
      <c r="G17" s="182"/>
      <c r="H17" s="182"/>
      <c r="I17" s="182"/>
      <c r="J17" s="5"/>
      <c r="K17" s="4"/>
      <c r="L17" s="4"/>
      <c r="M17" s="4"/>
      <c r="N17" s="4"/>
    </row>
    <row r="18" spans="2:14">
      <c r="B18" s="148">
        <v>4</v>
      </c>
      <c r="C18" s="163"/>
      <c r="D18" s="188" t="s">
        <v>37</v>
      </c>
      <c r="E18" s="182"/>
      <c r="F18" s="182"/>
      <c r="G18" s="182"/>
      <c r="H18" s="182"/>
      <c r="I18" s="182"/>
      <c r="J18" s="5"/>
      <c r="K18" s="4"/>
      <c r="L18" s="4"/>
      <c r="M18" s="4"/>
      <c r="N18" s="4"/>
    </row>
    <row r="19" spans="2:14">
      <c r="B19" s="148">
        <v>5</v>
      </c>
      <c r="C19" s="163"/>
      <c r="D19" s="45"/>
      <c r="E19" s="182"/>
      <c r="F19" s="149"/>
      <c r="G19" s="149"/>
      <c r="H19" s="149"/>
      <c r="I19" s="149"/>
      <c r="J19" s="191"/>
    </row>
    <row r="20" spans="2:14" ht="14" thickBot="1">
      <c r="B20" s="148">
        <v>6</v>
      </c>
      <c r="C20" s="163"/>
      <c r="D20" s="45"/>
      <c r="E20" s="182"/>
      <c r="F20" s="192"/>
      <c r="G20" s="182"/>
      <c r="H20" s="161"/>
      <c r="I20" s="182"/>
      <c r="J20" s="192"/>
    </row>
    <row r="21" spans="2:14" s="35" customFormat="1" ht="17" thickBot="1">
      <c r="B21" s="148">
        <v>7</v>
      </c>
      <c r="D21" s="54"/>
      <c r="E21" s="182"/>
      <c r="F21" s="150">
        <f>+F19+F20</f>
        <v>0</v>
      </c>
      <c r="G21" s="57"/>
      <c r="H21" s="190">
        <f>+J21-F21</f>
        <v>0</v>
      </c>
      <c r="I21" s="57"/>
      <c r="J21" s="150">
        <f>+J19+J20</f>
        <v>0</v>
      </c>
      <c r="L21" s="166"/>
      <c r="M21" s="166"/>
      <c r="N21" s="167"/>
    </row>
    <row r="22" spans="2:14" s="35" customFormat="1">
      <c r="B22" s="148"/>
      <c r="F22" s="44"/>
      <c r="G22" s="44"/>
      <c r="H22" s="44"/>
      <c r="I22" s="44"/>
      <c r="J22" s="44"/>
    </row>
    <row r="23" spans="2:14">
      <c r="B23" s="148">
        <v>8</v>
      </c>
      <c r="D23" s="21" t="s">
        <v>100</v>
      </c>
      <c r="E23" s="21"/>
      <c r="F23" s="81">
        <f>+'Sch 1.2'!$F$18</f>
        <v>0.05</v>
      </c>
      <c r="G23" s="22"/>
      <c r="H23" s="22"/>
      <c r="I23" s="22"/>
      <c r="J23" s="81">
        <f>+F23+H23</f>
        <v>0.05</v>
      </c>
      <c r="K23" s="4"/>
    </row>
    <row r="24" spans="2:14" ht="14" thickBot="1">
      <c r="B24" s="148">
        <v>9</v>
      </c>
      <c r="D24" s="21" t="s">
        <v>101</v>
      </c>
      <c r="E24" s="21"/>
      <c r="F24" s="48">
        <f>ROUND(-F23*F21,0)</f>
        <v>0</v>
      </c>
      <c r="G24" s="4"/>
      <c r="H24" s="48">
        <f>+J24-F24</f>
        <v>0</v>
      </c>
      <c r="I24" s="39"/>
      <c r="J24" s="48">
        <f>ROUND(-J23*J21,0)</f>
        <v>0</v>
      </c>
      <c r="K24" s="4"/>
    </row>
    <row r="25" spans="2:14" ht="14" thickTop="1">
      <c r="B25" s="148"/>
      <c r="D25" s="21"/>
      <c r="E25" s="21"/>
      <c r="F25" s="20"/>
      <c r="J25" s="20"/>
    </row>
    <row r="26" spans="2:14">
      <c r="B26" s="148">
        <v>10</v>
      </c>
      <c r="D26" s="21" t="s">
        <v>30</v>
      </c>
      <c r="E26" s="21"/>
      <c r="F26" s="20">
        <f>+F21+F24</f>
        <v>0</v>
      </c>
      <c r="J26" s="20">
        <f>+J21+J24</f>
        <v>0</v>
      </c>
    </row>
    <row r="27" spans="2:14">
      <c r="B27" s="148">
        <v>11</v>
      </c>
      <c r="D27" s="21" t="s">
        <v>29</v>
      </c>
      <c r="E27" s="21"/>
      <c r="F27" s="49">
        <f>+'Sch 1.2'!$F$22</f>
        <v>0.21</v>
      </c>
      <c r="J27" s="49">
        <f>+'Sch 1.2'!$F$22</f>
        <v>0.21</v>
      </c>
    </row>
    <row r="28" spans="2:14" ht="14" thickBot="1">
      <c r="B28" s="148">
        <v>12</v>
      </c>
      <c r="D28" s="27" t="s">
        <v>102</v>
      </c>
      <c r="F28" s="48">
        <f>ROUND(-F27*F26,0)</f>
        <v>0</v>
      </c>
      <c r="G28" s="4"/>
      <c r="H28" s="48">
        <f>+J28-F28</f>
        <v>0</v>
      </c>
      <c r="I28" s="39"/>
      <c r="J28" s="48">
        <f>ROUND(-J27*J26,0)</f>
        <v>0</v>
      </c>
    </row>
    <row r="29" spans="2:14" ht="15" thickTop="1" thickBot="1">
      <c r="B29" s="148"/>
      <c r="D29" s="95"/>
      <c r="E29" s="140"/>
      <c r="F29" s="50"/>
      <c r="G29" s="4"/>
      <c r="H29" s="39"/>
      <c r="I29" s="39"/>
      <c r="J29" s="50"/>
    </row>
    <row r="30" spans="2:14" ht="14" thickBot="1">
      <c r="B30" s="148">
        <v>13</v>
      </c>
      <c r="D30" s="95" t="s">
        <v>63</v>
      </c>
      <c r="E30" s="140"/>
      <c r="F30" s="48">
        <f>+F24+F28</f>
        <v>0</v>
      </c>
      <c r="G30" s="4"/>
      <c r="H30" s="141">
        <f>+J30-F30</f>
        <v>0</v>
      </c>
      <c r="I30" s="39"/>
      <c r="J30" s="48">
        <f>+J24+J28</f>
        <v>0</v>
      </c>
      <c r="K30" s="142"/>
      <c r="L30" s="143"/>
    </row>
    <row r="31" spans="2:14" ht="14" thickTop="1">
      <c r="B31" s="148"/>
      <c r="D31" s="140"/>
      <c r="E31" s="140"/>
      <c r="F31" s="51"/>
      <c r="G31" s="4"/>
      <c r="H31" s="39"/>
      <c r="I31" s="39"/>
      <c r="J31" s="51"/>
      <c r="K31" s="4"/>
    </row>
    <row r="32" spans="2:14" ht="14" thickBot="1">
      <c r="B32" s="148">
        <v>14</v>
      </c>
      <c r="D32" s="140" t="s">
        <v>2</v>
      </c>
      <c r="E32" s="140"/>
      <c r="F32" s="193">
        <f>-F21-F30</f>
        <v>0</v>
      </c>
      <c r="G32" s="4"/>
      <c r="H32" s="48">
        <f>-H21-H30</f>
        <v>0</v>
      </c>
      <c r="I32" s="39"/>
      <c r="J32" s="193">
        <f>-J21-J30</f>
        <v>0</v>
      </c>
    </row>
    <row r="33" spans="2:10" ht="14" thickTop="1">
      <c r="B33" s="8"/>
      <c r="D33" s="140"/>
      <c r="E33" s="140"/>
      <c r="F33" s="20"/>
      <c r="G33" s="4"/>
      <c r="H33" s="20"/>
      <c r="I33" s="39"/>
      <c r="J33" s="20"/>
    </row>
    <row r="35" spans="2:10">
      <c r="B35" s="110" t="s">
        <v>74</v>
      </c>
      <c r="C35" s="70"/>
      <c r="D35" s="70"/>
      <c r="E35" s="70"/>
      <c r="F35" s="70"/>
      <c r="G35" s="70"/>
      <c r="H35" s="70"/>
      <c r="I35" s="70"/>
      <c r="J35" s="70"/>
    </row>
    <row r="36" spans="2:10" s="35" customFormat="1">
      <c r="B36" s="185" t="s">
        <v>103</v>
      </c>
      <c r="F36" s="44"/>
      <c r="G36" s="44"/>
      <c r="H36" s="44"/>
      <c r="I36" s="44"/>
      <c r="J36" s="44"/>
    </row>
    <row r="37" spans="2:10" s="35" customFormat="1">
      <c r="B37" s="186" t="s">
        <v>104</v>
      </c>
      <c r="F37" s="44"/>
      <c r="G37" s="44"/>
      <c r="H37" s="44"/>
      <c r="I37" s="44"/>
      <c r="J37" s="44"/>
    </row>
  </sheetData>
  <mergeCells count="1">
    <mergeCell ref="B1:J1"/>
  </mergeCells>
  <phoneticPr fontId="4" type="noConversion"/>
  <pageMargins left="0.7" right="0.7" top="0.75" bottom="0.75" header="0.3" footer="0.3"/>
  <pageSetup scale="9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L173"/>
  <sheetViews>
    <sheetView topLeftCell="A14" zoomScale="145" zoomScaleNormal="145" zoomScalePageLayoutView="145" workbookViewId="0">
      <selection activeCell="H55" sqref="H55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9" style="33" customWidth="1"/>
    <col min="5" max="5" width="1.33203125" style="33" customWidth="1"/>
    <col min="6" max="6" width="15.6640625" style="33" customWidth="1"/>
    <col min="7" max="7" width="1.33203125" style="4" customWidth="1"/>
    <col min="8" max="8" width="12.83203125" style="33" customWidth="1"/>
    <col min="9" max="9" width="1.33203125" style="33" customWidth="1"/>
    <col min="10" max="10" width="14.6640625" style="33" customWidth="1"/>
    <col min="11" max="11" width="3.5" style="33" customWidth="1"/>
    <col min="12" max="12" width="14.6640625" style="33" bestFit="1" customWidth="1"/>
    <col min="13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</row>
    <row r="2" spans="2:11" ht="14"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2:11">
      <c r="B3" s="12" t="s">
        <v>124</v>
      </c>
      <c r="J3" s="184" t="s">
        <v>126</v>
      </c>
    </row>
    <row r="4" spans="2:11">
      <c r="B4" s="61"/>
      <c r="J4" s="36" t="s">
        <v>177</v>
      </c>
    </row>
    <row r="5" spans="2:11">
      <c r="B5" s="86" t="s">
        <v>125</v>
      </c>
      <c r="J5" s="183" t="s">
        <v>32</v>
      </c>
    </row>
    <row r="6" spans="2:11">
      <c r="B6" s="234" t="s">
        <v>127</v>
      </c>
    </row>
    <row r="7" spans="2:11">
      <c r="B7" s="27" t="s">
        <v>128</v>
      </c>
      <c r="K7" s="86"/>
    </row>
    <row r="8" spans="2:11">
      <c r="B8" s="45"/>
      <c r="K8" s="86"/>
    </row>
    <row r="9" spans="2:11">
      <c r="F9" s="72"/>
      <c r="H9" s="182"/>
    </row>
    <row r="10" spans="2:11">
      <c r="B10" s="182"/>
      <c r="C10" s="182"/>
      <c r="E10" s="182"/>
      <c r="F10" s="182"/>
      <c r="G10" s="72"/>
      <c r="H10" s="182" t="s">
        <v>107</v>
      </c>
      <c r="I10" s="182"/>
      <c r="J10" s="182" t="s">
        <v>24</v>
      </c>
      <c r="K10" s="62"/>
    </row>
    <row r="11" spans="2:11" ht="14" thickBot="1">
      <c r="B11" s="181" t="s">
        <v>18</v>
      </c>
      <c r="C11" s="182"/>
      <c r="D11" s="181" t="s">
        <v>17</v>
      </c>
      <c r="E11" s="182"/>
      <c r="F11" s="177" t="s">
        <v>19</v>
      </c>
      <c r="G11" s="72"/>
      <c r="H11" s="181" t="s">
        <v>8</v>
      </c>
      <c r="I11" s="182"/>
      <c r="J11" s="181" t="s">
        <v>15</v>
      </c>
      <c r="K11" s="63"/>
    </row>
    <row r="12" spans="2:11">
      <c r="B12" s="182"/>
      <c r="C12" s="182"/>
      <c r="F12" s="182" t="s">
        <v>9</v>
      </c>
      <c r="G12" s="182"/>
      <c r="H12" s="87" t="s">
        <v>10</v>
      </c>
      <c r="I12" s="182"/>
      <c r="J12" s="87" t="s">
        <v>11</v>
      </c>
      <c r="K12" s="72"/>
    </row>
    <row r="13" spans="2:11">
      <c r="B13" s="8">
        <v>1</v>
      </c>
      <c r="D13" s="38" t="s">
        <v>21</v>
      </c>
      <c r="F13" s="42"/>
      <c r="G13" s="42"/>
      <c r="H13" s="42"/>
      <c r="J13" s="41"/>
      <c r="K13" s="14"/>
    </row>
    <row r="14" spans="2:11">
      <c r="B14" s="8">
        <v>2</v>
      </c>
      <c r="D14" s="65" t="s">
        <v>59</v>
      </c>
      <c r="F14" s="42">
        <v>7719113381</v>
      </c>
      <c r="G14" s="41"/>
      <c r="H14" s="42">
        <f>+'Sch 3'!AW16</f>
        <v>-21624620</v>
      </c>
      <c r="J14" s="42">
        <f>+F14+H14</f>
        <v>7697488761</v>
      </c>
      <c r="K14" s="14"/>
    </row>
    <row r="15" spans="2:11">
      <c r="B15" s="8">
        <v>3</v>
      </c>
      <c r="D15" s="65" t="s">
        <v>132</v>
      </c>
      <c r="F15" s="10">
        <v>1561634</v>
      </c>
      <c r="G15" s="41"/>
      <c r="H15" s="10">
        <f>+'Sch 3'!AW17</f>
        <v>-240853</v>
      </c>
      <c r="J15" s="10">
        <f t="shared" ref="J15:J25" si="0">+F15+H15</f>
        <v>1320781</v>
      </c>
      <c r="K15" s="14"/>
    </row>
    <row r="16" spans="2:11">
      <c r="B16" s="8">
        <v>4</v>
      </c>
      <c r="D16" s="64" t="s">
        <v>108</v>
      </c>
      <c r="F16" s="6">
        <v>-2974075465</v>
      </c>
      <c r="G16" s="39"/>
      <c r="H16" s="39">
        <f>+'Sch 3'!AW18</f>
        <v>0</v>
      </c>
      <c r="J16" s="6">
        <f t="shared" si="0"/>
        <v>-2974075465</v>
      </c>
      <c r="K16" s="14"/>
    </row>
    <row r="17" spans="2:12">
      <c r="B17" s="8">
        <v>5</v>
      </c>
      <c r="D17" s="68" t="s">
        <v>78</v>
      </c>
      <c r="F17" s="42">
        <f>SUM(F14:F16)</f>
        <v>4746599550</v>
      </c>
      <c r="G17" s="39"/>
      <c r="H17" s="41"/>
      <c r="J17" s="42">
        <f>SUM(J14:J16)</f>
        <v>4724734077</v>
      </c>
      <c r="K17" s="14"/>
    </row>
    <row r="18" spans="2:12">
      <c r="B18" s="8">
        <v>6</v>
      </c>
      <c r="D18" s="65" t="s">
        <v>133</v>
      </c>
      <c r="F18" s="6">
        <v>134479318</v>
      </c>
      <c r="G18" s="39"/>
      <c r="H18" s="39">
        <f>+'Sch 3'!AW20</f>
        <v>0</v>
      </c>
      <c r="J18" s="6">
        <f t="shared" si="0"/>
        <v>134479318</v>
      </c>
      <c r="K18" s="14"/>
    </row>
    <row r="19" spans="2:12">
      <c r="B19" s="8">
        <v>7</v>
      </c>
      <c r="D19" s="68" t="s">
        <v>134</v>
      </c>
      <c r="F19" s="42">
        <f>+F17+F18</f>
        <v>4881078868</v>
      </c>
      <c r="G19" s="39"/>
      <c r="H19" s="41"/>
      <c r="J19" s="42">
        <f>+J17+J18</f>
        <v>4859213395</v>
      </c>
      <c r="K19" s="14"/>
    </row>
    <row r="20" spans="2:12">
      <c r="B20" s="8">
        <v>8</v>
      </c>
      <c r="D20" s="65" t="s">
        <v>92</v>
      </c>
      <c r="F20" s="39">
        <v>94636138</v>
      </c>
      <c r="G20" s="39"/>
      <c r="H20" s="39">
        <f>+'Sch 3'!AW22</f>
        <v>-48885658.511231437</v>
      </c>
      <c r="J20" s="39">
        <f t="shared" si="0"/>
        <v>45750479.488768563</v>
      </c>
      <c r="K20" s="14"/>
    </row>
    <row r="21" spans="2:12">
      <c r="B21" s="8">
        <v>9</v>
      </c>
      <c r="D21" s="65" t="s">
        <v>135</v>
      </c>
      <c r="F21" s="10">
        <v>130931331</v>
      </c>
      <c r="H21" s="10">
        <f>+'Sch 3'!AW23</f>
        <v>-15605034</v>
      </c>
      <c r="J21" s="10">
        <f t="shared" si="0"/>
        <v>115326297</v>
      </c>
    </row>
    <row r="22" spans="2:12">
      <c r="B22" s="8">
        <v>10</v>
      </c>
      <c r="D22" s="64" t="s">
        <v>99</v>
      </c>
      <c r="F22" s="39">
        <v>-951647</v>
      </c>
      <c r="G22" s="39"/>
      <c r="H22" s="39">
        <f>+'Sch 3'!AW24</f>
        <v>0</v>
      </c>
      <c r="J22" s="39">
        <f t="shared" si="0"/>
        <v>-951647</v>
      </c>
      <c r="K22" s="14"/>
    </row>
    <row r="23" spans="2:12">
      <c r="B23" s="8">
        <v>11</v>
      </c>
      <c r="D23" s="65" t="s">
        <v>136</v>
      </c>
      <c r="F23" s="10">
        <v>-976331381</v>
      </c>
      <c r="G23" s="39"/>
      <c r="H23" s="10">
        <f>+'Sch 3'!AW25</f>
        <v>0</v>
      </c>
      <c r="J23" s="10">
        <f t="shared" si="0"/>
        <v>-976331381</v>
      </c>
      <c r="K23" s="14"/>
    </row>
    <row r="24" spans="2:12">
      <c r="B24" s="8">
        <v>12</v>
      </c>
      <c r="D24" s="64" t="s">
        <v>137</v>
      </c>
      <c r="F24" s="39">
        <v>-84144327</v>
      </c>
      <c r="G24" s="39"/>
      <c r="H24" s="39">
        <f>+'Sch 3'!AW26</f>
        <v>0</v>
      </c>
      <c r="J24" s="39">
        <f t="shared" si="0"/>
        <v>-84144327</v>
      </c>
      <c r="K24" s="14"/>
    </row>
    <row r="25" spans="2:12">
      <c r="B25" s="8">
        <v>13</v>
      </c>
      <c r="D25" s="64" t="s">
        <v>138</v>
      </c>
      <c r="F25" s="6">
        <v>0</v>
      </c>
      <c r="G25" s="39"/>
      <c r="H25" s="6">
        <f>+'Sch 3'!AW27</f>
        <v>0</v>
      </c>
      <c r="J25" s="6">
        <f t="shared" si="0"/>
        <v>0</v>
      </c>
      <c r="K25" s="14"/>
    </row>
    <row r="26" spans="2:12">
      <c r="B26" s="8">
        <v>14</v>
      </c>
      <c r="D26" s="66" t="s">
        <v>148</v>
      </c>
      <c r="F26" s="42">
        <f>SUM(F19:F25)+1</f>
        <v>4045218983</v>
      </c>
      <c r="G26" s="41"/>
      <c r="H26" s="42">
        <f>SUM(H14:H25)</f>
        <v>-86356165.511231437</v>
      </c>
      <c r="J26" s="42">
        <f>SUM(J19:J25)</f>
        <v>3958862816.4887686</v>
      </c>
      <c r="K26" s="14"/>
    </row>
    <row r="27" spans="2:12">
      <c r="B27" s="8"/>
      <c r="D27" s="66"/>
      <c r="F27" s="237"/>
      <c r="G27" s="41"/>
      <c r="H27" s="42"/>
      <c r="J27" s="42"/>
      <c r="K27" s="14"/>
    </row>
    <row r="28" spans="2:12">
      <c r="B28" s="8">
        <v>15</v>
      </c>
      <c r="D28" s="62" t="s">
        <v>151</v>
      </c>
      <c r="F28" s="42">
        <f>+'Sch 2'!F17</f>
        <v>4099135883</v>
      </c>
      <c r="G28" s="41"/>
      <c r="H28" s="42">
        <f>+H26</f>
        <v>-86356165.511231437</v>
      </c>
      <c r="J28" s="39">
        <f t="shared" ref="J28:J30" si="1">+F28+H28</f>
        <v>4012779717.4887686</v>
      </c>
      <c r="K28" s="14"/>
      <c r="L28" s="27"/>
    </row>
    <row r="29" spans="2:12">
      <c r="B29" s="8"/>
      <c r="D29" s="62"/>
      <c r="F29" s="42"/>
      <c r="G29" s="41"/>
      <c r="H29" s="42"/>
      <c r="J29" s="39"/>
      <c r="K29" s="14"/>
      <c r="L29" s="27"/>
    </row>
    <row r="30" spans="2:12">
      <c r="B30" s="8">
        <v>16</v>
      </c>
      <c r="D30" s="62" t="s">
        <v>164</v>
      </c>
      <c r="F30" s="42">
        <f>+F28</f>
        <v>4099135883</v>
      </c>
      <c r="G30" s="41"/>
      <c r="H30" s="42">
        <f>+H28</f>
        <v>-86356165.511231437</v>
      </c>
      <c r="J30" s="39">
        <f t="shared" si="1"/>
        <v>4012779717.4887686</v>
      </c>
      <c r="K30" s="14"/>
      <c r="L30" s="27"/>
    </row>
    <row r="31" spans="2:12">
      <c r="B31" s="8"/>
      <c r="D31" s="62"/>
      <c r="F31" s="42"/>
      <c r="G31" s="41"/>
      <c r="H31" s="42"/>
      <c r="J31" s="39"/>
      <c r="K31" s="14"/>
      <c r="L31" s="27"/>
    </row>
    <row r="32" spans="2:12">
      <c r="B32" s="8">
        <v>17</v>
      </c>
      <c r="D32" s="38" t="s">
        <v>22</v>
      </c>
      <c r="F32" s="7">
        <f>+'Sch 2'!L17</f>
        <v>7.5591022201740132E-2</v>
      </c>
      <c r="G32" s="88"/>
      <c r="H32" s="7"/>
      <c r="J32" s="7">
        <f>+'Sch 2'!L24</f>
        <v>7.1786365598703578E-2</v>
      </c>
    </row>
    <row r="33" spans="2:12">
      <c r="B33" s="8">
        <v>18</v>
      </c>
      <c r="D33" s="38" t="s">
        <v>27</v>
      </c>
      <c r="F33" s="67">
        <f>+F30*F32</f>
        <v>309857871.53980267</v>
      </c>
      <c r="G33" s="41"/>
      <c r="H33" s="67">
        <f>+J33-F33</f>
        <v>-21794999.673091471</v>
      </c>
      <c r="J33" s="67">
        <f>+J30*J32</f>
        <v>288062871.8667112</v>
      </c>
      <c r="K33" s="14"/>
      <c r="L33" s="235"/>
    </row>
    <row r="34" spans="2:12">
      <c r="B34" s="8"/>
      <c r="D34" s="14"/>
      <c r="K34" s="14"/>
    </row>
    <row r="35" spans="2:12">
      <c r="B35" s="8">
        <v>19</v>
      </c>
      <c r="D35" s="38" t="s">
        <v>93</v>
      </c>
      <c r="K35" s="14"/>
    </row>
    <row r="36" spans="2:12">
      <c r="B36" s="8">
        <v>20</v>
      </c>
      <c r="D36" s="64" t="s">
        <v>139</v>
      </c>
      <c r="F36" s="42">
        <v>1408801019</v>
      </c>
      <c r="G36" s="41"/>
      <c r="H36" s="41">
        <f>+'Sch 3'!AW38</f>
        <v>-245</v>
      </c>
      <c r="J36" s="42">
        <f>+F36+H36</f>
        <v>1408800774</v>
      </c>
      <c r="K36" s="14"/>
    </row>
    <row r="37" spans="2:12">
      <c r="B37" s="8">
        <v>21</v>
      </c>
      <c r="D37" s="65" t="s">
        <v>140</v>
      </c>
      <c r="F37" s="10">
        <v>38850409</v>
      </c>
      <c r="G37" s="41"/>
      <c r="H37" s="41">
        <f>+'Sch 3'!AW39</f>
        <v>337386</v>
      </c>
      <c r="J37" s="10">
        <f t="shared" ref="J37" si="2">+F37+H37</f>
        <v>39187795</v>
      </c>
      <c r="K37" s="14"/>
    </row>
    <row r="38" spans="2:12">
      <c r="B38" s="8">
        <v>22</v>
      </c>
      <c r="D38" s="68" t="s">
        <v>96</v>
      </c>
      <c r="F38" s="67">
        <f>SUM(F36:F37)-1</f>
        <v>1447651427</v>
      </c>
      <c r="G38" s="41"/>
      <c r="H38" s="67">
        <f>SUM(H36:H37)</f>
        <v>337141</v>
      </c>
      <c r="J38" s="67">
        <f>SUM(J36:J37)-1</f>
        <v>1447988568</v>
      </c>
      <c r="K38" s="14"/>
    </row>
    <row r="39" spans="2:12">
      <c r="B39" s="8"/>
      <c r="D39" s="14"/>
      <c r="K39" s="14"/>
    </row>
    <row r="40" spans="2:12">
      <c r="B40" s="8">
        <v>23</v>
      </c>
      <c r="D40" s="38" t="s">
        <v>94</v>
      </c>
      <c r="K40" s="14"/>
    </row>
    <row r="41" spans="2:12">
      <c r="B41" s="8">
        <v>24</v>
      </c>
      <c r="D41" s="64" t="s">
        <v>141</v>
      </c>
      <c r="F41" s="42">
        <v>884639921</v>
      </c>
      <c r="G41" s="41"/>
      <c r="H41" s="42">
        <f>+'Sch 3'!AW43</f>
        <v>-24219629.042541921</v>
      </c>
      <c r="J41" s="42">
        <f t="shared" ref="J41:J46" si="3">+F41+H41</f>
        <v>860420291.95745802</v>
      </c>
      <c r="K41" s="14"/>
    </row>
    <row r="42" spans="2:12">
      <c r="B42" s="8">
        <v>25</v>
      </c>
      <c r="D42" s="64" t="s">
        <v>142</v>
      </c>
      <c r="F42" s="39">
        <v>268954148</v>
      </c>
      <c r="G42" s="39"/>
      <c r="H42" s="39">
        <f>+'Sch 3'!AW44</f>
        <v>-2074087.4365853658</v>
      </c>
      <c r="J42" s="39">
        <f t="shared" si="3"/>
        <v>266880060.56341463</v>
      </c>
      <c r="K42" s="14"/>
    </row>
    <row r="43" spans="2:12">
      <c r="B43" s="8">
        <v>26</v>
      </c>
      <c r="D43" s="64" t="s">
        <v>143</v>
      </c>
      <c r="F43" s="39">
        <v>0</v>
      </c>
      <c r="G43" s="39"/>
      <c r="H43" s="39">
        <f>+'Sch 3'!AW45</f>
        <v>0</v>
      </c>
      <c r="J43" s="39"/>
      <c r="K43" s="14"/>
    </row>
    <row r="44" spans="2:12">
      <c r="B44" s="8">
        <v>27</v>
      </c>
      <c r="D44" s="65" t="s">
        <v>95</v>
      </c>
      <c r="F44" s="178">
        <v>43682224</v>
      </c>
      <c r="G44" s="39"/>
      <c r="H44" s="178">
        <f>+'Sch 3'!AW46</f>
        <v>-112869</v>
      </c>
      <c r="J44" s="39">
        <f t="shared" si="3"/>
        <v>43569355</v>
      </c>
      <c r="K44" s="14"/>
    </row>
    <row r="45" spans="2:12">
      <c r="B45" s="8">
        <v>28</v>
      </c>
      <c r="D45" s="65" t="s">
        <v>77</v>
      </c>
      <c r="F45" s="39">
        <v>24634790</v>
      </c>
      <c r="G45" s="39"/>
      <c r="H45" s="39">
        <f>+'Sch 3'!AW47</f>
        <v>6862295</v>
      </c>
      <c r="J45" s="39">
        <f t="shared" si="3"/>
        <v>31497085</v>
      </c>
      <c r="K45" s="14"/>
    </row>
    <row r="46" spans="2:12">
      <c r="B46" s="8">
        <v>29</v>
      </c>
      <c r="D46" s="65" t="s">
        <v>137</v>
      </c>
      <c r="F46" s="39">
        <v>0</v>
      </c>
      <c r="G46" s="39"/>
      <c r="H46" s="39">
        <f>+'Sch 3'!AW48</f>
        <v>0</v>
      </c>
      <c r="J46" s="39">
        <f t="shared" si="3"/>
        <v>0</v>
      </c>
      <c r="K46" s="14"/>
    </row>
    <row r="47" spans="2:12">
      <c r="B47" s="8">
        <v>30</v>
      </c>
      <c r="D47" s="66" t="s">
        <v>33</v>
      </c>
      <c r="F47" s="67">
        <f>SUM(F41:F46)</f>
        <v>1221911083</v>
      </c>
      <c r="G47" s="23"/>
      <c r="H47" s="67">
        <f>SUM(H41:H45)</f>
        <v>-19544290.479127288</v>
      </c>
      <c r="J47" s="67">
        <f>SUM(J41:J46)</f>
        <v>1202366792.5208726</v>
      </c>
      <c r="K47" s="14"/>
    </row>
    <row r="48" spans="2:12">
      <c r="B48" s="8"/>
      <c r="D48" s="14"/>
      <c r="K48" s="14"/>
    </row>
    <row r="49" spans="2:11">
      <c r="B49" s="8">
        <v>31</v>
      </c>
      <c r="D49" s="38" t="s">
        <v>58</v>
      </c>
      <c r="F49" s="67">
        <f>+F38-F47</f>
        <v>225740344</v>
      </c>
      <c r="G49" s="41"/>
      <c r="H49" s="67">
        <f>+H38-H47</f>
        <v>19881431.479127288</v>
      </c>
      <c r="J49" s="67">
        <f>+J38-J47</f>
        <v>245621775.47912741</v>
      </c>
      <c r="K49" s="14"/>
    </row>
    <row r="50" spans="2:11">
      <c r="B50" s="8"/>
      <c r="D50" s="38"/>
      <c r="F50" s="41"/>
      <c r="G50" s="41"/>
      <c r="H50" s="41"/>
      <c r="J50" s="41"/>
      <c r="K50" s="14"/>
    </row>
    <row r="51" spans="2:11">
      <c r="B51" s="8">
        <v>32</v>
      </c>
      <c r="D51" s="38" t="s">
        <v>82</v>
      </c>
      <c r="F51" s="41">
        <f>+F33-F49</f>
        <v>84117527.53980267</v>
      </c>
      <c r="G51" s="41"/>
      <c r="H51" s="41">
        <f>+H33-H49</f>
        <v>-41676431.152218759</v>
      </c>
      <c r="J51" s="41">
        <f>+J33-J49</f>
        <v>42441096.387583792</v>
      </c>
      <c r="K51" s="14"/>
    </row>
    <row r="52" spans="2:11">
      <c r="B52" s="8">
        <v>33</v>
      </c>
      <c r="D52" s="65" t="s">
        <v>558</v>
      </c>
      <c r="F52" s="241">
        <f>+'Sch 1.2'!F28</f>
        <v>1.3393561141914665</v>
      </c>
      <c r="G52" s="242"/>
      <c r="H52" s="242"/>
      <c r="I52" s="243"/>
      <c r="J52" s="241">
        <f>+'Sch 1.2'!J28</f>
        <v>1.3393561141914665</v>
      </c>
      <c r="K52" s="14"/>
    </row>
    <row r="53" spans="2:11">
      <c r="B53" s="8">
        <v>34</v>
      </c>
      <c r="D53" s="38" t="s">
        <v>114</v>
      </c>
      <c r="F53" s="41">
        <f>(+F51*F52)</f>
        <v>112663324.82110377</v>
      </c>
      <c r="G53" s="41"/>
      <c r="H53" s="41">
        <f>+J53-F53</f>
        <v>-55819582.88140405</v>
      </c>
      <c r="I53" s="90"/>
      <c r="J53" s="41">
        <f>(+J51*J52)</f>
        <v>56843741.939699717</v>
      </c>
      <c r="K53" s="14"/>
    </row>
    <row r="54" spans="2:11">
      <c r="B54" s="8">
        <v>35</v>
      </c>
      <c r="D54" s="64" t="s">
        <v>154</v>
      </c>
      <c r="F54" s="6">
        <v>-203466</v>
      </c>
      <c r="G54" s="41"/>
      <c r="H54" s="39"/>
      <c r="I54" s="90"/>
      <c r="J54" s="6">
        <f t="shared" ref="J54" si="4">+F54+H54</f>
        <v>-203466</v>
      </c>
      <c r="K54" s="14"/>
    </row>
    <row r="55" spans="2:11" ht="20" customHeight="1" thickBot="1">
      <c r="B55" s="8">
        <v>36</v>
      </c>
      <c r="D55" s="38" t="s">
        <v>155</v>
      </c>
      <c r="F55" s="15">
        <f>+F53+F54</f>
        <v>112459858.82110377</v>
      </c>
      <c r="G55" s="41"/>
      <c r="H55" s="15">
        <f>+J55-F55</f>
        <v>-55819582.88140405</v>
      </c>
      <c r="I55" s="91"/>
      <c r="J55" s="15">
        <f>+J53+J54</f>
        <v>56640275.939699717</v>
      </c>
      <c r="K55" s="14"/>
    </row>
    <row r="56" spans="2:11" ht="14" thickTop="1">
      <c r="B56" s="8"/>
      <c r="D56" s="38"/>
      <c r="F56" s="41"/>
      <c r="G56" s="41"/>
      <c r="H56" s="41"/>
      <c r="I56" s="91"/>
      <c r="J56" s="41"/>
      <c r="K56" s="14"/>
    </row>
    <row r="57" spans="2:11">
      <c r="B57" s="8">
        <v>37</v>
      </c>
      <c r="D57" s="35" t="s">
        <v>106</v>
      </c>
      <c r="F57" s="41"/>
      <c r="G57" s="89"/>
      <c r="H57" s="40"/>
      <c r="J57" s="40">
        <f>+(J55-F55)/F55</f>
        <v>-0.49635117335688111</v>
      </c>
    </row>
    <row r="58" spans="2:11" ht="14" customHeight="1">
      <c r="B58" s="8"/>
      <c r="G58" s="89"/>
      <c r="H58" s="93"/>
      <c r="J58" s="93"/>
    </row>
    <row r="59" spans="2:11">
      <c r="B59" s="69" t="s">
        <v>74</v>
      </c>
      <c r="C59" s="70"/>
      <c r="D59" s="71"/>
      <c r="E59" s="70"/>
      <c r="F59" s="179"/>
      <c r="G59" s="47"/>
      <c r="H59" s="70"/>
      <c r="I59" s="70"/>
      <c r="J59" s="47"/>
    </row>
    <row r="60" spans="2:11">
      <c r="B60" s="64" t="s">
        <v>193</v>
      </c>
    </row>
    <row r="61" spans="2:11">
      <c r="B61" s="64" t="s">
        <v>190</v>
      </c>
    </row>
    <row r="62" spans="2:11">
      <c r="B62" s="64" t="s">
        <v>194</v>
      </c>
      <c r="C62" s="8"/>
    </row>
    <row r="63" spans="2:11">
      <c r="B63" s="64" t="s">
        <v>192</v>
      </c>
    </row>
    <row r="64" spans="2:11">
      <c r="B64" s="64" t="s">
        <v>191</v>
      </c>
      <c r="G64" s="33"/>
    </row>
    <row r="65" spans="2:10">
      <c r="B65" s="64"/>
      <c r="G65" s="33"/>
    </row>
    <row r="66" spans="2:10">
      <c r="B66" s="64"/>
      <c r="G66" s="33"/>
    </row>
    <row r="67" spans="2:10">
      <c r="B67" s="8"/>
      <c r="D67" s="244" t="s">
        <v>76</v>
      </c>
      <c r="E67" s="245"/>
      <c r="F67" s="246">
        <v>112663325</v>
      </c>
      <c r="G67" s="245"/>
      <c r="H67" s="245"/>
      <c r="I67" s="245"/>
      <c r="J67" s="245"/>
    </row>
    <row r="68" spans="2:10">
      <c r="B68" s="8"/>
      <c r="D68" s="245"/>
      <c r="E68" s="245"/>
      <c r="F68" s="247">
        <f>+F67-F53</f>
        <v>0.1788962334394455</v>
      </c>
      <c r="G68" s="245"/>
      <c r="H68" s="245"/>
      <c r="I68" s="245"/>
      <c r="J68" s="245"/>
    </row>
    <row r="69" spans="2:10">
      <c r="B69" s="8"/>
      <c r="G69" s="33"/>
    </row>
    <row r="70" spans="2:10">
      <c r="B70" s="8"/>
      <c r="D70" s="231"/>
      <c r="E70" s="232"/>
      <c r="F70" s="233"/>
      <c r="G70" s="33"/>
    </row>
    <row r="71" spans="2:10">
      <c r="B71" s="8"/>
      <c r="G71" s="33"/>
    </row>
    <row r="72" spans="2:10">
      <c r="B72" s="8"/>
      <c r="G72" s="33"/>
    </row>
    <row r="73" spans="2:10">
      <c r="B73" s="8"/>
      <c r="G73" s="33"/>
    </row>
    <row r="74" spans="2:10">
      <c r="B74" s="8"/>
      <c r="G74" s="33"/>
    </row>
    <row r="75" spans="2:10">
      <c r="B75" s="8"/>
      <c r="G75" s="33"/>
    </row>
    <row r="76" spans="2:10">
      <c r="B76" s="8"/>
      <c r="G76" s="33"/>
    </row>
    <row r="77" spans="2:10">
      <c r="B77" s="8"/>
      <c r="G77" s="33"/>
    </row>
    <row r="78" spans="2:10">
      <c r="B78" s="8"/>
      <c r="G78" s="33"/>
    </row>
    <row r="79" spans="2:10">
      <c r="B79" s="8"/>
      <c r="G79" s="33"/>
    </row>
    <row r="80" spans="2:10">
      <c r="B80" s="8"/>
      <c r="G80" s="33"/>
    </row>
    <row r="81" spans="2:7">
      <c r="B81" s="8"/>
      <c r="G81" s="33"/>
    </row>
    <row r="82" spans="2:7">
      <c r="B82" s="8"/>
      <c r="G82" s="33"/>
    </row>
    <row r="83" spans="2:7">
      <c r="B83" s="8"/>
      <c r="G83" s="33"/>
    </row>
    <row r="84" spans="2:7">
      <c r="B84" s="8"/>
      <c r="G84" s="33"/>
    </row>
    <row r="85" spans="2:7">
      <c r="B85" s="8"/>
      <c r="G85" s="33"/>
    </row>
    <row r="86" spans="2:7">
      <c r="B86" s="8"/>
      <c r="G86" s="33"/>
    </row>
    <row r="87" spans="2:7">
      <c r="B87" s="8"/>
      <c r="G87" s="33"/>
    </row>
    <row r="88" spans="2:7">
      <c r="B88" s="8"/>
      <c r="G88" s="33"/>
    </row>
    <row r="89" spans="2:7">
      <c r="B89" s="8"/>
      <c r="G89" s="33"/>
    </row>
    <row r="90" spans="2:7">
      <c r="B90" s="8"/>
      <c r="G90" s="33"/>
    </row>
    <row r="91" spans="2:7">
      <c r="B91" s="8"/>
      <c r="G91" s="33"/>
    </row>
    <row r="92" spans="2:7">
      <c r="B92" s="8"/>
      <c r="G92" s="33"/>
    </row>
    <row r="93" spans="2:7">
      <c r="B93" s="8"/>
      <c r="G93" s="33"/>
    </row>
    <row r="94" spans="2:7">
      <c r="B94" s="8"/>
      <c r="G94" s="33"/>
    </row>
    <row r="95" spans="2:7">
      <c r="B95" s="8"/>
      <c r="G95" s="33"/>
    </row>
    <row r="96" spans="2:7">
      <c r="B96" s="8"/>
      <c r="G96" s="33"/>
    </row>
    <row r="97" spans="2:7">
      <c r="B97" s="8"/>
      <c r="G97" s="33"/>
    </row>
    <row r="98" spans="2:7">
      <c r="B98" s="8"/>
      <c r="G98" s="33"/>
    </row>
    <row r="99" spans="2:7">
      <c r="B99" s="8"/>
      <c r="G99" s="33"/>
    </row>
    <row r="100" spans="2:7">
      <c r="B100" s="8"/>
      <c r="G100" s="33"/>
    </row>
    <row r="101" spans="2:7">
      <c r="B101" s="8"/>
      <c r="G101" s="33"/>
    </row>
    <row r="102" spans="2:7">
      <c r="B102" s="8"/>
      <c r="G102" s="33"/>
    </row>
    <row r="103" spans="2:7">
      <c r="B103" s="8"/>
      <c r="G103" s="33"/>
    </row>
    <row r="104" spans="2:7">
      <c r="B104" s="8"/>
      <c r="G104" s="33"/>
    </row>
    <row r="105" spans="2:7">
      <c r="B105" s="8"/>
      <c r="G105" s="33"/>
    </row>
    <row r="106" spans="2:7">
      <c r="B106" s="8"/>
      <c r="G106" s="33"/>
    </row>
    <row r="107" spans="2:7">
      <c r="B107" s="8"/>
      <c r="G107" s="33"/>
    </row>
    <row r="108" spans="2:7">
      <c r="B108" s="8"/>
      <c r="G108" s="33"/>
    </row>
    <row r="109" spans="2:7">
      <c r="B109" s="8"/>
      <c r="G109" s="33"/>
    </row>
    <row r="110" spans="2:7">
      <c r="B110" s="8"/>
      <c r="G110" s="33"/>
    </row>
    <row r="111" spans="2:7">
      <c r="B111" s="8"/>
      <c r="G111" s="33"/>
    </row>
    <row r="112" spans="2:7">
      <c r="B112" s="8"/>
      <c r="G112" s="33"/>
    </row>
    <row r="113" spans="2:7">
      <c r="B113" s="8"/>
      <c r="G113" s="33"/>
    </row>
    <row r="114" spans="2:7">
      <c r="B114" s="8"/>
      <c r="G114" s="33"/>
    </row>
    <row r="115" spans="2:7">
      <c r="B115" s="8"/>
      <c r="G115" s="33"/>
    </row>
    <row r="116" spans="2:7">
      <c r="B116" s="8"/>
      <c r="G116" s="33"/>
    </row>
    <row r="117" spans="2:7">
      <c r="B117" s="8"/>
      <c r="G117" s="33"/>
    </row>
    <row r="118" spans="2:7">
      <c r="B118" s="8"/>
      <c r="G118" s="33"/>
    </row>
    <row r="119" spans="2:7">
      <c r="B119" s="8"/>
      <c r="G119" s="33"/>
    </row>
    <row r="120" spans="2:7">
      <c r="B120" s="8"/>
      <c r="G120" s="33"/>
    </row>
    <row r="121" spans="2:7">
      <c r="B121" s="8"/>
      <c r="G121" s="33"/>
    </row>
    <row r="122" spans="2:7">
      <c r="B122" s="8"/>
      <c r="G122" s="33"/>
    </row>
    <row r="123" spans="2:7">
      <c r="B123" s="8"/>
      <c r="G123" s="33"/>
    </row>
    <row r="124" spans="2:7">
      <c r="B124" s="8"/>
      <c r="G124" s="33"/>
    </row>
    <row r="125" spans="2:7">
      <c r="B125" s="8"/>
      <c r="G125" s="33"/>
    </row>
    <row r="126" spans="2:7">
      <c r="B126" s="8"/>
      <c r="G126" s="33"/>
    </row>
    <row r="127" spans="2:7">
      <c r="B127" s="8"/>
      <c r="G127" s="33"/>
    </row>
    <row r="128" spans="2:7">
      <c r="B128" s="8"/>
      <c r="G128" s="33"/>
    </row>
    <row r="129" spans="2:7">
      <c r="B129" s="8"/>
      <c r="G129" s="33"/>
    </row>
    <row r="130" spans="2:7">
      <c r="B130" s="8"/>
      <c r="G130" s="33"/>
    </row>
    <row r="131" spans="2:7">
      <c r="B131" s="8"/>
      <c r="G131" s="33"/>
    </row>
    <row r="132" spans="2:7">
      <c r="B132" s="8"/>
      <c r="G132" s="33"/>
    </row>
    <row r="133" spans="2:7">
      <c r="B133" s="8"/>
      <c r="G133" s="33"/>
    </row>
    <row r="134" spans="2:7">
      <c r="B134" s="8"/>
      <c r="G134" s="33"/>
    </row>
    <row r="135" spans="2:7">
      <c r="B135" s="8"/>
      <c r="G135" s="33"/>
    </row>
    <row r="136" spans="2:7">
      <c r="B136" s="8"/>
      <c r="G136" s="33"/>
    </row>
    <row r="137" spans="2:7">
      <c r="B137" s="8"/>
      <c r="G137" s="33"/>
    </row>
    <row r="138" spans="2:7">
      <c r="B138" s="8"/>
      <c r="G138" s="33"/>
    </row>
    <row r="139" spans="2:7">
      <c r="B139" s="8"/>
      <c r="G139" s="33"/>
    </row>
    <row r="140" spans="2:7">
      <c r="B140" s="8"/>
      <c r="G140" s="33"/>
    </row>
    <row r="141" spans="2:7">
      <c r="B141" s="8"/>
      <c r="G141" s="33"/>
    </row>
    <row r="142" spans="2:7">
      <c r="B142" s="8"/>
      <c r="G142" s="33"/>
    </row>
    <row r="143" spans="2:7">
      <c r="B143" s="8"/>
      <c r="G143" s="33"/>
    </row>
    <row r="144" spans="2:7">
      <c r="B144" s="8"/>
      <c r="G144" s="33"/>
    </row>
    <row r="145" spans="2:7">
      <c r="B145" s="8"/>
      <c r="G145" s="33"/>
    </row>
    <row r="146" spans="2:7">
      <c r="B146" s="8"/>
      <c r="G146" s="33"/>
    </row>
    <row r="147" spans="2:7">
      <c r="B147" s="8"/>
      <c r="G147" s="33"/>
    </row>
    <row r="148" spans="2:7">
      <c r="B148" s="8"/>
      <c r="G148" s="33"/>
    </row>
    <row r="149" spans="2:7">
      <c r="B149" s="8"/>
      <c r="G149" s="33"/>
    </row>
    <row r="150" spans="2:7">
      <c r="B150" s="8"/>
      <c r="G150" s="33"/>
    </row>
    <row r="151" spans="2:7">
      <c r="B151" s="8"/>
      <c r="G151" s="33"/>
    </row>
    <row r="152" spans="2:7">
      <c r="B152" s="8"/>
      <c r="G152" s="33"/>
    </row>
    <row r="153" spans="2:7">
      <c r="B153" s="8"/>
      <c r="G153" s="33"/>
    </row>
    <row r="154" spans="2:7">
      <c r="B154" s="8"/>
      <c r="G154" s="33"/>
    </row>
    <row r="155" spans="2:7">
      <c r="B155" s="8"/>
      <c r="G155" s="33"/>
    </row>
    <row r="156" spans="2:7">
      <c r="B156" s="8"/>
      <c r="G156" s="33"/>
    </row>
    <row r="157" spans="2:7">
      <c r="B157" s="8"/>
      <c r="G157" s="33"/>
    </row>
    <row r="158" spans="2:7">
      <c r="B158" s="8"/>
      <c r="G158" s="33"/>
    </row>
    <row r="159" spans="2:7">
      <c r="B159" s="8"/>
      <c r="G159" s="33"/>
    </row>
    <row r="160" spans="2:7">
      <c r="B160" s="8"/>
      <c r="G160" s="33"/>
    </row>
    <row r="161" spans="2:7">
      <c r="B161" s="8"/>
      <c r="G161" s="33"/>
    </row>
    <row r="162" spans="2:7">
      <c r="B162" s="8"/>
      <c r="G162" s="33"/>
    </row>
    <row r="163" spans="2:7">
      <c r="B163" s="8"/>
      <c r="G163" s="33"/>
    </row>
    <row r="164" spans="2:7">
      <c r="B164" s="8"/>
      <c r="G164" s="33"/>
    </row>
    <row r="165" spans="2:7">
      <c r="B165" s="8"/>
      <c r="G165" s="33"/>
    </row>
    <row r="166" spans="2:7">
      <c r="B166" s="8"/>
      <c r="G166" s="33"/>
    </row>
    <row r="167" spans="2:7">
      <c r="B167" s="8"/>
      <c r="G167" s="33"/>
    </row>
    <row r="168" spans="2:7">
      <c r="B168" s="8"/>
      <c r="G168" s="33"/>
    </row>
    <row r="169" spans="2:7">
      <c r="B169" s="8"/>
      <c r="G169" s="33"/>
    </row>
    <row r="170" spans="2:7">
      <c r="B170" s="8"/>
      <c r="G170" s="33"/>
    </row>
    <row r="171" spans="2:7">
      <c r="B171" s="8"/>
      <c r="G171" s="33"/>
    </row>
    <row r="172" spans="2:7">
      <c r="B172" s="8"/>
      <c r="G172" s="33"/>
    </row>
    <row r="173" spans="2:7">
      <c r="B173" s="8"/>
      <c r="G173" s="33"/>
    </row>
  </sheetData>
  <mergeCells count="1">
    <mergeCell ref="B1:K1"/>
  </mergeCells>
  <phoneticPr fontId="4" type="noConversion"/>
  <printOptions horizontalCentered="1"/>
  <pageMargins left="0.75" right="0.75" top="1" bottom="1" header="0.5" footer="0.5"/>
  <pageSetup scale="76" orientation="portrait" horizontalDpi="300" verticalDpi="300"/>
  <headerFooter alignWithMargins="0"/>
  <ignoredErrors>
    <ignoredError sqref="J17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O33"/>
  <sheetViews>
    <sheetView topLeftCell="A2" zoomScale="180" zoomScaleNormal="180" zoomScalePageLayoutView="180" workbookViewId="0">
      <selection activeCell="D24" sqref="D24"/>
    </sheetView>
  </sheetViews>
  <sheetFormatPr baseColWidth="10" defaultColWidth="8.83203125" defaultRowHeight="13"/>
  <cols>
    <col min="1" max="1" width="2.83203125" style="33" customWidth="1"/>
    <col min="2" max="2" width="4.83203125" style="33" customWidth="1"/>
    <col min="3" max="3" width="2.1640625" style="33" customWidth="1"/>
    <col min="4" max="4" width="36.1640625" style="33" customWidth="1"/>
    <col min="5" max="5" width="1.33203125" style="33" customWidth="1"/>
    <col min="6" max="6" width="12.6640625" style="33" customWidth="1"/>
    <col min="7" max="7" width="1.33203125" style="33" customWidth="1"/>
    <col min="8" max="8" width="12.6640625" style="33" customWidth="1"/>
    <col min="9" max="9" width="1.33203125" style="33" customWidth="1"/>
    <col min="10" max="10" width="12.6640625" style="33" customWidth="1"/>
    <col min="11" max="11" width="1.33203125" style="33" hidden="1" customWidth="1"/>
    <col min="12" max="12" width="23.33203125" style="33" hidden="1" customWidth="1"/>
    <col min="13" max="13" width="2.83203125" style="33" customWidth="1"/>
    <col min="14" max="16384" width="8.83203125" style="33"/>
  </cols>
  <sheetData>
    <row r="1" spans="2:15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24"/>
      <c r="N1" s="24"/>
    </row>
    <row r="2" spans="2:15" ht="16">
      <c r="B2" s="159"/>
    </row>
    <row r="3" spans="2:15">
      <c r="B3" s="12" t="str">
        <f>+'Sch 1.1'!B3</f>
        <v>Kentucky Public Service Commission</v>
      </c>
      <c r="J3" s="183" t="str">
        <f>+'Sch 1.1'!J3</f>
        <v>Case No. 2018-00294</v>
      </c>
    </row>
    <row r="4" spans="2:15">
      <c r="J4" s="36" t="s">
        <v>178</v>
      </c>
    </row>
    <row r="5" spans="2:15">
      <c r="B5" s="86" t="str">
        <f>+'Sch 1.1'!B5</f>
        <v>Kentucky Utilities Company</v>
      </c>
      <c r="J5" s="36" t="s">
        <v>32</v>
      </c>
    </row>
    <row r="6" spans="2:15">
      <c r="B6" s="27" t="str">
        <f>+'Sch 1.1'!B6</f>
        <v>Base Period ending December 31, 2018; Fully Forecasted Test Period ending April 30, 2020</v>
      </c>
    </row>
    <row r="7" spans="2:15">
      <c r="B7" s="45" t="s">
        <v>557</v>
      </c>
    </row>
    <row r="9" spans="2:15">
      <c r="B9" s="12"/>
      <c r="C9" s="12"/>
      <c r="D9" s="12"/>
      <c r="E9" s="12"/>
      <c r="F9" s="13"/>
      <c r="G9" s="12"/>
      <c r="H9" s="13"/>
      <c r="I9" s="12"/>
      <c r="J9" s="13" t="s">
        <v>24</v>
      </c>
      <c r="K9" s="12"/>
      <c r="L9" s="13" t="s">
        <v>20</v>
      </c>
    </row>
    <row r="10" spans="2:15" ht="14" thickBot="1">
      <c r="B10" s="46" t="s">
        <v>18</v>
      </c>
      <c r="C10" s="13"/>
      <c r="D10" s="46" t="s">
        <v>17</v>
      </c>
      <c r="E10" s="13"/>
      <c r="F10" s="46" t="s">
        <v>19</v>
      </c>
      <c r="G10" s="13"/>
      <c r="H10" s="46" t="s">
        <v>20</v>
      </c>
      <c r="I10" s="13"/>
      <c r="J10" s="46" t="s">
        <v>25</v>
      </c>
      <c r="K10" s="13"/>
      <c r="L10" s="46" t="s">
        <v>26</v>
      </c>
    </row>
    <row r="11" spans="2:15">
      <c r="B11" s="13"/>
      <c r="C11" s="13"/>
      <c r="D11" s="12"/>
      <c r="E11" s="13"/>
      <c r="F11" s="13" t="s">
        <v>9</v>
      </c>
      <c r="G11" s="13"/>
      <c r="H11" s="13" t="s">
        <v>10</v>
      </c>
      <c r="I11" s="13"/>
      <c r="J11" s="5" t="s">
        <v>11</v>
      </c>
      <c r="K11" s="13"/>
      <c r="L11" s="13" t="s">
        <v>13</v>
      </c>
    </row>
    <row r="12" spans="2:15" s="35" customFormat="1">
      <c r="B12" s="112"/>
      <c r="D12" s="86"/>
      <c r="E12" s="33"/>
      <c r="F12" s="33"/>
      <c r="N12" s="180"/>
      <c r="O12" s="180"/>
    </row>
    <row r="13" spans="2:15" s="35" customFormat="1">
      <c r="B13" s="112">
        <v>1</v>
      </c>
      <c r="D13" s="33" t="s">
        <v>116</v>
      </c>
      <c r="E13" s="33"/>
      <c r="F13" s="219">
        <v>3.16E-3</v>
      </c>
      <c r="H13" s="218"/>
      <c r="J13" s="219">
        <f>+F13+H13</f>
        <v>3.16E-3</v>
      </c>
      <c r="N13" s="219"/>
      <c r="O13" s="180"/>
    </row>
    <row r="14" spans="2:15" s="35" customFormat="1">
      <c r="B14" s="112">
        <v>2</v>
      </c>
      <c r="D14" s="27" t="s">
        <v>129</v>
      </c>
      <c r="E14" s="33"/>
      <c r="F14" s="220">
        <v>2E-3</v>
      </c>
      <c r="H14" s="218"/>
      <c r="J14" s="220">
        <f>+F14+H14</f>
        <v>2E-3</v>
      </c>
      <c r="N14" s="219"/>
      <c r="O14" s="180"/>
    </row>
    <row r="15" spans="2:15" s="35" customFormat="1">
      <c r="B15" s="112">
        <v>3</v>
      </c>
      <c r="D15" s="82" t="s">
        <v>57</v>
      </c>
      <c r="E15" s="33"/>
      <c r="F15" s="224">
        <f>+F13+F14</f>
        <v>5.1599999999999997E-3</v>
      </c>
      <c r="J15" s="224">
        <f>+J13+J14</f>
        <v>5.1599999999999997E-3</v>
      </c>
      <c r="N15" s="194"/>
      <c r="O15" s="180"/>
    </row>
    <row r="16" spans="2:15" s="35" customFormat="1">
      <c r="B16" s="112"/>
      <c r="D16" s="33"/>
      <c r="E16" s="33"/>
      <c r="F16" s="214"/>
      <c r="J16" s="214"/>
      <c r="N16" s="221"/>
      <c r="O16" s="180"/>
    </row>
    <row r="17" spans="2:15" s="35" customFormat="1">
      <c r="B17" s="112">
        <v>4</v>
      </c>
      <c r="D17" s="33" t="s">
        <v>117</v>
      </c>
      <c r="E17" s="33"/>
      <c r="F17" s="113">
        <f>1-F15</f>
        <v>0.99483999999999995</v>
      </c>
      <c r="J17" s="113">
        <f>1-J15</f>
        <v>0.99483999999999995</v>
      </c>
      <c r="N17" s="194"/>
      <c r="O17" s="180"/>
    </row>
    <row r="18" spans="2:15" s="35" customFormat="1">
      <c r="B18" s="112">
        <v>5</v>
      </c>
      <c r="D18" s="33" t="s">
        <v>118</v>
      </c>
      <c r="E18" s="33"/>
      <c r="F18" s="215">
        <v>0.05</v>
      </c>
      <c r="J18" s="215">
        <f>+F18+H18</f>
        <v>0.05</v>
      </c>
      <c r="N18" s="194"/>
      <c r="O18" s="180"/>
    </row>
    <row r="19" spans="2:15" s="35" customFormat="1">
      <c r="B19" s="112">
        <v>6</v>
      </c>
      <c r="D19" s="27" t="s">
        <v>119</v>
      </c>
      <c r="E19" s="33"/>
      <c r="F19" s="224">
        <f>+F17*F18</f>
        <v>4.9742000000000001E-2</v>
      </c>
      <c r="J19" s="224">
        <f>+J17*J18</f>
        <v>4.9742000000000001E-2</v>
      </c>
      <c r="N19" s="194"/>
      <c r="O19" s="180"/>
    </row>
    <row r="20" spans="2:15" s="35" customFormat="1">
      <c r="B20" s="112"/>
      <c r="D20" s="27"/>
      <c r="E20" s="33"/>
      <c r="N20" s="180"/>
      <c r="O20" s="180"/>
    </row>
    <row r="21" spans="2:15" s="35" customFormat="1">
      <c r="B21" s="112">
        <v>7</v>
      </c>
      <c r="D21" s="27" t="s">
        <v>120</v>
      </c>
      <c r="E21" s="33"/>
      <c r="F21" s="113">
        <f>1-F15-F19</f>
        <v>0.94509799999999999</v>
      </c>
      <c r="J21" s="113">
        <f>1-J15-J19</f>
        <v>0.94509799999999999</v>
      </c>
      <c r="N21" s="194"/>
      <c r="O21" s="180"/>
    </row>
    <row r="22" spans="2:15" s="35" customFormat="1">
      <c r="B22" s="112">
        <v>8</v>
      </c>
      <c r="D22" s="27" t="s">
        <v>121</v>
      </c>
      <c r="E22" s="33"/>
      <c r="F22" s="215">
        <v>0.21</v>
      </c>
      <c r="J22" s="215">
        <f>+F22+H22</f>
        <v>0.21</v>
      </c>
      <c r="N22" s="194"/>
      <c r="O22" s="180"/>
    </row>
    <row r="23" spans="2:15" s="35" customFormat="1">
      <c r="B23" s="112">
        <v>9</v>
      </c>
      <c r="D23" s="27" t="s">
        <v>122</v>
      </c>
      <c r="E23" s="33"/>
      <c r="F23" s="224">
        <f>+F21*F22</f>
        <v>0.19847057999999998</v>
      </c>
      <c r="J23" s="224">
        <f>+J21*J22</f>
        <v>0.19847057999999998</v>
      </c>
      <c r="N23" s="194"/>
      <c r="O23" s="180"/>
    </row>
    <row r="24" spans="2:15" s="35" customFormat="1">
      <c r="B24" s="112"/>
      <c r="D24" s="27"/>
      <c r="E24" s="33"/>
      <c r="N24" s="180"/>
      <c r="O24" s="180"/>
    </row>
    <row r="25" spans="2:15" s="35" customFormat="1">
      <c r="B25" s="112">
        <v>10</v>
      </c>
      <c r="D25" s="27" t="s">
        <v>38</v>
      </c>
      <c r="E25" s="33"/>
      <c r="F25" s="216">
        <f>+F15+F19+F23</f>
        <v>0.25337257999999996</v>
      </c>
      <c r="J25" s="216">
        <f>+J15+J19+J23</f>
        <v>0.25337257999999996</v>
      </c>
      <c r="N25" s="222"/>
      <c r="O25" s="180"/>
    </row>
    <row r="26" spans="2:15" s="35" customFormat="1">
      <c r="B26" s="112">
        <v>11</v>
      </c>
      <c r="D26" s="27" t="s">
        <v>123</v>
      </c>
      <c r="E26" s="33"/>
      <c r="F26" s="216">
        <f>1-F25</f>
        <v>0.74662742000000004</v>
      </c>
      <c r="J26" s="216">
        <f>1-J25</f>
        <v>0.74662742000000004</v>
      </c>
      <c r="N26" s="222"/>
      <c r="O26" s="180"/>
    </row>
    <row r="27" spans="2:15" s="35" customFormat="1" ht="14" thickBot="1">
      <c r="B27" s="112"/>
      <c r="D27" s="27"/>
      <c r="E27" s="33"/>
      <c r="F27" s="216"/>
      <c r="J27" s="216"/>
      <c r="N27" s="222"/>
      <c r="O27" s="180"/>
    </row>
    <row r="28" spans="2:15" s="35" customFormat="1" ht="14" thickBot="1">
      <c r="B28" s="112">
        <v>12</v>
      </c>
      <c r="D28" s="45" t="s">
        <v>556</v>
      </c>
      <c r="E28" s="16"/>
      <c r="F28" s="217">
        <f>1/F26</f>
        <v>1.3393561141914665</v>
      </c>
      <c r="J28" s="217">
        <f>1/J26</f>
        <v>1.3393561141914665</v>
      </c>
      <c r="N28" s="223"/>
      <c r="O28" s="180"/>
    </row>
    <row r="29" spans="2:15" s="35" customFormat="1">
      <c r="N29" s="180"/>
      <c r="O29" s="180"/>
    </row>
    <row r="30" spans="2:15">
      <c r="N30" s="4"/>
      <c r="O30" s="4"/>
    </row>
    <row r="31" spans="2:15" s="35" customFormat="1">
      <c r="B31" s="110" t="s">
        <v>74</v>
      </c>
      <c r="C31" s="114"/>
      <c r="D31" s="114"/>
      <c r="E31" s="114"/>
      <c r="F31" s="114"/>
      <c r="G31" s="114"/>
      <c r="H31" s="114"/>
      <c r="I31" s="114"/>
      <c r="J31" s="114"/>
    </row>
    <row r="32" spans="2:15" s="35" customFormat="1">
      <c r="B32" s="180" t="s">
        <v>195</v>
      </c>
      <c r="C32" s="180"/>
      <c r="D32" s="180"/>
      <c r="E32" s="180"/>
      <c r="F32" s="180"/>
      <c r="G32" s="180"/>
      <c r="H32" s="180"/>
      <c r="I32" s="180"/>
      <c r="J32" s="180"/>
    </row>
    <row r="33" spans="2:2">
      <c r="B33" s="33" t="s">
        <v>196</v>
      </c>
    </row>
  </sheetData>
  <mergeCells count="1">
    <mergeCell ref="B1:L1"/>
  </mergeCells>
  <phoneticPr fontId="4" type="noConversion"/>
  <printOptions horizont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P28"/>
  <sheetViews>
    <sheetView showGridLines="0" zoomScale="125" zoomScaleNormal="125" zoomScalePageLayoutView="125" workbookViewId="0">
      <selection activeCell="L13" sqref="L13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29" style="33" customWidth="1"/>
    <col min="5" max="5" width="1.33203125" style="33" customWidth="1"/>
    <col min="6" max="6" width="15.6640625" style="33" customWidth="1"/>
    <col min="7" max="7" width="1" style="33" customWidth="1"/>
    <col min="8" max="8" width="11.1640625" style="33" customWidth="1"/>
    <col min="9" max="9" width="1.33203125" style="33" customWidth="1"/>
    <col min="10" max="10" width="11.1640625" style="33" customWidth="1"/>
    <col min="11" max="11" width="1.33203125" style="33" customWidth="1"/>
    <col min="12" max="12" width="11.1640625" style="33" customWidth="1"/>
    <col min="13" max="13" width="1.33203125" style="33" customWidth="1"/>
    <col min="14" max="14" width="10.6640625" style="33" customWidth="1"/>
    <col min="15" max="15" width="1.33203125" style="33" customWidth="1"/>
    <col min="16" max="16" width="9.6640625" style="33" bestFit="1" customWidth="1"/>
    <col min="17" max="17" width="2.83203125" style="33" customWidth="1"/>
    <col min="18" max="16384" width="8.83203125" style="33"/>
  </cols>
  <sheetData>
    <row r="1" spans="2:16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225"/>
      <c r="N1" s="225"/>
      <c r="O1" s="225"/>
      <c r="P1" s="225"/>
    </row>
    <row r="2" spans="2:16" ht="16">
      <c r="B2" s="159"/>
    </row>
    <row r="3" spans="2:16">
      <c r="B3" s="12" t="str">
        <f>+'Sch 1.1'!B3</f>
        <v>Kentucky Public Service Commission</v>
      </c>
      <c r="L3" s="183" t="str">
        <f>+'Sch 1.1'!J3</f>
        <v>Case No. 2018-00294</v>
      </c>
    </row>
    <row r="4" spans="2:16">
      <c r="B4" s="61"/>
      <c r="L4" s="36" t="s">
        <v>179</v>
      </c>
    </row>
    <row r="5" spans="2:16">
      <c r="B5" s="86" t="str">
        <f>+'Sch 1.1'!B5</f>
        <v>Kentucky Utilities Company</v>
      </c>
      <c r="L5" s="183" t="s">
        <v>32</v>
      </c>
    </row>
    <row r="6" spans="2:16">
      <c r="B6" s="33" t="str">
        <f>+'Sch 1.1'!B6</f>
        <v>Base Period ending December 31, 2018; Fully Forecasted Test Period ending April 30, 2020</v>
      </c>
    </row>
    <row r="7" spans="2:16">
      <c r="B7" s="33" t="s">
        <v>0</v>
      </c>
    </row>
    <row r="9" spans="2:16">
      <c r="H9" s="13"/>
    </row>
    <row r="10" spans="2:16">
      <c r="B10" s="12"/>
      <c r="C10" s="12"/>
      <c r="D10" s="12"/>
      <c r="E10" s="12"/>
      <c r="F10" s="230" t="s">
        <v>149</v>
      </c>
      <c r="G10" s="12"/>
      <c r="H10" s="13" t="s">
        <v>75</v>
      </c>
      <c r="I10" s="12"/>
      <c r="J10" s="13"/>
      <c r="K10" s="12"/>
      <c r="L10" s="13" t="s">
        <v>7</v>
      </c>
      <c r="M10" s="12"/>
    </row>
    <row r="11" spans="2:16" ht="14" customHeight="1" thickBot="1">
      <c r="B11" s="46" t="s">
        <v>18</v>
      </c>
      <c r="C11" s="13"/>
      <c r="D11" s="46" t="s">
        <v>17</v>
      </c>
      <c r="E11" s="13"/>
      <c r="F11" s="229" t="s">
        <v>150</v>
      </c>
      <c r="G11" s="230"/>
      <c r="H11" s="46" t="s">
        <v>3</v>
      </c>
      <c r="I11" s="13"/>
      <c r="J11" s="46" t="s">
        <v>6</v>
      </c>
      <c r="K11" s="13"/>
      <c r="L11" s="46" t="s">
        <v>6</v>
      </c>
      <c r="M11" s="13"/>
    </row>
    <row r="12" spans="2:16">
      <c r="B12" s="13"/>
      <c r="C12" s="13"/>
      <c r="D12" s="13"/>
      <c r="E12" s="13"/>
      <c r="F12" s="230" t="s">
        <v>9</v>
      </c>
      <c r="G12" s="230"/>
      <c r="H12" s="230" t="s">
        <v>10</v>
      </c>
      <c r="I12" s="230"/>
      <c r="J12" s="5" t="s">
        <v>11</v>
      </c>
      <c r="K12" s="13"/>
      <c r="L12" s="5" t="s">
        <v>12</v>
      </c>
    </row>
    <row r="13" spans="2:16">
      <c r="B13" s="8"/>
      <c r="D13" s="97" t="s">
        <v>83</v>
      </c>
      <c r="E13" s="95"/>
      <c r="F13" s="95"/>
      <c r="G13" s="95"/>
      <c r="H13" s="96"/>
      <c r="J13" s="10"/>
      <c r="K13" s="10"/>
      <c r="L13" s="10"/>
      <c r="M13" s="4"/>
    </row>
    <row r="14" spans="2:16">
      <c r="B14" s="8">
        <v>1</v>
      </c>
      <c r="D14" s="95" t="s">
        <v>130</v>
      </c>
      <c r="E14" s="95"/>
      <c r="F14" s="50">
        <v>51047467</v>
      </c>
      <c r="G14" s="95"/>
      <c r="H14" s="236">
        <f>+F14/$F$17</f>
        <v>1.2453226352340465E-2</v>
      </c>
      <c r="J14" s="94">
        <v>3.2273369030310452E-2</v>
      </c>
      <c r="K14" s="10"/>
      <c r="L14" s="240">
        <f>+H14*J14</f>
        <v>4.0190756968707075E-4</v>
      </c>
      <c r="M14" s="4"/>
      <c r="N14" s="27"/>
    </row>
    <row r="15" spans="2:16">
      <c r="B15" s="8">
        <v>2</v>
      </c>
      <c r="D15" s="95" t="s">
        <v>28</v>
      </c>
      <c r="E15" s="95"/>
      <c r="F15" s="50">
        <v>1882004471</v>
      </c>
      <c r="G15" s="95"/>
      <c r="H15" s="236">
        <f t="shared" ref="H15:H16" si="0">+F15/$F$17</f>
        <v>0.45912224544813901</v>
      </c>
      <c r="I15" s="4"/>
      <c r="J15" s="98">
        <v>4.3838605062617317E-2</v>
      </c>
      <c r="K15" s="39"/>
      <c r="L15" s="40">
        <f>+H15*J15</f>
        <v>2.0127278793663016E-2</v>
      </c>
      <c r="M15" s="4"/>
    </row>
    <row r="16" spans="2:16">
      <c r="B16" s="8">
        <v>3</v>
      </c>
      <c r="D16" s="95" t="s">
        <v>98</v>
      </c>
      <c r="E16" s="95"/>
      <c r="F16" s="50">
        <v>2166083945</v>
      </c>
      <c r="G16" s="95"/>
      <c r="H16" s="236">
        <f t="shared" si="0"/>
        <v>0.52842452819952057</v>
      </c>
      <c r="I16" s="4"/>
      <c r="J16" s="98">
        <v>0.1042</v>
      </c>
      <c r="K16" s="39"/>
      <c r="L16" s="40">
        <f>+H16*J16</f>
        <v>5.5061835838390041E-2</v>
      </c>
      <c r="M16" s="4"/>
    </row>
    <row r="17" spans="2:13" ht="14" thickBot="1">
      <c r="B17" s="99">
        <v>4</v>
      </c>
      <c r="C17" s="21"/>
      <c r="D17" s="95" t="s">
        <v>15</v>
      </c>
      <c r="E17" s="95"/>
      <c r="F17" s="251">
        <f>SUM(F14:F16)</f>
        <v>4099135883</v>
      </c>
      <c r="G17" s="95"/>
      <c r="H17" s="100">
        <f>SUM(H14:H16)</f>
        <v>1</v>
      </c>
      <c r="I17" s="4"/>
      <c r="J17" s="101"/>
      <c r="K17" s="4"/>
      <c r="L17" s="100">
        <f>SUM(L14:L16)</f>
        <v>7.5591022201740132E-2</v>
      </c>
      <c r="M17" s="4"/>
    </row>
    <row r="18" spans="2:13" ht="15" thickTop="1" thickBot="1">
      <c r="B18" s="102"/>
      <c r="C18" s="103"/>
      <c r="D18" s="103"/>
      <c r="E18" s="103"/>
      <c r="F18" s="103"/>
      <c r="G18" s="103"/>
      <c r="H18" s="104"/>
      <c r="I18" s="105"/>
      <c r="J18" s="105"/>
      <c r="K18" s="105"/>
      <c r="L18" s="104"/>
      <c r="M18" s="105"/>
    </row>
    <row r="19" spans="2:13" s="4" customFormat="1">
      <c r="B19" s="106"/>
      <c r="C19" s="95"/>
      <c r="D19" s="95"/>
      <c r="E19" s="95"/>
      <c r="F19" s="95"/>
      <c r="G19" s="95"/>
      <c r="H19" s="20"/>
      <c r="L19" s="20"/>
    </row>
    <row r="20" spans="2:13">
      <c r="B20" s="8"/>
      <c r="D20" s="97" t="s">
        <v>517</v>
      </c>
      <c r="E20" s="95"/>
      <c r="F20" s="95"/>
      <c r="G20" s="95"/>
      <c r="H20" s="107"/>
      <c r="J20" s="108"/>
      <c r="K20" s="108"/>
      <c r="L20" s="108"/>
      <c r="M20" s="4"/>
    </row>
    <row r="21" spans="2:13">
      <c r="B21" s="8">
        <v>5</v>
      </c>
      <c r="D21" s="95" t="s">
        <v>130</v>
      </c>
      <c r="E21" s="95"/>
      <c r="F21" s="50">
        <v>51047467</v>
      </c>
      <c r="G21" s="95"/>
      <c r="H21" s="236">
        <f>+F21/$F$17</f>
        <v>1.2453226352340465E-2</v>
      </c>
      <c r="J21" s="94">
        <v>3.2273369030310452E-2</v>
      </c>
      <c r="K21" s="10"/>
      <c r="L21" s="240">
        <f>+H21*J21</f>
        <v>4.0190756968707075E-4</v>
      </c>
      <c r="M21" s="4"/>
    </row>
    <row r="22" spans="2:13">
      <c r="B22" s="8">
        <v>6</v>
      </c>
      <c r="D22" s="95" t="s">
        <v>28</v>
      </c>
      <c r="E22" s="95"/>
      <c r="F22" s="50">
        <v>1882004471</v>
      </c>
      <c r="G22" s="95"/>
      <c r="H22" s="236">
        <f t="shared" ref="H22:H23" si="1">+F22/$F$17</f>
        <v>0.45912224544813901</v>
      </c>
      <c r="I22" s="4"/>
      <c r="J22" s="98">
        <v>4.3838605062617317E-2</v>
      </c>
      <c r="K22" s="39"/>
      <c r="L22" s="40">
        <f>+H22*J22</f>
        <v>2.0127278793663016E-2</v>
      </c>
      <c r="M22" s="4"/>
    </row>
    <row r="23" spans="2:13" ht="14" thickBot="1">
      <c r="B23" s="8">
        <v>7</v>
      </c>
      <c r="D23" s="95" t="s">
        <v>98</v>
      </c>
      <c r="E23" s="95"/>
      <c r="F23" s="50">
        <v>2166083945</v>
      </c>
      <c r="G23" s="95"/>
      <c r="H23" s="236">
        <f t="shared" si="1"/>
        <v>0.52842452819952057</v>
      </c>
      <c r="I23" s="4"/>
      <c r="J23" s="345">
        <v>9.7000000000000003E-2</v>
      </c>
      <c r="K23" s="39"/>
      <c r="L23" s="40">
        <f>+H23*J23</f>
        <v>5.1257179235353494E-2</v>
      </c>
      <c r="M23" s="4"/>
    </row>
    <row r="24" spans="2:13" ht="14" thickBot="1">
      <c r="B24" s="8">
        <v>8</v>
      </c>
      <c r="D24" s="95" t="s">
        <v>15</v>
      </c>
      <c r="E24" s="95"/>
      <c r="F24" s="251">
        <f>SUM(F21:F23)</f>
        <v>4099135883</v>
      </c>
      <c r="G24" s="95"/>
      <c r="H24" s="100">
        <f>SUM(H21:H23)</f>
        <v>1</v>
      </c>
      <c r="I24" s="4"/>
      <c r="J24" s="101"/>
      <c r="K24" s="4"/>
      <c r="L24" s="238">
        <f>SUM(L21:L23)</f>
        <v>7.1786365598703578E-2</v>
      </c>
      <c r="M24" s="4"/>
    </row>
    <row r="25" spans="2:13" ht="14" thickTop="1">
      <c r="B25" s="99"/>
      <c r="C25" s="21"/>
      <c r="D25" s="95"/>
      <c r="E25" s="95"/>
      <c r="F25" s="95"/>
      <c r="G25" s="95"/>
      <c r="H25" s="109"/>
      <c r="I25" s="4"/>
      <c r="J25" s="4"/>
      <c r="K25" s="4"/>
      <c r="L25" s="109"/>
      <c r="M25" s="4"/>
    </row>
    <row r="26" spans="2:13">
      <c r="B26" s="110" t="s">
        <v>74</v>
      </c>
      <c r="C26" s="70"/>
      <c r="D26" s="70"/>
      <c r="E26" s="70"/>
      <c r="F26" s="70"/>
      <c r="G26" s="70"/>
      <c r="H26" s="70"/>
      <c r="I26" s="70"/>
      <c r="J26" s="70"/>
      <c r="K26" s="70"/>
      <c r="L26" s="111"/>
      <c r="M26" s="70"/>
    </row>
    <row r="27" spans="2:13">
      <c r="B27" s="185" t="s">
        <v>197</v>
      </c>
      <c r="C27" s="208"/>
      <c r="D27" s="208"/>
      <c r="E27" s="208"/>
      <c r="F27" s="208"/>
      <c r="G27" s="208"/>
      <c r="H27" s="208"/>
    </row>
    <row r="28" spans="2:13">
      <c r="B28" s="82" t="s">
        <v>519</v>
      </c>
    </row>
  </sheetData>
  <mergeCells count="1">
    <mergeCell ref="B1:L1"/>
  </mergeCells>
  <phoneticPr fontId="4" type="noConversion"/>
  <printOptions horizontalCentered="1"/>
  <pageMargins left="0.75" right="0.75" top="1" bottom="1" header="0.5" footer="0.5"/>
  <pageSetup scale="8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T203"/>
  <sheetViews>
    <sheetView showGridLines="0" zoomScale="141" zoomScaleNormal="141" zoomScalePageLayoutView="141" workbookViewId="0">
      <selection activeCell="G51" sqref="G51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23.83203125" style="33" customWidth="1"/>
    <col min="5" max="5" width="1.33203125" style="33" customWidth="1"/>
    <col min="6" max="6" width="14.6640625" style="33" bestFit="1" customWidth="1"/>
    <col min="7" max="7" width="1.33203125" style="33" customWidth="1"/>
    <col min="8" max="8" width="12.6640625" style="33" bestFit="1" customWidth="1"/>
    <col min="9" max="9" width="1.33203125" style="33" customWidth="1"/>
    <col min="10" max="10" width="14.6640625" style="33" bestFit="1" customWidth="1"/>
    <col min="11" max="11" width="4" style="33" customWidth="1"/>
    <col min="12" max="12" width="17.5" style="33" hidden="1" customWidth="1"/>
    <col min="13" max="13" width="1.33203125" style="33" hidden="1" customWidth="1"/>
    <col min="14" max="14" width="13.6640625" style="33" hidden="1" customWidth="1"/>
    <col min="15" max="15" width="1.33203125" style="33" hidden="1" customWidth="1"/>
    <col min="16" max="16" width="8.6640625" style="33" hidden="1" customWidth="1"/>
    <col min="17" max="17" width="1.33203125" style="33" hidden="1" customWidth="1"/>
    <col min="18" max="18" width="7.1640625" style="33" hidden="1" customWidth="1"/>
    <col min="19" max="19" width="1.33203125" style="33" hidden="1" customWidth="1"/>
    <col min="20" max="20" width="11" style="33" hidden="1" customWidth="1"/>
    <col min="21" max="21" width="0" style="33" hidden="1" customWidth="1"/>
    <col min="22" max="16384" width="8.83203125" style="33"/>
  </cols>
  <sheetData>
    <row r="1" spans="2:20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</row>
    <row r="2" spans="2:20" ht="16">
      <c r="B2" s="83"/>
    </row>
    <row r="3" spans="2:20">
      <c r="B3" s="12" t="str">
        <f>+'Sch 1.1'!B3</f>
        <v>Kentucky Public Service Commission</v>
      </c>
      <c r="J3" s="183" t="str">
        <f>+'Sch 1.1'!J3</f>
        <v>Case No. 2018-00294</v>
      </c>
    </row>
    <row r="4" spans="2:20">
      <c r="J4" s="36" t="s">
        <v>180</v>
      </c>
    </row>
    <row r="5" spans="2:20">
      <c r="B5" s="86" t="str">
        <f>+'Sch 1.1'!B5</f>
        <v>Kentucky Utilities Company</v>
      </c>
      <c r="J5" s="183" t="s">
        <v>32</v>
      </c>
    </row>
    <row r="6" spans="2:20">
      <c r="B6" s="16" t="str">
        <f>+'Sch 1.1'!B6</f>
        <v>Base Period ending December 31, 2018; Fully Forecasted Test Period ending April 30, 2020</v>
      </c>
    </row>
    <row r="7" spans="2:20">
      <c r="B7" s="95" t="s">
        <v>554</v>
      </c>
    </row>
    <row r="8" spans="2:20">
      <c r="B8" s="86"/>
    </row>
    <row r="9" spans="2:20">
      <c r="B9" s="13"/>
      <c r="C9" s="13"/>
      <c r="D9" s="13"/>
      <c r="E9" s="13"/>
      <c r="F9" s="13" t="s">
        <v>19</v>
      </c>
      <c r="G9" s="13"/>
      <c r="H9" s="13"/>
      <c r="I9" s="13"/>
      <c r="J9" s="13"/>
      <c r="L9" s="12"/>
      <c r="M9" s="12"/>
      <c r="N9" s="294" t="s">
        <v>149</v>
      </c>
      <c r="O9" s="12"/>
      <c r="P9" s="294" t="s">
        <v>75</v>
      </c>
      <c r="Q9" s="12"/>
      <c r="R9" s="294"/>
      <c r="S9" s="12"/>
      <c r="T9" s="294" t="s">
        <v>7</v>
      </c>
    </row>
    <row r="10" spans="2:20" ht="14" thickBot="1">
      <c r="B10" s="46" t="s">
        <v>18</v>
      </c>
      <c r="C10" s="13"/>
      <c r="D10" s="46" t="s">
        <v>17</v>
      </c>
      <c r="E10" s="13"/>
      <c r="F10" s="46" t="s">
        <v>60</v>
      </c>
      <c r="G10" s="13"/>
      <c r="H10" s="46" t="s">
        <v>20</v>
      </c>
      <c r="I10" s="13"/>
      <c r="J10" s="46" t="s">
        <v>15</v>
      </c>
      <c r="L10" s="292" t="s">
        <v>17</v>
      </c>
      <c r="M10" s="294"/>
      <c r="N10" s="292" t="s">
        <v>150</v>
      </c>
      <c r="O10" s="294"/>
      <c r="P10" s="292" t="s">
        <v>3</v>
      </c>
      <c r="Q10" s="294"/>
      <c r="R10" s="292" t="s">
        <v>6</v>
      </c>
      <c r="S10" s="294"/>
      <c r="T10" s="292" t="s">
        <v>6</v>
      </c>
    </row>
    <row r="11" spans="2:20">
      <c r="B11" s="13"/>
      <c r="C11" s="13"/>
      <c r="D11" s="13"/>
      <c r="E11" s="13"/>
      <c r="F11" s="13" t="s">
        <v>9</v>
      </c>
      <c r="G11" s="13"/>
      <c r="H11" s="13" t="s">
        <v>10</v>
      </c>
      <c r="I11" s="13"/>
      <c r="J11" s="13" t="s">
        <v>11</v>
      </c>
      <c r="L11" s="294" t="s">
        <v>12</v>
      </c>
      <c r="M11" s="294"/>
      <c r="N11" s="294" t="s">
        <v>13</v>
      </c>
      <c r="O11" s="294"/>
      <c r="P11" s="294" t="s">
        <v>13</v>
      </c>
      <c r="Q11" s="294"/>
      <c r="R11" s="294" t="s">
        <v>14</v>
      </c>
      <c r="S11" s="294"/>
      <c r="T11" s="294" t="s">
        <v>68</v>
      </c>
    </row>
    <row r="12" spans="2:20">
      <c r="B12" s="8"/>
      <c r="C12" s="8"/>
      <c r="D12" s="8"/>
      <c r="E12" s="8"/>
      <c r="F12" s="8"/>
      <c r="G12" s="8"/>
      <c r="H12" s="8"/>
      <c r="I12" s="8"/>
      <c r="J12" s="8"/>
    </row>
    <row r="13" spans="2:20">
      <c r="B13" s="8">
        <v>1</v>
      </c>
      <c r="C13" s="8"/>
      <c r="D13" s="344" t="s">
        <v>515</v>
      </c>
      <c r="E13" s="8"/>
      <c r="F13" s="8"/>
      <c r="G13" s="8"/>
      <c r="H13" s="8"/>
      <c r="I13" s="8"/>
      <c r="J13" s="8"/>
    </row>
    <row r="14" spans="2:20">
      <c r="B14" s="8">
        <v>2</v>
      </c>
      <c r="D14" s="35" t="s">
        <v>160</v>
      </c>
      <c r="F14" s="42">
        <f>+'Sch 1.1'!F30</f>
        <v>4099135883</v>
      </c>
      <c r="H14" s="42"/>
      <c r="J14" s="42">
        <f>+F14+H14</f>
        <v>4099135883</v>
      </c>
      <c r="L14" s="97" t="s">
        <v>517</v>
      </c>
      <c r="M14" s="95"/>
      <c r="N14" s="95"/>
      <c r="O14" s="95"/>
      <c r="P14" s="107"/>
      <c r="R14" s="108"/>
      <c r="S14" s="108"/>
      <c r="T14" s="108"/>
    </row>
    <row r="15" spans="2:20">
      <c r="B15" s="8">
        <v>3</v>
      </c>
      <c r="D15" s="35" t="s">
        <v>22</v>
      </c>
      <c r="F15" s="7">
        <f>+'Sch 1.1'!F32</f>
        <v>7.5591022201740132E-2</v>
      </c>
      <c r="G15" s="4"/>
      <c r="H15" s="7">
        <f>+J15-F15</f>
        <v>-3.8046566030365547E-3</v>
      </c>
      <c r="I15" s="4"/>
      <c r="J15" s="7">
        <f>+'Sch 1.1'!J32</f>
        <v>7.1786365598703578E-2</v>
      </c>
      <c r="L15" s="95" t="s">
        <v>130</v>
      </c>
      <c r="M15" s="95"/>
      <c r="N15" s="50">
        <v>51047467</v>
      </c>
      <c r="O15" s="95"/>
      <c r="P15" s="236">
        <f>+N15/N18</f>
        <v>1.2453226352340465E-2</v>
      </c>
      <c r="R15" s="94">
        <v>3.2273369030310452E-2</v>
      </c>
      <c r="S15" s="10"/>
      <c r="T15" s="240">
        <f>+P15*R15</f>
        <v>4.0190756968707075E-4</v>
      </c>
    </row>
    <row r="16" spans="2:20">
      <c r="B16" s="8">
        <v>4</v>
      </c>
      <c r="D16" s="35" t="s">
        <v>27</v>
      </c>
      <c r="F16" s="41">
        <f>+F14*F15</f>
        <v>309857871.53980267</v>
      </c>
      <c r="G16" s="4"/>
      <c r="H16" s="41">
        <f>+J16-F16</f>
        <v>-15595804.404000044</v>
      </c>
      <c r="I16" s="4"/>
      <c r="J16" s="41">
        <f>+J14*J15</f>
        <v>294262067.13580263</v>
      </c>
      <c r="L16" s="95" t="s">
        <v>28</v>
      </c>
      <c r="M16" s="95"/>
      <c r="N16" s="50">
        <v>1882004471</v>
      </c>
      <c r="O16" s="95"/>
      <c r="P16" s="236">
        <f>+N16/N18</f>
        <v>0.45912224544813901</v>
      </c>
      <c r="Q16" s="4"/>
      <c r="R16" s="98">
        <v>4.3838605062617317E-2</v>
      </c>
      <c r="S16" s="39"/>
      <c r="T16" s="40">
        <f>+P16*R16</f>
        <v>2.0127278793663016E-2</v>
      </c>
    </row>
    <row r="17" spans="2:20" ht="14" thickBot="1">
      <c r="B17" s="8"/>
      <c r="D17" s="35"/>
      <c r="F17" s="41"/>
      <c r="G17" s="4"/>
      <c r="H17" s="41"/>
      <c r="I17" s="4"/>
      <c r="J17" s="41"/>
      <c r="L17" s="95" t="s">
        <v>98</v>
      </c>
      <c r="M17" s="95"/>
      <c r="N17" s="50">
        <v>2166083945</v>
      </c>
      <c r="O17" s="95"/>
      <c r="P17" s="236">
        <f>+N17/N18</f>
        <v>0.52842452819952057</v>
      </c>
      <c r="Q17" s="4"/>
      <c r="R17" s="345">
        <v>9.7000000000000003E-2</v>
      </c>
      <c r="S17" s="39"/>
      <c r="T17" s="40">
        <f>+P17*R17</f>
        <v>5.1257179235353494E-2</v>
      </c>
    </row>
    <row r="18" spans="2:20" ht="14" thickBot="1">
      <c r="B18" s="8">
        <v>5</v>
      </c>
      <c r="D18" s="35" t="s">
        <v>58</v>
      </c>
      <c r="F18" s="11">
        <f>+'Sch 1.1'!F49</f>
        <v>225740344</v>
      </c>
      <c r="G18" s="4"/>
      <c r="H18" s="41"/>
      <c r="I18" s="4"/>
      <c r="J18" s="11">
        <f>+F18+H18</f>
        <v>225740344</v>
      </c>
      <c r="L18" s="95" t="s">
        <v>15</v>
      </c>
      <c r="M18" s="95"/>
      <c r="N18" s="251">
        <f>SUM(N15:N17)</f>
        <v>4099135883</v>
      </c>
      <c r="O18" s="95"/>
      <c r="P18" s="100">
        <f>SUM(P15:P17)</f>
        <v>1</v>
      </c>
      <c r="Q18" s="4"/>
      <c r="R18" s="101"/>
      <c r="S18" s="4"/>
      <c r="T18" s="238">
        <f>SUM(T15:T17)</f>
        <v>7.1786365598703578E-2</v>
      </c>
    </row>
    <row r="19" spans="2:20" ht="7" customHeight="1" thickTop="1">
      <c r="B19" s="8"/>
      <c r="D19" s="35"/>
      <c r="F19" s="10"/>
      <c r="H19" s="10"/>
      <c r="J19" s="10"/>
      <c r="L19" s="95"/>
      <c r="M19" s="95"/>
      <c r="N19" s="95"/>
      <c r="O19" s="95"/>
      <c r="P19" s="109"/>
      <c r="Q19" s="4"/>
      <c r="R19" s="4"/>
      <c r="S19" s="4"/>
      <c r="T19" s="109"/>
    </row>
    <row r="20" spans="2:20">
      <c r="B20" s="8">
        <v>6</v>
      </c>
      <c r="D20" s="35" t="s">
        <v>82</v>
      </c>
      <c r="F20" s="41">
        <f>+F16-F18</f>
        <v>84117527.53980267</v>
      </c>
      <c r="H20" s="41"/>
      <c r="J20" s="41">
        <f>+J16-J18</f>
        <v>68521723.135802627</v>
      </c>
    </row>
    <row r="21" spans="2:20">
      <c r="B21" s="8">
        <v>7</v>
      </c>
      <c r="D21" s="64" t="s">
        <v>1</v>
      </c>
      <c r="F21" s="19">
        <f>+'Sch 1.1'!F52</f>
        <v>1.3393561141914665</v>
      </c>
      <c r="G21" s="91"/>
      <c r="H21" s="19"/>
      <c r="I21" s="91"/>
      <c r="J21" s="19">
        <f>+F21</f>
        <v>1.3393561141914665</v>
      </c>
    </row>
    <row r="22" spans="2:20" ht="7" customHeight="1">
      <c r="B22" s="8"/>
      <c r="D22" s="14"/>
      <c r="F22" s="90"/>
      <c r="G22" s="91"/>
      <c r="H22" s="90"/>
      <c r="I22" s="91"/>
      <c r="J22" s="90"/>
    </row>
    <row r="23" spans="2:20" ht="14" thickBot="1">
      <c r="B23" s="8">
        <v>8</v>
      </c>
      <c r="D23" s="54" t="s">
        <v>79</v>
      </c>
      <c r="F23" s="15">
        <f>+F20*F21</f>
        <v>112663324.82110377</v>
      </c>
      <c r="H23" s="15">
        <f>+J23-F23</f>
        <v>-20888335.984231651</v>
      </c>
      <c r="J23" s="15">
        <f>+J20*J21</f>
        <v>91774988.836872116</v>
      </c>
    </row>
    <row r="24" spans="2:20" ht="14" thickTop="1">
      <c r="B24" s="8"/>
      <c r="H24" s="41"/>
      <c r="J24" s="41"/>
    </row>
    <row r="25" spans="2:20" hidden="1">
      <c r="B25" s="8">
        <v>10</v>
      </c>
      <c r="C25" s="8"/>
      <c r="D25" s="344" t="s">
        <v>516</v>
      </c>
      <c r="E25" s="8"/>
      <c r="F25" s="8"/>
      <c r="G25" s="8"/>
      <c r="H25" s="8"/>
      <c r="I25" s="8"/>
      <c r="J25" s="8"/>
    </row>
    <row r="26" spans="2:20" hidden="1">
      <c r="B26" s="8">
        <v>11</v>
      </c>
      <c r="D26" s="35" t="s">
        <v>160</v>
      </c>
      <c r="F26" s="42">
        <f>+F14</f>
        <v>4099135883</v>
      </c>
      <c r="H26" s="42"/>
      <c r="J26" s="42">
        <f>+F26+H26</f>
        <v>4099135883</v>
      </c>
      <c r="L26" s="97" t="s">
        <v>517</v>
      </c>
      <c r="M26" s="95"/>
      <c r="N26" s="95"/>
      <c r="O26" s="95"/>
      <c r="P26" s="107"/>
      <c r="R26" s="108"/>
      <c r="S26" s="108"/>
      <c r="T26" s="108"/>
    </row>
    <row r="27" spans="2:20" hidden="1">
      <c r="B27" s="8">
        <v>12</v>
      </c>
      <c r="D27" s="35" t="s">
        <v>22</v>
      </c>
      <c r="F27" s="7">
        <f>+F15</f>
        <v>7.5591022201740132E-2</v>
      </c>
      <c r="G27" s="4"/>
      <c r="H27" s="7">
        <f>+J27-F27</f>
        <v>-3.2762320748370294E-3</v>
      </c>
      <c r="I27" s="4"/>
      <c r="J27" s="7">
        <f>+T30</f>
        <v>7.2314790126903103E-2</v>
      </c>
      <c r="L27" s="95" t="s">
        <v>130</v>
      </c>
      <c r="M27" s="95"/>
      <c r="N27" s="50">
        <v>51047467</v>
      </c>
      <c r="O27" s="95"/>
      <c r="P27" s="236">
        <f>+N27/N30</f>
        <v>1.2453226352340465E-2</v>
      </c>
      <c r="R27" s="94">
        <v>3.2273369030310452E-2</v>
      </c>
      <c r="S27" s="10"/>
      <c r="T27" s="240">
        <f>+P27*R27</f>
        <v>4.0190756968707075E-4</v>
      </c>
    </row>
    <row r="28" spans="2:20" hidden="1">
      <c r="B28" s="8">
        <v>13</v>
      </c>
      <c r="D28" s="35" t="s">
        <v>27</v>
      </c>
      <c r="F28" s="41">
        <f>+F26*F27</f>
        <v>309857871.53980267</v>
      </c>
      <c r="G28" s="4"/>
      <c r="H28" s="41">
        <f>+J28-F28</f>
        <v>-13429720.459000051</v>
      </c>
      <c r="I28" s="4"/>
      <c r="J28" s="41">
        <f>+J26*J27</f>
        <v>296428151.08080262</v>
      </c>
      <c r="L28" s="95" t="s">
        <v>28</v>
      </c>
      <c r="M28" s="95"/>
      <c r="N28" s="50">
        <v>1882004471</v>
      </c>
      <c r="O28" s="95"/>
      <c r="P28" s="236">
        <f>+N28/N30</f>
        <v>0.45912224544813901</v>
      </c>
      <c r="Q28" s="4"/>
      <c r="R28" s="98">
        <v>4.3838605062617317E-2</v>
      </c>
      <c r="S28" s="39"/>
      <c r="T28" s="40">
        <f>+P28*R28</f>
        <v>2.0127278793663016E-2</v>
      </c>
    </row>
    <row r="29" spans="2:20" ht="14" hidden="1" thickBot="1">
      <c r="B29" s="8"/>
      <c r="D29" s="35"/>
      <c r="F29" s="41"/>
      <c r="G29" s="4"/>
      <c r="H29" s="41"/>
      <c r="I29" s="4"/>
      <c r="J29" s="41"/>
      <c r="L29" s="95" t="s">
        <v>98</v>
      </c>
      <c r="M29" s="95"/>
      <c r="N29" s="50">
        <v>2166083945</v>
      </c>
      <c r="O29" s="95"/>
      <c r="P29" s="236">
        <f>+N29/N30</f>
        <v>0.52842452819952057</v>
      </c>
      <c r="Q29" s="4"/>
      <c r="R29" s="345">
        <v>9.8000000000000004E-2</v>
      </c>
      <c r="S29" s="39"/>
      <c r="T29" s="40">
        <f>+P29*R29</f>
        <v>5.1785603763553019E-2</v>
      </c>
    </row>
    <row r="30" spans="2:20" ht="14" hidden="1" thickBot="1">
      <c r="B30" s="8">
        <v>14</v>
      </c>
      <c r="D30" s="35" t="s">
        <v>58</v>
      </c>
      <c r="F30" s="11">
        <f>+F18</f>
        <v>225740344</v>
      </c>
      <c r="G30" s="4"/>
      <c r="H30" s="41"/>
      <c r="I30" s="4"/>
      <c r="J30" s="11">
        <f>+F30+H30</f>
        <v>225740344</v>
      </c>
      <c r="K30" s="21"/>
      <c r="L30" s="95" t="s">
        <v>15</v>
      </c>
      <c r="M30" s="95"/>
      <c r="N30" s="251">
        <f>SUM(N27:N29)</f>
        <v>4099135883</v>
      </c>
      <c r="O30" s="95"/>
      <c r="P30" s="100">
        <f>SUM(P27:P29)</f>
        <v>1</v>
      </c>
      <c r="Q30" s="4"/>
      <c r="R30" s="101"/>
      <c r="S30" s="4"/>
      <c r="T30" s="238">
        <f>SUM(T27:T29)</f>
        <v>7.2314790126903103E-2</v>
      </c>
    </row>
    <row r="31" spans="2:20" ht="14" hidden="1" thickTop="1">
      <c r="B31" s="8"/>
      <c r="D31" s="35"/>
      <c r="F31" s="10"/>
      <c r="H31" s="10"/>
      <c r="J31" s="10"/>
    </row>
    <row r="32" spans="2:20" hidden="1">
      <c r="B32" s="8">
        <v>15</v>
      </c>
      <c r="D32" s="35" t="s">
        <v>82</v>
      </c>
      <c r="F32" s="41">
        <f>+F28-F30</f>
        <v>84117527.53980267</v>
      </c>
      <c r="H32" s="41"/>
      <c r="J32" s="41">
        <f>+J28-J30</f>
        <v>70687807.080802619</v>
      </c>
    </row>
    <row r="33" spans="2:20" hidden="1">
      <c r="B33" s="8">
        <v>16</v>
      </c>
      <c r="D33" s="64" t="s">
        <v>1</v>
      </c>
      <c r="F33" s="19">
        <f>+F21</f>
        <v>1.3393561141914665</v>
      </c>
      <c r="G33" s="91"/>
      <c r="H33" s="19"/>
      <c r="I33" s="91"/>
      <c r="J33" s="19">
        <f>+F33</f>
        <v>1.3393561141914665</v>
      </c>
    </row>
    <row r="34" spans="2:20" hidden="1">
      <c r="B34" s="8"/>
      <c r="D34" s="14"/>
      <c r="F34" s="90"/>
      <c r="G34" s="91"/>
      <c r="H34" s="90"/>
      <c r="I34" s="91"/>
      <c r="J34" s="90"/>
    </row>
    <row r="35" spans="2:20" ht="14" hidden="1" thickBot="1">
      <c r="B35" s="8">
        <v>17</v>
      </c>
      <c r="D35" s="54" t="s">
        <v>79</v>
      </c>
      <c r="F35" s="15">
        <f>+F32*F33</f>
        <v>112663324.82110377</v>
      </c>
      <c r="H35" s="15">
        <f>+J35-F35</f>
        <v>-17987178.208643943</v>
      </c>
      <c r="J35" s="15">
        <f>+J32*J33</f>
        <v>94676146.612459823</v>
      </c>
    </row>
    <row r="36" spans="2:20" ht="14" hidden="1" thickTop="1">
      <c r="B36" s="8"/>
      <c r="H36" s="41"/>
      <c r="J36" s="41"/>
    </row>
    <row r="37" spans="2:20" hidden="1">
      <c r="B37" s="8">
        <v>18</v>
      </c>
      <c r="C37" s="8"/>
      <c r="D37" s="344" t="s">
        <v>518</v>
      </c>
      <c r="E37" s="8"/>
      <c r="F37" s="8"/>
      <c r="G37" s="8"/>
      <c r="H37" s="8"/>
      <c r="I37" s="8"/>
      <c r="J37" s="8"/>
    </row>
    <row r="38" spans="2:20" hidden="1">
      <c r="B38" s="8">
        <v>19</v>
      </c>
      <c r="D38" s="35" t="s">
        <v>160</v>
      </c>
      <c r="F38" s="42">
        <f>+F26</f>
        <v>4099135883</v>
      </c>
      <c r="H38" s="42"/>
      <c r="J38" s="42">
        <f>+F38+H38</f>
        <v>4099135883</v>
      </c>
      <c r="L38" s="97" t="s">
        <v>517</v>
      </c>
      <c r="M38" s="95"/>
      <c r="N38" s="95"/>
      <c r="O38" s="95"/>
      <c r="P38" s="107"/>
      <c r="R38" s="108"/>
      <c r="S38" s="108"/>
      <c r="T38" s="108"/>
    </row>
    <row r="39" spans="2:20" hidden="1">
      <c r="B39" s="8">
        <v>20</v>
      </c>
      <c r="D39" s="35" t="s">
        <v>22</v>
      </c>
      <c r="F39" s="7">
        <f>+F27</f>
        <v>7.5591022201740132E-2</v>
      </c>
      <c r="G39" s="4"/>
      <c r="H39" s="7">
        <f>+J39-F39</f>
        <v>-4.3330811312360662E-3</v>
      </c>
      <c r="I39" s="4"/>
      <c r="J39" s="7">
        <f>+T42</f>
        <v>7.1257941070504066E-2</v>
      </c>
      <c r="L39" s="95" t="s">
        <v>130</v>
      </c>
      <c r="M39" s="95"/>
      <c r="N39" s="50">
        <v>51047467</v>
      </c>
      <c r="O39" s="95"/>
      <c r="P39" s="236">
        <f>+N39/N42</f>
        <v>1.2453226352340465E-2</v>
      </c>
      <c r="R39" s="94">
        <v>3.2273369030310452E-2</v>
      </c>
      <c r="S39" s="10"/>
      <c r="T39" s="240">
        <f>+P39*R39</f>
        <v>4.0190756968707075E-4</v>
      </c>
    </row>
    <row r="40" spans="2:20" hidden="1">
      <c r="B40" s="8">
        <v>21</v>
      </c>
      <c r="D40" s="35" t="s">
        <v>27</v>
      </c>
      <c r="F40" s="41">
        <f>+F38*F39</f>
        <v>309857871.53980267</v>
      </c>
      <c r="G40" s="4"/>
      <c r="H40" s="41">
        <f>+J40-F40</f>
        <v>-17761888.349000037</v>
      </c>
      <c r="I40" s="4"/>
      <c r="J40" s="41">
        <f>+J38*J39</f>
        <v>292095983.19080263</v>
      </c>
      <c r="L40" s="95" t="s">
        <v>28</v>
      </c>
      <c r="M40" s="95"/>
      <c r="N40" s="50">
        <v>1882004471</v>
      </c>
      <c r="O40" s="95"/>
      <c r="P40" s="236">
        <f>+N40/N42</f>
        <v>0.45912224544813901</v>
      </c>
      <c r="Q40" s="4"/>
      <c r="R40" s="98">
        <v>4.3838605062617317E-2</v>
      </c>
      <c r="S40" s="39"/>
      <c r="T40" s="40">
        <f>+P40*R40</f>
        <v>2.0127278793663016E-2</v>
      </c>
    </row>
    <row r="41" spans="2:20" ht="14" hidden="1" thickBot="1">
      <c r="B41" s="8"/>
      <c r="D41" s="35"/>
      <c r="F41" s="41"/>
      <c r="G41" s="4"/>
      <c r="H41" s="41"/>
      <c r="I41" s="4"/>
      <c r="J41" s="41"/>
      <c r="L41" s="95" t="s">
        <v>98</v>
      </c>
      <c r="M41" s="95"/>
      <c r="N41" s="50">
        <v>2166083945</v>
      </c>
      <c r="O41" s="95"/>
      <c r="P41" s="236">
        <f>+N41/N42</f>
        <v>0.52842452819952057</v>
      </c>
      <c r="Q41" s="4"/>
      <c r="R41" s="345">
        <v>9.6000000000000002E-2</v>
      </c>
      <c r="S41" s="39"/>
      <c r="T41" s="40">
        <f>+P41*R41</f>
        <v>5.0728754707153975E-2</v>
      </c>
    </row>
    <row r="42" spans="2:20" ht="14" hidden="1" thickBot="1">
      <c r="B42" s="8">
        <v>22</v>
      </c>
      <c r="D42" s="35" t="s">
        <v>58</v>
      </c>
      <c r="F42" s="11">
        <f>+F30</f>
        <v>225740344</v>
      </c>
      <c r="G42" s="4"/>
      <c r="H42" s="41"/>
      <c r="I42" s="4"/>
      <c r="J42" s="11">
        <f>+F42+H42</f>
        <v>225740344</v>
      </c>
      <c r="K42" s="21"/>
      <c r="L42" s="95" t="s">
        <v>15</v>
      </c>
      <c r="M42" s="95"/>
      <c r="N42" s="251">
        <f>SUM(N39:N41)</f>
        <v>4099135883</v>
      </c>
      <c r="O42" s="95"/>
      <c r="P42" s="100">
        <f>SUM(P39:P41)</f>
        <v>1</v>
      </c>
      <c r="Q42" s="4"/>
      <c r="R42" s="101"/>
      <c r="S42" s="4"/>
      <c r="T42" s="238">
        <f>SUM(T39:T41)</f>
        <v>7.1257941070504066E-2</v>
      </c>
    </row>
    <row r="43" spans="2:20" ht="14" hidden="1" thickTop="1">
      <c r="B43" s="8"/>
      <c r="D43" s="35"/>
      <c r="F43" s="10"/>
      <c r="H43" s="10"/>
      <c r="J43" s="10"/>
    </row>
    <row r="44" spans="2:20" hidden="1">
      <c r="B44" s="8">
        <v>23</v>
      </c>
      <c r="D44" s="35" t="s">
        <v>82</v>
      </c>
      <c r="F44" s="41">
        <f>+F40-F42</f>
        <v>84117527.53980267</v>
      </c>
      <c r="H44" s="41"/>
      <c r="J44" s="41">
        <f>+J40-J42</f>
        <v>66355639.190802634</v>
      </c>
    </row>
    <row r="45" spans="2:20" hidden="1">
      <c r="B45" s="8">
        <v>24</v>
      </c>
      <c r="D45" s="64" t="s">
        <v>1</v>
      </c>
      <c r="F45" s="19">
        <f>+F33</f>
        <v>1.3393561141914665</v>
      </c>
      <c r="G45" s="91"/>
      <c r="H45" s="19"/>
      <c r="I45" s="91"/>
      <c r="J45" s="19">
        <f>+F45</f>
        <v>1.3393561141914665</v>
      </c>
    </row>
    <row r="46" spans="2:20" hidden="1">
      <c r="B46" s="8"/>
      <c r="D46" s="14"/>
      <c r="F46" s="90"/>
      <c r="G46" s="91"/>
      <c r="H46" s="90"/>
      <c r="I46" s="91"/>
      <c r="J46" s="90"/>
    </row>
    <row r="47" spans="2:20" ht="14" hidden="1" thickBot="1">
      <c r="B47" s="8">
        <v>25</v>
      </c>
      <c r="D47" s="54" t="s">
        <v>79</v>
      </c>
      <c r="F47" s="15">
        <f>+F44*F45</f>
        <v>112663324.82110377</v>
      </c>
      <c r="H47" s="15">
        <f>+J47-F47</f>
        <v>-23789493.759819359</v>
      </c>
      <c r="J47" s="15">
        <f>+J44*J45</f>
        <v>88873831.061284408</v>
      </c>
    </row>
    <row r="48" spans="2:20" ht="14" hidden="1" thickTop="1">
      <c r="B48" s="8"/>
      <c r="H48" s="41"/>
      <c r="J48" s="41"/>
    </row>
    <row r="49" spans="2:20">
      <c r="B49" s="346"/>
      <c r="C49" s="4"/>
      <c r="D49" s="29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>
      <c r="B50" s="110" t="s">
        <v>74</v>
      </c>
      <c r="C50" s="70"/>
      <c r="D50" s="70"/>
      <c r="E50" s="70"/>
      <c r="F50" s="117"/>
      <c r="G50" s="70"/>
      <c r="H50" s="118"/>
      <c r="I50" s="70"/>
      <c r="J50" s="117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2:20" ht="15">
      <c r="B51" s="74" t="s">
        <v>84</v>
      </c>
      <c r="C51" s="115"/>
      <c r="E51" s="119"/>
    </row>
    <row r="52" spans="2:20" ht="15">
      <c r="B52" s="74"/>
      <c r="C52" s="115"/>
      <c r="E52" s="120"/>
    </row>
    <row r="53" spans="2:20">
      <c r="B53" s="8"/>
    </row>
    <row r="54" spans="2:20">
      <c r="B54" s="8"/>
    </row>
    <row r="55" spans="2:20">
      <c r="B55" s="8"/>
      <c r="D55" s="244" t="s">
        <v>76</v>
      </c>
      <c r="E55" s="291"/>
      <c r="F55" s="246">
        <f>+'Sch 1.1'!F53</f>
        <v>112663324.82110377</v>
      </c>
    </row>
    <row r="56" spans="2:20">
      <c r="B56" s="8"/>
      <c r="F56" s="246">
        <f>+F23-F55</f>
        <v>0</v>
      </c>
    </row>
    <row r="57" spans="2:20">
      <c r="B57" s="8"/>
    </row>
    <row r="58" spans="2:20">
      <c r="B58" s="8"/>
    </row>
    <row r="59" spans="2:20">
      <c r="B59" s="8"/>
    </row>
    <row r="60" spans="2:20">
      <c r="B60" s="8"/>
    </row>
    <row r="61" spans="2:20">
      <c r="B61" s="8"/>
    </row>
    <row r="62" spans="2:20">
      <c r="B62" s="8"/>
    </row>
    <row r="63" spans="2:20">
      <c r="B63" s="8"/>
    </row>
    <row r="64" spans="2:20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</sheetData>
  <mergeCells count="1">
    <mergeCell ref="B1:T1"/>
  </mergeCells>
  <phoneticPr fontId="4" type="noConversion"/>
  <printOptions horizontalCentered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F207"/>
  <sheetViews>
    <sheetView topLeftCell="C1" zoomScale="91" zoomScaleNormal="91" zoomScaleSheetLayoutView="33" zoomScalePageLayoutView="124" workbookViewId="0">
      <selection activeCell="N24" sqref="N24"/>
    </sheetView>
  </sheetViews>
  <sheetFormatPr baseColWidth="10" defaultColWidth="8.83203125" defaultRowHeight="13"/>
  <cols>
    <col min="1" max="1" width="2.83203125" style="33" customWidth="1"/>
    <col min="2" max="2" width="5.6640625" style="33" customWidth="1"/>
    <col min="3" max="3" width="1.33203125" style="33" customWidth="1"/>
    <col min="4" max="4" width="32.83203125" style="33" customWidth="1"/>
    <col min="5" max="5" width="1.33203125" style="33" customWidth="1"/>
    <col min="6" max="6" width="14.5" style="33" customWidth="1"/>
    <col min="7" max="7" width="1.33203125" style="33" customWidth="1"/>
    <col min="8" max="8" width="12.5" style="33" customWidth="1"/>
    <col min="9" max="9" width="1.33203125" style="33" customWidth="1"/>
    <col min="10" max="10" width="12.5" style="33" customWidth="1"/>
    <col min="11" max="11" width="1.33203125" style="33" customWidth="1"/>
    <col min="12" max="12" width="12.5" style="33" customWidth="1"/>
    <col min="13" max="13" width="1.33203125" style="33" customWidth="1"/>
    <col min="14" max="14" width="12.5" style="33" customWidth="1"/>
    <col min="15" max="15" width="1.33203125" style="33" customWidth="1"/>
    <col min="16" max="16" width="12.5" style="33" customWidth="1"/>
    <col min="17" max="17" width="1.33203125" style="33" customWidth="1"/>
    <col min="18" max="18" width="12.5" style="33" customWidth="1"/>
    <col min="19" max="19" width="1.33203125" style="33" customWidth="1"/>
    <col min="20" max="20" width="12.5" style="33" customWidth="1"/>
    <col min="21" max="21" width="1.33203125" style="33" customWidth="1"/>
    <col min="22" max="22" width="12.5" style="33" customWidth="1"/>
    <col min="23" max="23" width="1.33203125" style="33" customWidth="1"/>
    <col min="24" max="24" width="12.5" style="33" customWidth="1"/>
    <col min="25" max="25" width="1.33203125" style="33" customWidth="1"/>
    <col min="26" max="26" width="14.5" style="33" customWidth="1"/>
    <col min="27" max="28" width="2.83203125" style="33" customWidth="1"/>
    <col min="29" max="29" width="8.83203125" style="33" customWidth="1"/>
    <col min="30" max="30" width="1.33203125" style="33" customWidth="1"/>
    <col min="31" max="31" width="31.33203125" style="33" customWidth="1"/>
    <col min="32" max="32" width="1.33203125" style="33" customWidth="1"/>
    <col min="33" max="33" width="13" style="33" bestFit="1" customWidth="1"/>
    <col min="34" max="34" width="1.33203125" style="33" customWidth="1"/>
    <col min="35" max="35" width="12.83203125" style="33" bestFit="1" customWidth="1"/>
    <col min="36" max="36" width="1.33203125" style="33" customWidth="1"/>
    <col min="37" max="37" width="13.5" style="33" customWidth="1"/>
    <col min="38" max="38" width="1.33203125" style="33" customWidth="1"/>
    <col min="39" max="39" width="13.5" style="33" customWidth="1"/>
    <col min="40" max="40" width="1.33203125" style="33" customWidth="1"/>
    <col min="41" max="41" width="13.6640625" style="33" customWidth="1"/>
    <col min="42" max="42" width="1.33203125" style="33" customWidth="1"/>
    <col min="43" max="43" width="12.83203125" style="33" customWidth="1"/>
    <col min="44" max="44" width="1.33203125" style="33" customWidth="1"/>
    <col min="45" max="45" width="12.83203125" style="33" customWidth="1"/>
    <col min="46" max="46" width="1.33203125" style="33" customWidth="1"/>
    <col min="47" max="47" width="12.83203125" style="33" customWidth="1"/>
    <col min="48" max="48" width="1.33203125" style="33" customWidth="1"/>
    <col min="49" max="49" width="14.5" style="33" customWidth="1"/>
    <col min="50" max="50" width="1.33203125" style="33" customWidth="1"/>
    <col min="51" max="51" width="15.1640625" style="33" customWidth="1"/>
    <col min="52" max="52" width="2.83203125" style="33" customWidth="1"/>
    <col min="53" max="53" width="10.1640625" style="33" bestFit="1" customWidth="1"/>
    <col min="54" max="54" width="1.33203125" style="33" customWidth="1"/>
    <col min="55" max="55" width="9.83203125" style="33" bestFit="1" customWidth="1"/>
    <col min="56" max="56" width="8.83203125" style="33"/>
    <col min="57" max="57" width="11.1640625" style="33" bestFit="1" customWidth="1"/>
    <col min="58" max="58" width="11.83203125" style="33" customWidth="1"/>
    <col min="59" max="16384" width="8.83203125" style="33"/>
  </cols>
  <sheetData>
    <row r="1" spans="1:58" ht="20">
      <c r="A1" s="60"/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B1" s="60"/>
      <c r="AC1" s="439" t="str">
        <f>+B1</f>
        <v>-</v>
      </c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</row>
    <row r="2" spans="1:58" ht="16">
      <c r="B2" s="15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58">
      <c r="B3" s="12" t="str">
        <f>+'Sch 1'!B3</f>
        <v>Kentucky Public Service Commission</v>
      </c>
      <c r="Z3" s="36" t="str">
        <f>+'Sch 1.1'!J3</f>
        <v>Case No. 2018-00294</v>
      </c>
      <c r="AC3" s="12" t="str">
        <f>+B3</f>
        <v>Kentucky Public Service Commission</v>
      </c>
      <c r="AY3" s="36" t="str">
        <f>+Z3</f>
        <v>Case No. 2018-00294</v>
      </c>
    </row>
    <row r="4" spans="1:58">
      <c r="B4" s="61"/>
      <c r="Z4" s="36" t="s">
        <v>181</v>
      </c>
      <c r="AC4" s="61"/>
      <c r="AY4" s="36" t="str">
        <f>+Z4</f>
        <v>KU Schedule 3</v>
      </c>
    </row>
    <row r="5" spans="1:58">
      <c r="B5" s="86" t="str">
        <f>+'Sch 1.1'!B5</f>
        <v>Kentucky Utilities Company</v>
      </c>
      <c r="Z5" s="183" t="s">
        <v>4</v>
      </c>
      <c r="AC5" s="86" t="str">
        <f>+B5</f>
        <v>Kentucky Utilities Company</v>
      </c>
      <c r="AY5" s="36" t="s">
        <v>5</v>
      </c>
    </row>
    <row r="6" spans="1:58">
      <c r="B6" s="27" t="str">
        <f>+'Sch 1.1'!B6</f>
        <v>Base Period ending December 31, 2018; Fully Forecasted Test Period ending April 30, 2020</v>
      </c>
      <c r="AC6" s="27" t="str">
        <f>+B6</f>
        <v>Base Period ending December 31, 2018; Fully Forecasted Test Period ending April 30, 2020</v>
      </c>
    </row>
    <row r="7" spans="1:58">
      <c r="B7" s="45" t="s">
        <v>71</v>
      </c>
      <c r="AC7" s="45" t="str">
        <f>+B7</f>
        <v>Ratemaking Adjustments</v>
      </c>
      <c r="AG7" s="112"/>
    </row>
    <row r="9" spans="1:58">
      <c r="F9" s="72"/>
      <c r="AC9" s="33" t="s">
        <v>16</v>
      </c>
    </row>
    <row r="10" spans="1:58">
      <c r="B10" s="13"/>
      <c r="C10" s="13"/>
      <c r="E10" s="13"/>
      <c r="F10" s="13" t="s">
        <v>19</v>
      </c>
      <c r="G10" s="13"/>
      <c r="H10" s="13"/>
      <c r="I10" s="13"/>
      <c r="J10" s="182"/>
      <c r="K10" s="13"/>
      <c r="L10" s="182"/>
      <c r="M10" s="13"/>
      <c r="N10" s="182"/>
      <c r="O10" s="13"/>
      <c r="P10" s="182"/>
      <c r="Q10" s="13"/>
      <c r="R10" s="294"/>
      <c r="S10" s="294"/>
      <c r="T10" s="182"/>
      <c r="U10" s="197"/>
      <c r="V10" s="197"/>
      <c r="W10" s="13"/>
      <c r="X10" s="182"/>
      <c r="Y10" s="13"/>
      <c r="Z10" s="13" t="s">
        <v>20</v>
      </c>
      <c r="AC10" s="13"/>
      <c r="AD10" s="13"/>
      <c r="AF10" s="13"/>
      <c r="AG10" s="13" t="s">
        <v>48</v>
      </c>
      <c r="AH10" s="13"/>
      <c r="AI10" s="182"/>
      <c r="AJ10" s="13"/>
      <c r="AK10" s="182"/>
      <c r="AL10" s="13"/>
      <c r="AM10" s="182"/>
      <c r="AN10" s="13"/>
      <c r="AO10" s="182"/>
      <c r="AP10" s="13"/>
      <c r="AQ10" s="294"/>
      <c r="AR10" s="294"/>
      <c r="AS10" s="182"/>
      <c r="AT10" s="13"/>
      <c r="AU10" s="13"/>
      <c r="AV10" s="13"/>
      <c r="AW10" s="13" t="s">
        <v>20</v>
      </c>
      <c r="AX10" s="13"/>
      <c r="AY10" s="13" t="s">
        <v>70</v>
      </c>
    </row>
    <row r="11" spans="1:58" ht="14" thickBot="1">
      <c r="B11" s="46" t="s">
        <v>18</v>
      </c>
      <c r="C11" s="13"/>
      <c r="D11" s="46" t="s">
        <v>17</v>
      </c>
      <c r="E11" s="13"/>
      <c r="F11" s="177" t="str">
        <f>+'Sch 1.1'!F11</f>
        <v>Company</v>
      </c>
      <c r="G11" s="13"/>
      <c r="H11" s="46" t="s">
        <v>39</v>
      </c>
      <c r="I11" s="13"/>
      <c r="J11" s="46" t="s">
        <v>42</v>
      </c>
      <c r="K11" s="13"/>
      <c r="L11" s="46" t="s">
        <v>43</v>
      </c>
      <c r="M11" s="13"/>
      <c r="N11" s="46" t="s">
        <v>44</v>
      </c>
      <c r="O11" s="13"/>
      <c r="P11" s="226" t="s">
        <v>46</v>
      </c>
      <c r="Q11" s="227"/>
      <c r="R11" s="292" t="s">
        <v>47</v>
      </c>
      <c r="S11" s="294"/>
      <c r="T11" s="226" t="s">
        <v>50</v>
      </c>
      <c r="U11" s="227"/>
      <c r="V11" s="226" t="s">
        <v>51</v>
      </c>
      <c r="W11" s="227"/>
      <c r="X11" s="226" t="s">
        <v>52</v>
      </c>
      <c r="Y11" s="13"/>
      <c r="Z11" s="46" t="s">
        <v>57</v>
      </c>
      <c r="AC11" s="46" t="s">
        <v>18</v>
      </c>
      <c r="AD11" s="13"/>
      <c r="AE11" s="46" t="s">
        <v>17</v>
      </c>
      <c r="AF11" s="13"/>
      <c r="AG11" s="46" t="s">
        <v>49</v>
      </c>
      <c r="AH11" s="13"/>
      <c r="AI11" s="46" t="s">
        <v>53</v>
      </c>
      <c r="AJ11" s="13"/>
      <c r="AK11" s="226" t="s">
        <v>54</v>
      </c>
      <c r="AL11" s="227"/>
      <c r="AM11" s="226" t="s">
        <v>55</v>
      </c>
      <c r="AN11" s="227"/>
      <c r="AO11" s="226" t="s">
        <v>56</v>
      </c>
      <c r="AP11" s="13"/>
      <c r="AQ11" s="292" t="s">
        <v>324</v>
      </c>
      <c r="AR11" s="294"/>
      <c r="AS11" s="156" t="s">
        <v>327</v>
      </c>
      <c r="AT11" s="13"/>
      <c r="AU11" s="46" t="s">
        <v>332</v>
      </c>
      <c r="AV11" s="13"/>
      <c r="AW11" s="46" t="s">
        <v>57</v>
      </c>
      <c r="AX11" s="13"/>
      <c r="AY11" s="46" t="s">
        <v>35</v>
      </c>
    </row>
    <row r="12" spans="1:58">
      <c r="B12" s="13"/>
      <c r="C12" s="13"/>
      <c r="F12" s="13" t="s">
        <v>9</v>
      </c>
      <c r="G12" s="13"/>
      <c r="H12" s="13" t="s">
        <v>10</v>
      </c>
      <c r="I12" s="13"/>
      <c r="J12" s="13" t="s">
        <v>11</v>
      </c>
      <c r="K12" s="13"/>
      <c r="L12" s="13" t="s">
        <v>12</v>
      </c>
      <c r="M12" s="13"/>
      <c r="N12" s="13" t="s">
        <v>13</v>
      </c>
      <c r="O12" s="13"/>
      <c r="P12" s="294" t="s">
        <v>14</v>
      </c>
      <c r="Q12" s="294"/>
      <c r="R12" s="294" t="s">
        <v>68</v>
      </c>
      <c r="S12" s="294"/>
      <c r="T12" s="294" t="s">
        <v>69</v>
      </c>
      <c r="U12" s="197"/>
      <c r="V12" s="197" t="s">
        <v>72</v>
      </c>
      <c r="W12" s="13"/>
      <c r="X12" s="13" t="s">
        <v>73</v>
      </c>
      <c r="Y12" s="13"/>
      <c r="Z12" s="13" t="s">
        <v>555</v>
      </c>
      <c r="AC12" s="13"/>
      <c r="AD12" s="13"/>
      <c r="AE12" s="13" t="s">
        <v>9</v>
      </c>
      <c r="AF12" s="13"/>
      <c r="AG12" s="13" t="s">
        <v>10</v>
      </c>
      <c r="AH12" s="13"/>
      <c r="AI12" s="13" t="s">
        <v>11</v>
      </c>
      <c r="AJ12" s="13"/>
      <c r="AK12" s="13" t="s">
        <v>12</v>
      </c>
      <c r="AL12" s="13"/>
      <c r="AM12" s="13" t="s">
        <v>13</v>
      </c>
      <c r="AN12" s="13"/>
      <c r="AO12" s="13" t="s">
        <v>14</v>
      </c>
      <c r="AP12" s="13"/>
      <c r="AQ12" s="294" t="s">
        <v>68</v>
      </c>
      <c r="AR12" s="294"/>
      <c r="AS12" s="155" t="s">
        <v>69</v>
      </c>
      <c r="AT12" s="13"/>
      <c r="AU12" s="13" t="s">
        <v>72</v>
      </c>
      <c r="AV12" s="13"/>
      <c r="AW12" s="13" t="s">
        <v>73</v>
      </c>
      <c r="AX12" s="13"/>
      <c r="AY12" s="13" t="s">
        <v>555</v>
      </c>
    </row>
    <row r="13" spans="1:58" s="336" customFormat="1" ht="26">
      <c r="B13" s="337"/>
      <c r="C13" s="337"/>
      <c r="D13" s="338" t="s">
        <v>45</v>
      </c>
      <c r="E13" s="337"/>
      <c r="F13" s="337"/>
      <c r="G13" s="337"/>
      <c r="H13" s="339" t="str">
        <f>+'3.1 Slippage'!J4</f>
        <v>KU Schedule 3.1</v>
      </c>
      <c r="I13" s="339"/>
      <c r="J13" s="339" t="str">
        <f>+'3.4 PHFU'!J4</f>
        <v>KU Schedule 3.4</v>
      </c>
      <c r="K13" s="339"/>
      <c r="L13" s="339" t="str">
        <f>+'3.5 CWC'!P4</f>
        <v>KU Schedule 3.5</v>
      </c>
      <c r="M13" s="340"/>
      <c r="N13" s="339" t="str">
        <f>+'3.6 Late Pymt'!J4</f>
        <v>KU Schedule 3.6</v>
      </c>
      <c r="O13" s="340"/>
      <c r="P13" s="341" t="str">
        <f>+'3.7 401k'!J4</f>
        <v>KU Schedule 3.7</v>
      </c>
      <c r="Q13" s="340"/>
      <c r="R13" s="339" t="str">
        <f>+'3.8 D&amp;O'!J4</f>
        <v>KU Schedule 3.8</v>
      </c>
      <c r="S13" s="340"/>
      <c r="T13" s="339" t="str">
        <f>+'3.9 Dues'!J4</f>
        <v>KU Schedule 3.9</v>
      </c>
      <c r="U13" s="340"/>
      <c r="V13" s="339" t="str">
        <f>+'3.10 Legal'!J4</f>
        <v>KU Schedule 3.10</v>
      </c>
      <c r="W13" s="340"/>
      <c r="X13" s="339" t="str">
        <f>+'3.11 Rebate'!J4</f>
        <v>KU Schedule 3.11</v>
      </c>
      <c r="Y13" s="340"/>
      <c r="Z13" s="342"/>
      <c r="AC13" s="337"/>
      <c r="AD13" s="337"/>
      <c r="AE13" s="338" t="s">
        <v>45</v>
      </c>
      <c r="AF13" s="337"/>
      <c r="AG13" s="337"/>
      <c r="AH13" s="337"/>
      <c r="AI13" s="339" t="str">
        <f>+'3.12 Econ Dev'!J4</f>
        <v>KU Schedule 3.12</v>
      </c>
      <c r="AJ13" s="339"/>
      <c r="AK13" s="339" t="str">
        <f>+'3.13 Ed'!J4</f>
        <v>KU Schedule 3.13</v>
      </c>
      <c r="AL13" s="339"/>
      <c r="AM13" s="339" t="str">
        <f>+'3.14 ECR Credit'!J4</f>
        <v>KU Schedule 3.14</v>
      </c>
      <c r="AN13" s="339"/>
      <c r="AO13" s="339" t="str">
        <f>+'3.15 MMD'!J4</f>
        <v>KU Schedule 3.15</v>
      </c>
      <c r="AP13" s="339"/>
      <c r="AQ13" s="339" t="str">
        <f>+'3.16 Storm'!J4</f>
        <v>KU Schedule 3.16</v>
      </c>
      <c r="AR13" s="339"/>
      <c r="AS13" s="339" t="str">
        <f>+'3.17  EDIT'!J4</f>
        <v>KU Schedule 3.17</v>
      </c>
      <c r="AT13" s="339"/>
      <c r="AU13" s="339" t="str">
        <f>+'3.18-Int Sychn'!J4</f>
        <v>KU Schedule 3.18</v>
      </c>
      <c r="AV13" s="339"/>
      <c r="AX13" s="337"/>
      <c r="AY13" s="337"/>
    </row>
    <row r="14" spans="1:58">
      <c r="B14" s="13"/>
      <c r="C14" s="13"/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294"/>
      <c r="S14" s="294"/>
      <c r="T14" s="13"/>
      <c r="U14" s="197"/>
      <c r="V14" s="197"/>
      <c r="W14" s="13"/>
      <c r="X14" s="13"/>
      <c r="Y14" s="13"/>
      <c r="Z14" s="13"/>
      <c r="AC14" s="182"/>
      <c r="AD14" s="182"/>
      <c r="AE14" s="182"/>
      <c r="AF14" s="13"/>
      <c r="AG14" s="13"/>
      <c r="AH14" s="13"/>
      <c r="AI14" s="13"/>
      <c r="AJ14" s="13"/>
      <c r="AL14" s="13"/>
      <c r="AN14" s="13"/>
      <c r="AP14" s="13"/>
      <c r="AQ14" s="294"/>
      <c r="AR14" s="294"/>
      <c r="AS14" s="155"/>
      <c r="AT14" s="13"/>
      <c r="AU14" s="13"/>
      <c r="AV14" s="13"/>
      <c r="AX14" s="13"/>
      <c r="AY14" s="13"/>
    </row>
    <row r="15" spans="1:58">
      <c r="B15" s="8">
        <v>1</v>
      </c>
      <c r="D15" s="38" t="s">
        <v>21</v>
      </c>
      <c r="F15" s="42"/>
      <c r="J15" s="41"/>
      <c r="L15" s="41"/>
      <c r="N15" s="41"/>
      <c r="P15" s="41"/>
      <c r="R15" s="41"/>
      <c r="T15" s="41"/>
      <c r="V15" s="41"/>
      <c r="X15" s="41"/>
      <c r="Z15" s="41"/>
      <c r="AC15" s="8">
        <v>1</v>
      </c>
      <c r="AE15" s="38" t="s">
        <v>21</v>
      </c>
      <c r="AG15" s="42"/>
      <c r="AI15" s="41"/>
      <c r="AQ15" s="41"/>
      <c r="AS15" s="41"/>
      <c r="AU15" s="41"/>
      <c r="AY15" s="41"/>
    </row>
    <row r="16" spans="1:58">
      <c r="B16" s="8">
        <v>2</v>
      </c>
      <c r="D16" s="65" t="s">
        <v>59</v>
      </c>
      <c r="F16" s="42">
        <f>+'Sch 1.1'!F14</f>
        <v>7719113381</v>
      </c>
      <c r="H16" s="42">
        <f>+'3.1 Slippage'!H13</f>
        <v>-21624620</v>
      </c>
      <c r="J16" s="42"/>
      <c r="L16" s="42"/>
      <c r="N16" s="42"/>
      <c r="P16" s="42"/>
      <c r="R16" s="42"/>
      <c r="T16" s="42"/>
      <c r="V16" s="42"/>
      <c r="X16" s="42"/>
      <c r="Z16" s="42">
        <f>SUM(H16:Y16)</f>
        <v>-21624620</v>
      </c>
      <c r="AC16" s="8">
        <v>2</v>
      </c>
      <c r="AE16" s="65" t="s">
        <v>59</v>
      </c>
      <c r="AG16" s="42">
        <f>+Z16</f>
        <v>-21624620</v>
      </c>
      <c r="AI16" s="42"/>
      <c r="AK16" s="42"/>
      <c r="AM16" s="42"/>
      <c r="AO16" s="42"/>
      <c r="AQ16" s="42"/>
      <c r="AS16" s="42"/>
      <c r="AU16" s="42"/>
      <c r="AW16" s="42">
        <f>SUM(AG16:AV16)</f>
        <v>-21624620</v>
      </c>
      <c r="AY16" s="42">
        <f>+F16+AW16</f>
        <v>7697488761</v>
      </c>
      <c r="BF16" s="9"/>
    </row>
    <row r="17" spans="2:58">
      <c r="B17" s="8">
        <v>3</v>
      </c>
      <c r="D17" s="65" t="s">
        <v>132</v>
      </c>
      <c r="F17" s="10">
        <f>+'Sch 1.1'!F15</f>
        <v>1561634</v>
      </c>
      <c r="H17" s="10"/>
      <c r="J17" s="10">
        <f>+'3.4 PHFU'!H13</f>
        <v>-240853</v>
      </c>
      <c r="L17" s="10"/>
      <c r="N17" s="10"/>
      <c r="P17" s="10"/>
      <c r="R17" s="10"/>
      <c r="T17" s="10"/>
      <c r="V17" s="10"/>
      <c r="X17" s="10"/>
      <c r="Z17" s="10">
        <f>SUM(H17:Y17)</f>
        <v>-240853</v>
      </c>
      <c r="AC17" s="8">
        <v>3</v>
      </c>
      <c r="AE17" s="65" t="s">
        <v>132</v>
      </c>
      <c r="AG17" s="10">
        <f t="shared" ref="AG17:AG27" si="0">+Z17</f>
        <v>-240853</v>
      </c>
      <c r="AI17" s="10"/>
      <c r="AK17" s="10"/>
      <c r="AM17" s="10"/>
      <c r="AO17" s="10"/>
      <c r="AQ17" s="10"/>
      <c r="AS17" s="10"/>
      <c r="AU17" s="10"/>
      <c r="AW17" s="10">
        <f>SUM(AG17:AV17)</f>
        <v>-240853</v>
      </c>
      <c r="AY17" s="10">
        <f>+F17+AW17</f>
        <v>1320781</v>
      </c>
      <c r="BF17" s="9"/>
    </row>
    <row r="18" spans="2:58">
      <c r="B18" s="8">
        <v>4</v>
      </c>
      <c r="D18" s="64" t="s">
        <v>108</v>
      </c>
      <c r="F18" s="6">
        <f>+'Sch 1.1'!F16</f>
        <v>-2974075465</v>
      </c>
      <c r="H18" s="6"/>
      <c r="J18" s="6"/>
      <c r="L18" s="6"/>
      <c r="N18" s="6"/>
      <c r="O18" s="10"/>
      <c r="P18" s="6"/>
      <c r="R18" s="6"/>
      <c r="T18" s="6"/>
      <c r="V18" s="6"/>
      <c r="W18" s="10"/>
      <c r="X18" s="6"/>
      <c r="Z18" s="6">
        <f>SUM(H18:Y18)</f>
        <v>0</v>
      </c>
      <c r="AC18" s="8">
        <v>4</v>
      </c>
      <c r="AE18" s="64" t="s">
        <v>108</v>
      </c>
      <c r="AG18" s="6">
        <f t="shared" si="0"/>
        <v>0</v>
      </c>
      <c r="AI18" s="6"/>
      <c r="AK18" s="6"/>
      <c r="AM18" s="6"/>
      <c r="AO18" s="6"/>
      <c r="AQ18" s="6"/>
      <c r="AS18" s="6"/>
      <c r="AU18" s="6"/>
      <c r="AW18" s="6">
        <f>SUM(AG18:AV18)</f>
        <v>0</v>
      </c>
      <c r="AY18" s="6">
        <f>+F18+AW18</f>
        <v>-2974075465</v>
      </c>
      <c r="BF18" s="9"/>
    </row>
    <row r="19" spans="2:58">
      <c r="B19" s="8">
        <v>5</v>
      </c>
      <c r="D19" s="68" t="s">
        <v>78</v>
      </c>
      <c r="F19" s="10">
        <f>+F16+F17+F18</f>
        <v>4746599550</v>
      </c>
      <c r="H19" s="10">
        <f>+H16+H17+H18</f>
        <v>-21624620</v>
      </c>
      <c r="J19" s="10">
        <f>+J16+J17+J18</f>
        <v>-240853</v>
      </c>
      <c r="L19" s="10">
        <f>+L16+L17+L18</f>
        <v>0</v>
      </c>
      <c r="N19" s="10">
        <f>+N16+N17+N18</f>
        <v>0</v>
      </c>
      <c r="P19" s="10">
        <f>+P16+P17+P18</f>
        <v>0</v>
      </c>
      <c r="R19" s="10">
        <f>+R16+R17+R18</f>
        <v>0</v>
      </c>
      <c r="T19" s="10">
        <f>+T16+T17+T18</f>
        <v>0</v>
      </c>
      <c r="V19" s="10">
        <f>+V16+V17+V18</f>
        <v>0</v>
      </c>
      <c r="X19" s="10">
        <f>+X16+X17+X18</f>
        <v>0</v>
      </c>
      <c r="Z19" s="10">
        <f>+Z16+Z17+Z18</f>
        <v>-21865473</v>
      </c>
      <c r="AC19" s="8">
        <v>5</v>
      </c>
      <c r="AE19" s="68" t="s">
        <v>78</v>
      </c>
      <c r="AG19" s="10">
        <f>+AG16+AG17+AG18</f>
        <v>-21865473</v>
      </c>
      <c r="AI19" s="10">
        <f>+AI16+AI17+AI18</f>
        <v>0</v>
      </c>
      <c r="AK19" s="10">
        <f>+AK16+AK17+AK18</f>
        <v>0</v>
      </c>
      <c r="AM19" s="10">
        <f>+AM16+AM17+AM18</f>
        <v>0</v>
      </c>
      <c r="AO19" s="10">
        <f>+AO16+AO17+AO18</f>
        <v>0</v>
      </c>
      <c r="AQ19" s="10">
        <f>+AQ16+AQ17+AQ18</f>
        <v>0</v>
      </c>
      <c r="AS19" s="10">
        <f>+AS16+AS17+AS18</f>
        <v>0</v>
      </c>
      <c r="AU19" s="10">
        <f>+AU16+AU17+AU18</f>
        <v>0</v>
      </c>
      <c r="AW19" s="10">
        <f>+AW16+AW17+AW18</f>
        <v>-21865473</v>
      </c>
      <c r="AY19" s="10">
        <f>+AY16+AY17+AY18</f>
        <v>4724734077</v>
      </c>
      <c r="BF19" s="9"/>
    </row>
    <row r="20" spans="2:58">
      <c r="B20" s="8">
        <v>6</v>
      </c>
      <c r="D20" s="65" t="s">
        <v>133</v>
      </c>
      <c r="F20" s="11">
        <f>+'Sch 1.1'!F18</f>
        <v>134479318</v>
      </c>
      <c r="H20" s="11"/>
      <c r="J20" s="11"/>
      <c r="L20" s="11"/>
      <c r="N20" s="11"/>
      <c r="P20" s="11"/>
      <c r="R20" s="11"/>
      <c r="T20" s="11"/>
      <c r="V20" s="11"/>
      <c r="X20" s="11"/>
      <c r="Z20" s="11">
        <f t="shared" ref="Z20:Z27" si="1">SUM(H20:Y20)</f>
        <v>0</v>
      </c>
      <c r="AC20" s="8">
        <v>6</v>
      </c>
      <c r="AE20" s="65" t="s">
        <v>133</v>
      </c>
      <c r="AG20" s="11">
        <f t="shared" si="0"/>
        <v>0</v>
      </c>
      <c r="AI20" s="11"/>
      <c r="AK20" s="11"/>
      <c r="AM20" s="11"/>
      <c r="AO20" s="11"/>
      <c r="AQ20" s="11"/>
      <c r="AS20" s="11"/>
      <c r="AU20" s="11"/>
      <c r="AW20" s="11">
        <f>SUM(AG20:AV20)</f>
        <v>0</v>
      </c>
      <c r="AY20" s="11">
        <f>+F20+AW20</f>
        <v>134479318</v>
      </c>
      <c r="BF20" s="9"/>
    </row>
    <row r="21" spans="2:58">
      <c r="B21" s="8">
        <v>7</v>
      </c>
      <c r="D21" s="68" t="s">
        <v>134</v>
      </c>
      <c r="F21" s="42">
        <f>+F19+F20</f>
        <v>4881078868</v>
      </c>
      <c r="H21" s="42">
        <f>+H19+H20</f>
        <v>-21624620</v>
      </c>
      <c r="J21" s="42">
        <f>+J19+J20</f>
        <v>-240853</v>
      </c>
      <c r="L21" s="42">
        <f>+L19+L20</f>
        <v>0</v>
      </c>
      <c r="N21" s="42">
        <f>+N19+N20</f>
        <v>0</v>
      </c>
      <c r="P21" s="42">
        <f>+P19+P20</f>
        <v>0</v>
      </c>
      <c r="R21" s="42">
        <f>+R19+R20</f>
        <v>0</v>
      </c>
      <c r="T21" s="42">
        <f>+T19+T20</f>
        <v>0</v>
      </c>
      <c r="V21" s="42">
        <f>+V19+V20</f>
        <v>0</v>
      </c>
      <c r="X21" s="42">
        <f>+X19+X20</f>
        <v>0</v>
      </c>
      <c r="Z21" s="42">
        <f>+Z19+Z20</f>
        <v>-21865473</v>
      </c>
      <c r="AC21" s="8">
        <v>7</v>
      </c>
      <c r="AE21" s="68" t="s">
        <v>134</v>
      </c>
      <c r="AG21" s="42">
        <f>+AG19+AG20</f>
        <v>-21865473</v>
      </c>
      <c r="AI21" s="42">
        <f>+AI19+AI20</f>
        <v>0</v>
      </c>
      <c r="AK21" s="42">
        <f>+AK19+AK20</f>
        <v>0</v>
      </c>
      <c r="AM21" s="42">
        <f>+AM19+AM20</f>
        <v>0</v>
      </c>
      <c r="AO21" s="42">
        <f>+AO19+AO20</f>
        <v>0</v>
      </c>
      <c r="AQ21" s="42">
        <f>+AQ19+AQ20</f>
        <v>0</v>
      </c>
      <c r="AS21" s="42">
        <f>+AS19+AS20</f>
        <v>0</v>
      </c>
      <c r="AU21" s="42">
        <f>+AU19+AU20</f>
        <v>0</v>
      </c>
      <c r="AW21" s="42">
        <f>+AW19+AW20</f>
        <v>-21865473</v>
      </c>
      <c r="AY21" s="42">
        <f>+AY19+AY20</f>
        <v>4859213395</v>
      </c>
      <c r="BF21" s="9"/>
    </row>
    <row r="22" spans="2:58">
      <c r="B22" s="8">
        <v>8</v>
      </c>
      <c r="D22" s="65" t="s">
        <v>92</v>
      </c>
      <c r="F22" s="10">
        <f>+'Sch 1.1'!F20</f>
        <v>94636138</v>
      </c>
      <c r="H22" s="10"/>
      <c r="J22" s="10"/>
      <c r="L22" s="10">
        <f>+'3.5 CWC'!N31</f>
        <v>-48885658.511231437</v>
      </c>
      <c r="N22" s="10"/>
      <c r="P22" s="10"/>
      <c r="R22" s="10"/>
      <c r="T22" s="10"/>
      <c r="V22" s="10"/>
      <c r="X22" s="10"/>
      <c r="Z22" s="10">
        <f t="shared" si="1"/>
        <v>-48885658.511231437</v>
      </c>
      <c r="AC22" s="8">
        <v>8</v>
      </c>
      <c r="AE22" s="65" t="s">
        <v>92</v>
      </c>
      <c r="AG22" s="10">
        <f t="shared" si="0"/>
        <v>-48885658.511231437</v>
      </c>
      <c r="AI22" s="10"/>
      <c r="AK22" s="10"/>
      <c r="AM22" s="10"/>
      <c r="AO22" s="10"/>
      <c r="AQ22" s="10"/>
      <c r="AS22" s="10"/>
      <c r="AU22" s="10"/>
      <c r="AW22" s="10">
        <f t="shared" ref="AW22:AW27" si="2">SUM(AG22:AV22)</f>
        <v>-48885658.511231437</v>
      </c>
      <c r="AY22" s="10">
        <f t="shared" ref="AY22:AY27" si="3">+F22+AW22</f>
        <v>45750479.488768563</v>
      </c>
      <c r="BF22" s="9"/>
    </row>
    <row r="23" spans="2:58">
      <c r="B23" s="8">
        <v>9</v>
      </c>
      <c r="D23" s="65" t="s">
        <v>135</v>
      </c>
      <c r="F23" s="10">
        <f>+'Sch 1.1'!F21</f>
        <v>130931331</v>
      </c>
      <c r="H23" s="10"/>
      <c r="J23" s="10"/>
      <c r="L23" s="10">
        <f>+'3.5 CWC'!N33</f>
        <v>-15605034</v>
      </c>
      <c r="N23" s="10"/>
      <c r="P23" s="10"/>
      <c r="R23" s="10"/>
      <c r="T23" s="10"/>
      <c r="V23" s="10"/>
      <c r="X23" s="10"/>
      <c r="Z23" s="10">
        <f t="shared" si="1"/>
        <v>-15605034</v>
      </c>
      <c r="AC23" s="8">
        <v>9</v>
      </c>
      <c r="AE23" s="65" t="s">
        <v>135</v>
      </c>
      <c r="AG23" s="10">
        <f t="shared" si="0"/>
        <v>-15605034</v>
      </c>
      <c r="AI23" s="10"/>
      <c r="AK23" s="10"/>
      <c r="AM23" s="10"/>
      <c r="AO23" s="10"/>
      <c r="AQ23" s="10"/>
      <c r="AS23" s="10"/>
      <c r="AU23" s="10"/>
      <c r="AW23" s="10">
        <f t="shared" si="2"/>
        <v>-15605034</v>
      </c>
      <c r="AY23" s="10">
        <f t="shared" si="3"/>
        <v>115326297</v>
      </c>
      <c r="BF23" s="9"/>
    </row>
    <row r="24" spans="2:58">
      <c r="B24" s="8">
        <v>10</v>
      </c>
      <c r="D24" s="64" t="s">
        <v>99</v>
      </c>
      <c r="F24" s="10">
        <f>+'Sch 1.1'!F22</f>
        <v>-951647</v>
      </c>
      <c r="H24" s="10"/>
      <c r="J24" s="10"/>
      <c r="L24" s="10"/>
      <c r="N24" s="10"/>
      <c r="P24" s="10"/>
      <c r="R24" s="10"/>
      <c r="T24" s="10"/>
      <c r="V24" s="10"/>
      <c r="X24" s="10"/>
      <c r="Z24" s="10">
        <f t="shared" si="1"/>
        <v>0</v>
      </c>
      <c r="AC24" s="8">
        <v>10</v>
      </c>
      <c r="AE24" s="64" t="s">
        <v>99</v>
      </c>
      <c r="AG24" s="10">
        <f t="shared" si="0"/>
        <v>0</v>
      </c>
      <c r="AI24" s="10"/>
      <c r="AK24" s="10"/>
      <c r="AM24" s="10"/>
      <c r="AO24" s="10"/>
      <c r="AQ24" s="10"/>
      <c r="AS24" s="10"/>
      <c r="AU24" s="10"/>
      <c r="AW24" s="10">
        <f t="shared" si="2"/>
        <v>0</v>
      </c>
      <c r="AY24" s="10">
        <f t="shared" si="3"/>
        <v>-951647</v>
      </c>
      <c r="BF24" s="9"/>
    </row>
    <row r="25" spans="2:58">
      <c r="B25" s="8">
        <v>11</v>
      </c>
      <c r="D25" s="65" t="s">
        <v>136</v>
      </c>
      <c r="F25" s="10">
        <f>+'Sch 1.1'!F23</f>
        <v>-976331381</v>
      </c>
      <c r="H25" s="10"/>
      <c r="J25" s="10"/>
      <c r="L25" s="10"/>
      <c r="N25" s="10"/>
      <c r="P25" s="10"/>
      <c r="R25" s="10"/>
      <c r="T25" s="10"/>
      <c r="V25" s="10"/>
      <c r="X25" s="10"/>
      <c r="Z25" s="10">
        <f t="shared" si="1"/>
        <v>0</v>
      </c>
      <c r="AC25" s="8">
        <v>11</v>
      </c>
      <c r="AE25" s="65" t="s">
        <v>136</v>
      </c>
      <c r="AG25" s="10">
        <f t="shared" si="0"/>
        <v>0</v>
      </c>
      <c r="AI25" s="10"/>
      <c r="AK25" s="10"/>
      <c r="AM25" s="10"/>
      <c r="AO25" s="10"/>
      <c r="AQ25" s="10"/>
      <c r="AS25" s="10"/>
      <c r="AU25" s="10"/>
      <c r="AW25" s="10">
        <f t="shared" si="2"/>
        <v>0</v>
      </c>
      <c r="AY25" s="10">
        <f t="shared" si="3"/>
        <v>-976331381</v>
      </c>
      <c r="BF25" s="9"/>
    </row>
    <row r="26" spans="2:58">
      <c r="B26" s="8">
        <v>12</v>
      </c>
      <c r="D26" s="64" t="s">
        <v>137</v>
      </c>
      <c r="F26" s="10">
        <f>+'Sch 1.1'!F24</f>
        <v>-84144327</v>
      </c>
      <c r="H26" s="10"/>
      <c r="J26" s="10"/>
      <c r="L26" s="10"/>
      <c r="N26" s="10"/>
      <c r="P26" s="10"/>
      <c r="R26" s="10"/>
      <c r="T26" s="10"/>
      <c r="V26" s="10"/>
      <c r="X26" s="10"/>
      <c r="Z26" s="10">
        <f t="shared" si="1"/>
        <v>0</v>
      </c>
      <c r="AC26" s="8">
        <v>12</v>
      </c>
      <c r="AE26" s="64" t="s">
        <v>137</v>
      </c>
      <c r="AG26" s="10">
        <f t="shared" si="0"/>
        <v>0</v>
      </c>
      <c r="AI26" s="10"/>
      <c r="AK26" s="10"/>
      <c r="AM26" s="10"/>
      <c r="AO26" s="10"/>
      <c r="AQ26" s="10"/>
      <c r="AS26" s="10"/>
      <c r="AU26" s="10"/>
      <c r="AW26" s="10">
        <f t="shared" si="2"/>
        <v>0</v>
      </c>
      <c r="AY26" s="10">
        <f t="shared" si="3"/>
        <v>-84144327</v>
      </c>
      <c r="BF26" s="9"/>
    </row>
    <row r="27" spans="2:58">
      <c r="B27" s="8">
        <v>13</v>
      </c>
      <c r="D27" s="64" t="s">
        <v>138</v>
      </c>
      <c r="F27" s="6">
        <f>+'Sch 1.1'!F25</f>
        <v>0</v>
      </c>
      <c r="H27" s="6"/>
      <c r="J27" s="6"/>
      <c r="L27" s="6"/>
      <c r="N27" s="6"/>
      <c r="P27" s="6"/>
      <c r="R27" s="6"/>
      <c r="T27" s="6"/>
      <c r="V27" s="6"/>
      <c r="X27" s="6"/>
      <c r="Z27" s="6">
        <f t="shared" si="1"/>
        <v>0</v>
      </c>
      <c r="AC27" s="8">
        <v>13</v>
      </c>
      <c r="AE27" s="64" t="s">
        <v>138</v>
      </c>
      <c r="AG27" s="6">
        <f t="shared" si="0"/>
        <v>0</v>
      </c>
      <c r="AI27" s="6"/>
      <c r="AK27" s="6"/>
      <c r="AM27" s="6"/>
      <c r="AO27" s="6"/>
      <c r="AQ27" s="6"/>
      <c r="AS27" s="6"/>
      <c r="AU27" s="6"/>
      <c r="AW27" s="6">
        <f t="shared" si="2"/>
        <v>0</v>
      </c>
      <c r="AY27" s="6">
        <f t="shared" si="3"/>
        <v>0</v>
      </c>
      <c r="BF27" s="9"/>
    </row>
    <row r="28" spans="2:58">
      <c r="B28" s="8">
        <v>14</v>
      </c>
      <c r="D28" s="66" t="s">
        <v>148</v>
      </c>
      <c r="F28" s="42">
        <f>SUM(F21:F27)</f>
        <v>4045218982</v>
      </c>
      <c r="H28" s="42">
        <f>SUM(H21:H27)</f>
        <v>-21624620</v>
      </c>
      <c r="I28" s="4"/>
      <c r="J28" s="42">
        <f>SUM(J21:J27)</f>
        <v>-240853</v>
      </c>
      <c r="K28" s="4"/>
      <c r="L28" s="42">
        <f>SUM(L21:L27)</f>
        <v>-64490692.511231437</v>
      </c>
      <c r="M28" s="4"/>
      <c r="N28" s="42">
        <f>SUM(N21:N27)</f>
        <v>0</v>
      </c>
      <c r="O28" s="4"/>
      <c r="P28" s="42">
        <f>SUM(P21:P27)</f>
        <v>0</v>
      </c>
      <c r="Q28" s="4"/>
      <c r="R28" s="42">
        <f>SUM(R21:R27)</f>
        <v>0</v>
      </c>
      <c r="S28" s="4"/>
      <c r="T28" s="42">
        <f>SUM(T21:T27)</f>
        <v>0</v>
      </c>
      <c r="U28" s="4"/>
      <c r="V28" s="42">
        <f>SUM(V21:V27)</f>
        <v>0</v>
      </c>
      <c r="W28" s="4"/>
      <c r="X28" s="42">
        <f>SUM(X21:X27)</f>
        <v>0</v>
      </c>
      <c r="Z28" s="42">
        <f>SUM(Z21:Z27)</f>
        <v>-86356165.511231437</v>
      </c>
      <c r="AC28" s="8">
        <v>14</v>
      </c>
      <c r="AE28" s="66" t="s">
        <v>148</v>
      </c>
      <c r="AG28" s="42">
        <f>SUM(AG21:AG27)</f>
        <v>-86356165.511231437</v>
      </c>
      <c r="AI28" s="42">
        <f>SUM(AI21:AI27)</f>
        <v>0</v>
      </c>
      <c r="AK28" s="42">
        <f>SUM(AK21:AK27)</f>
        <v>0</v>
      </c>
      <c r="AM28" s="42">
        <f>SUM(AM21:AM27)</f>
        <v>0</v>
      </c>
      <c r="AO28" s="42">
        <f>SUM(AO21:AO27)</f>
        <v>0</v>
      </c>
      <c r="AQ28" s="42">
        <f>SUM(AQ21:AQ27)</f>
        <v>0</v>
      </c>
      <c r="AS28" s="42">
        <f>SUM(AS21:AS27)</f>
        <v>0</v>
      </c>
      <c r="AU28" s="42">
        <f>SUM(AU21:AU27)</f>
        <v>0</v>
      </c>
      <c r="AW28" s="42">
        <f>SUM(AW21:AW27)</f>
        <v>-86356165.511231437</v>
      </c>
      <c r="AY28" s="42">
        <f>SUM(AY21:AY27)</f>
        <v>3958862816.4887686</v>
      </c>
      <c r="BF28" s="9"/>
    </row>
    <row r="29" spans="2:58">
      <c r="B29" s="8"/>
      <c r="D29" s="66"/>
      <c r="AC29" s="8"/>
      <c r="AE29" s="66"/>
      <c r="BF29" s="9"/>
    </row>
    <row r="30" spans="2:58">
      <c r="B30" s="8">
        <v>15</v>
      </c>
      <c r="D30" s="62" t="s">
        <v>151</v>
      </c>
      <c r="F30" s="42">
        <f>+'Sch 1.1'!F28</f>
        <v>4099135883</v>
      </c>
      <c r="H30" s="42">
        <f>+H28</f>
        <v>-21624620</v>
      </c>
      <c r="J30" s="42">
        <f>+J28</f>
        <v>-240853</v>
      </c>
      <c r="L30" s="42">
        <f>+L28</f>
        <v>-64490692.511231437</v>
      </c>
      <c r="N30" s="42"/>
      <c r="P30" s="42"/>
      <c r="R30" s="42"/>
      <c r="T30" s="42"/>
      <c r="V30" s="42"/>
      <c r="X30" s="42"/>
      <c r="Z30" s="42">
        <f t="shared" ref="Z30" si="4">SUM(H30:Y30)</f>
        <v>-86356165.511231437</v>
      </c>
      <c r="AC30" s="8">
        <v>15</v>
      </c>
      <c r="AE30" s="62" t="s">
        <v>151</v>
      </c>
      <c r="AG30" s="42">
        <f t="shared" ref="AG30" si="5">+Z30</f>
        <v>-86356165.511231437</v>
      </c>
      <c r="AI30" s="42"/>
      <c r="AK30" s="42"/>
      <c r="AM30" s="42"/>
      <c r="AO30" s="42"/>
      <c r="AQ30" s="42"/>
      <c r="AS30" s="42"/>
      <c r="AU30" s="42"/>
      <c r="AW30" s="42">
        <f>SUM(AG30:AV30)</f>
        <v>-86356165.511231437</v>
      </c>
      <c r="AY30" s="42">
        <f>+F30+AW30</f>
        <v>4012779717.4887686</v>
      </c>
      <c r="BF30" s="9"/>
    </row>
    <row r="31" spans="2:58">
      <c r="B31" s="8"/>
      <c r="D31" s="62"/>
      <c r="I31" s="4"/>
      <c r="K31" s="4"/>
      <c r="M31" s="4"/>
      <c r="O31" s="4"/>
      <c r="Q31" s="4"/>
      <c r="S31" s="4"/>
      <c r="U31" s="4"/>
      <c r="W31" s="4"/>
      <c r="AC31" s="8"/>
      <c r="AE31" s="62"/>
      <c r="BF31" s="9"/>
    </row>
    <row r="32" spans="2:58">
      <c r="B32" s="8">
        <v>16</v>
      </c>
      <c r="D32" s="38" t="s">
        <v>164</v>
      </c>
      <c r="F32" s="9">
        <f>+F30</f>
        <v>4099135883</v>
      </c>
      <c r="H32" s="9">
        <f>+H28</f>
        <v>-21624620</v>
      </c>
      <c r="I32" s="4"/>
      <c r="J32" s="9">
        <f>+J28</f>
        <v>-240853</v>
      </c>
      <c r="K32" s="4"/>
      <c r="L32" s="9">
        <f>+L28</f>
        <v>-64490692.511231437</v>
      </c>
      <c r="M32" s="4"/>
      <c r="N32" s="9">
        <f>+N28</f>
        <v>0</v>
      </c>
      <c r="O32" s="4"/>
      <c r="P32" s="9">
        <f>+P28</f>
        <v>0</v>
      </c>
      <c r="Q32" s="4"/>
      <c r="R32" s="9">
        <f>+R28</f>
        <v>0</v>
      </c>
      <c r="S32" s="4"/>
      <c r="T32" s="9">
        <f>+T28</f>
        <v>0</v>
      </c>
      <c r="U32" s="4"/>
      <c r="V32" s="9">
        <f>+V28</f>
        <v>0</v>
      </c>
      <c r="W32" s="4"/>
      <c r="X32" s="9">
        <f>+X28</f>
        <v>0</v>
      </c>
      <c r="Z32" s="9">
        <f t="shared" ref="Z32" si="6">SUM(H32:Y32)</f>
        <v>-86356165.511231437</v>
      </c>
      <c r="AC32" s="8">
        <v>16</v>
      </c>
      <c r="AE32" s="38" t="s">
        <v>164</v>
      </c>
      <c r="AG32" s="9">
        <f t="shared" ref="AG32" si="7">+Z32</f>
        <v>-86356165.511231437</v>
      </c>
      <c r="AI32" s="9">
        <f>+AI28</f>
        <v>0</v>
      </c>
      <c r="AK32" s="9">
        <f>+AK28</f>
        <v>0</v>
      </c>
      <c r="AM32" s="9">
        <f>+AM28</f>
        <v>0</v>
      </c>
      <c r="AO32" s="9">
        <f>+AO28</f>
        <v>0</v>
      </c>
      <c r="AQ32" s="9">
        <f>+AQ28</f>
        <v>0</v>
      </c>
      <c r="AS32" s="9">
        <f>+AS28</f>
        <v>0</v>
      </c>
      <c r="AU32" s="9">
        <f>+AU28</f>
        <v>0</v>
      </c>
      <c r="AW32" s="9">
        <f>SUM(AG32:AV32)</f>
        <v>-86356165.511231437</v>
      </c>
      <c r="AY32" s="9">
        <f>+F32+AW32</f>
        <v>4012779717.4887686</v>
      </c>
      <c r="BF32" s="9"/>
    </row>
    <row r="33" spans="2:58">
      <c r="B33" s="8"/>
      <c r="D33" s="62"/>
      <c r="I33" s="4"/>
      <c r="K33" s="4"/>
      <c r="M33" s="4"/>
      <c r="O33" s="4"/>
      <c r="Q33" s="4"/>
      <c r="S33" s="4"/>
      <c r="U33" s="4"/>
      <c r="W33" s="4"/>
      <c r="AC33" s="8"/>
      <c r="AE33" s="62"/>
      <c r="BF33" s="9"/>
    </row>
    <row r="34" spans="2:58">
      <c r="B34" s="8">
        <v>17</v>
      </c>
      <c r="D34" s="38" t="s">
        <v>22</v>
      </c>
      <c r="F34" s="7">
        <f>+'Sch 1.1'!F32</f>
        <v>7.5591022201740132E-2</v>
      </c>
      <c r="H34" s="7">
        <f>+$Z$34</f>
        <v>7.1786365598703578E-2</v>
      </c>
      <c r="I34" s="22"/>
      <c r="J34" s="7">
        <f>+$Z$34</f>
        <v>7.1786365598703578E-2</v>
      </c>
      <c r="K34" s="22"/>
      <c r="L34" s="7">
        <f>+$Z$34</f>
        <v>7.1786365598703578E-2</v>
      </c>
      <c r="M34" s="22"/>
      <c r="N34" s="7">
        <f>+$Z$34</f>
        <v>7.1786365598703578E-2</v>
      </c>
      <c r="O34" s="22"/>
      <c r="P34" s="7">
        <f>+$Z$34</f>
        <v>7.1786365598703578E-2</v>
      </c>
      <c r="Q34" s="22"/>
      <c r="R34" s="7">
        <f>+$Z$34</f>
        <v>7.1786365598703578E-2</v>
      </c>
      <c r="S34" s="22"/>
      <c r="T34" s="7">
        <f>+$Z$34</f>
        <v>7.1786365598703578E-2</v>
      </c>
      <c r="U34" s="22"/>
      <c r="V34" s="7">
        <f>+$Z$34</f>
        <v>7.1786365598703578E-2</v>
      </c>
      <c r="W34" s="22"/>
      <c r="X34" s="7">
        <f>+$Z$34</f>
        <v>7.1786365598703578E-2</v>
      </c>
      <c r="Y34" s="22"/>
      <c r="Z34" s="7">
        <f>+'Sch 1.1'!J32</f>
        <v>7.1786365598703578E-2</v>
      </c>
      <c r="AC34" s="8">
        <v>17</v>
      </c>
      <c r="AE34" s="38" t="s">
        <v>22</v>
      </c>
      <c r="AG34" s="7">
        <f>+$Z$34</f>
        <v>7.1786365598703578E-2</v>
      </c>
      <c r="AI34" s="7">
        <f>+$Z$34</f>
        <v>7.1786365598703578E-2</v>
      </c>
      <c r="AK34" s="7">
        <f>+$Z$34</f>
        <v>7.1786365598703578E-2</v>
      </c>
      <c r="AM34" s="7">
        <f>+$Z$34</f>
        <v>7.1786365598703578E-2</v>
      </c>
      <c r="AO34" s="7">
        <f>+$Z$34</f>
        <v>7.1786365598703578E-2</v>
      </c>
      <c r="AQ34" s="7">
        <f>+$Z$34</f>
        <v>7.1786365598703578E-2</v>
      </c>
      <c r="AS34" s="7">
        <f>+$Z$34</f>
        <v>7.1786365598703578E-2</v>
      </c>
      <c r="AU34" s="7">
        <f>+$Z$34</f>
        <v>7.1786365598703578E-2</v>
      </c>
      <c r="AW34" s="7">
        <f>+$Z$34</f>
        <v>7.1786365598703578E-2</v>
      </c>
      <c r="AY34" s="7">
        <f>+$Z$34</f>
        <v>7.1786365598703578E-2</v>
      </c>
      <c r="BF34" s="9"/>
    </row>
    <row r="35" spans="2:58">
      <c r="B35" s="8">
        <v>18</v>
      </c>
      <c r="D35" s="38" t="s">
        <v>27</v>
      </c>
      <c r="F35" s="41">
        <f>+F32*F34</f>
        <v>309857871.53980267</v>
      </c>
      <c r="G35" s="4"/>
      <c r="H35" s="41">
        <f>+H32*H34</f>
        <v>-1552352.8772530374</v>
      </c>
      <c r="I35" s="4"/>
      <c r="J35" s="41">
        <f>+J32*J34</f>
        <v>-17289.961513544553</v>
      </c>
      <c r="K35" s="4"/>
      <c r="L35" s="41">
        <f>+L32*L34</f>
        <v>-4629552.4303248348</v>
      </c>
      <c r="M35" s="4"/>
      <c r="N35" s="41">
        <f>+N32*N34</f>
        <v>0</v>
      </c>
      <c r="O35" s="4"/>
      <c r="P35" s="41">
        <f>+P32*P34</f>
        <v>0</v>
      </c>
      <c r="Q35" s="4"/>
      <c r="R35" s="41">
        <f>+R32*R34</f>
        <v>0</v>
      </c>
      <c r="S35" s="4"/>
      <c r="T35" s="41">
        <f>+T32*T34</f>
        <v>0</v>
      </c>
      <c r="U35" s="4"/>
      <c r="V35" s="41">
        <f>+V32*V34</f>
        <v>0</v>
      </c>
      <c r="W35" s="4"/>
      <c r="X35" s="41">
        <f>+X32*X34</f>
        <v>0</v>
      </c>
      <c r="Z35" s="41">
        <f>+Z32*Z34</f>
        <v>-6199195.2690914171</v>
      </c>
      <c r="AC35" s="8">
        <v>18</v>
      </c>
      <c r="AE35" s="38" t="s">
        <v>27</v>
      </c>
      <c r="AG35" s="41">
        <f>+AG32*AG34</f>
        <v>-6199195.2690914171</v>
      </c>
      <c r="AI35" s="41">
        <f>+AI32*AI34</f>
        <v>0</v>
      </c>
      <c r="AK35" s="41">
        <f>+AK32*AK34</f>
        <v>0</v>
      </c>
      <c r="AM35" s="41">
        <f>+AM32*AM34</f>
        <v>0</v>
      </c>
      <c r="AO35" s="41">
        <f>+AO32*AO34</f>
        <v>0</v>
      </c>
      <c r="AQ35" s="41">
        <f>+AQ32*AQ34</f>
        <v>0</v>
      </c>
      <c r="AS35" s="41">
        <f>+AS32*AS34</f>
        <v>0</v>
      </c>
      <c r="AU35" s="41">
        <f>+AU32*AU34</f>
        <v>0</v>
      </c>
      <c r="AW35" s="41">
        <f>+AW32*AW34</f>
        <v>-6199195.2690914171</v>
      </c>
      <c r="AY35" s="41">
        <f>+AY32*AY34</f>
        <v>288062871.8667112</v>
      </c>
      <c r="BF35" s="9"/>
    </row>
    <row r="36" spans="2:58">
      <c r="B36" s="8"/>
      <c r="D36" s="14"/>
      <c r="F36" s="41"/>
      <c r="G36" s="4"/>
      <c r="H36" s="41"/>
      <c r="I36" s="4"/>
      <c r="J36" s="41"/>
      <c r="K36" s="4"/>
      <c r="L36" s="41"/>
      <c r="M36" s="4"/>
      <c r="N36" s="41"/>
      <c r="O36" s="4"/>
      <c r="P36" s="41"/>
      <c r="Q36" s="4"/>
      <c r="R36" s="41"/>
      <c r="S36" s="4"/>
      <c r="T36" s="41"/>
      <c r="U36" s="4"/>
      <c r="V36" s="41"/>
      <c r="W36" s="4"/>
      <c r="X36" s="41"/>
      <c r="Y36" s="4"/>
      <c r="Z36" s="41"/>
      <c r="AC36" s="8"/>
      <c r="AE36" s="14"/>
      <c r="AG36" s="41"/>
      <c r="AI36" s="41"/>
      <c r="AK36" s="41"/>
      <c r="AM36" s="41"/>
      <c r="AO36" s="41"/>
      <c r="AQ36" s="41"/>
      <c r="AS36" s="41"/>
      <c r="AU36" s="41"/>
      <c r="AW36" s="41"/>
      <c r="AY36" s="41"/>
      <c r="BF36" s="9"/>
    </row>
    <row r="37" spans="2:58">
      <c r="B37" s="8">
        <v>19</v>
      </c>
      <c r="D37" s="38" t="s">
        <v>93</v>
      </c>
      <c r="F37" s="39"/>
      <c r="G37" s="4"/>
      <c r="H37" s="39"/>
      <c r="I37" s="4"/>
      <c r="J37" s="39"/>
      <c r="K37" s="4"/>
      <c r="L37" s="39"/>
      <c r="M37" s="4"/>
      <c r="N37" s="39"/>
      <c r="O37" s="4"/>
      <c r="P37" s="39"/>
      <c r="Q37" s="4"/>
      <c r="R37" s="39"/>
      <c r="S37" s="4"/>
      <c r="T37" s="39"/>
      <c r="U37" s="4"/>
      <c r="V37" s="39"/>
      <c r="W37" s="4"/>
      <c r="X37" s="39"/>
      <c r="Y37" s="4"/>
      <c r="Z37" s="39"/>
      <c r="AC37" s="8">
        <v>19</v>
      </c>
      <c r="AE37" s="38" t="s">
        <v>93</v>
      </c>
      <c r="AG37" s="39"/>
      <c r="AI37" s="39"/>
      <c r="AK37" s="39"/>
      <c r="AM37" s="39"/>
      <c r="AO37" s="39"/>
      <c r="AQ37" s="39"/>
      <c r="AS37" s="39"/>
      <c r="AU37" s="39"/>
      <c r="AW37" s="39"/>
      <c r="AY37" s="39"/>
      <c r="BF37" s="9"/>
    </row>
    <row r="38" spans="2:58">
      <c r="B38" s="8">
        <v>20</v>
      </c>
      <c r="D38" s="64" t="s">
        <v>139</v>
      </c>
      <c r="F38" s="41">
        <f>+'Sch 1.1'!F36</f>
        <v>1408801019</v>
      </c>
      <c r="G38" s="4"/>
      <c r="H38" s="41">
        <f>+'3.1 Slippage'!H18</f>
        <v>-245</v>
      </c>
      <c r="I38" s="4"/>
      <c r="J38" s="41"/>
      <c r="K38" s="4"/>
      <c r="L38" s="41"/>
      <c r="M38" s="4"/>
      <c r="N38" s="41"/>
      <c r="O38" s="4"/>
      <c r="P38" s="41"/>
      <c r="Q38" s="4"/>
      <c r="R38" s="41"/>
      <c r="S38" s="4"/>
      <c r="T38" s="41"/>
      <c r="U38" s="4"/>
      <c r="V38" s="41"/>
      <c r="W38" s="4"/>
      <c r="X38" s="41"/>
      <c r="Y38" s="4"/>
      <c r="Z38" s="41">
        <f t="shared" ref="Z38:Z39" si="8">SUM(H38:Y38)</f>
        <v>-245</v>
      </c>
      <c r="AC38" s="8">
        <v>20</v>
      </c>
      <c r="AE38" s="64" t="s">
        <v>139</v>
      </c>
      <c r="AG38" s="41">
        <f t="shared" ref="AG38:AG39" si="9">+Z38</f>
        <v>-245</v>
      </c>
      <c r="AI38" s="41"/>
      <c r="AK38" s="41"/>
      <c r="AM38" s="41"/>
      <c r="AO38" s="41"/>
      <c r="AQ38" s="41"/>
      <c r="AS38" s="41"/>
      <c r="AU38" s="41"/>
      <c r="AW38" s="41">
        <f>SUM(AG38:AV38)</f>
        <v>-245</v>
      </c>
      <c r="AY38" s="41">
        <f>+F38+AW38</f>
        <v>1408800774</v>
      </c>
      <c r="BF38" s="9"/>
    </row>
    <row r="39" spans="2:58">
      <c r="B39" s="8">
        <v>21</v>
      </c>
      <c r="D39" s="65" t="s">
        <v>140</v>
      </c>
      <c r="F39" s="6">
        <f>+'Sch 1.1'!F37</f>
        <v>38850409</v>
      </c>
      <c r="H39" s="6"/>
      <c r="J39" s="6"/>
      <c r="L39" s="6"/>
      <c r="N39" s="6">
        <f>+'3.6 Late Pymt'!H13</f>
        <v>337386</v>
      </c>
      <c r="P39" s="6"/>
      <c r="R39" s="6"/>
      <c r="T39" s="6"/>
      <c r="V39" s="6"/>
      <c r="X39" s="6"/>
      <c r="Z39" s="6">
        <f t="shared" si="8"/>
        <v>337386</v>
      </c>
      <c r="AC39" s="8">
        <v>21</v>
      </c>
      <c r="AE39" s="65" t="s">
        <v>140</v>
      </c>
      <c r="AG39" s="6">
        <f t="shared" si="9"/>
        <v>337386</v>
      </c>
      <c r="AI39" s="6"/>
      <c r="AK39" s="6"/>
      <c r="AM39" s="6"/>
      <c r="AO39" s="6"/>
      <c r="AQ39" s="6"/>
      <c r="AS39" s="6"/>
      <c r="AU39" s="6"/>
      <c r="AW39" s="6">
        <f>SUM(AG39:AV39)</f>
        <v>337386</v>
      </c>
      <c r="AY39" s="6">
        <f>+F39+AW39</f>
        <v>39187795</v>
      </c>
      <c r="BF39" s="9"/>
    </row>
    <row r="40" spans="2:58">
      <c r="B40" s="8">
        <v>22</v>
      </c>
      <c r="D40" s="68" t="s">
        <v>96</v>
      </c>
      <c r="F40" s="43">
        <f>SUM(F38:F39)-1</f>
        <v>1447651427</v>
      </c>
      <c r="G40" s="4"/>
      <c r="H40" s="43">
        <f>SUM(H38:H39)</f>
        <v>-245</v>
      </c>
      <c r="I40" s="4"/>
      <c r="J40" s="43">
        <f>SUM(J38:J39)</f>
        <v>0</v>
      </c>
      <c r="K40" s="4"/>
      <c r="L40" s="43">
        <f>SUM(L38:L39)</f>
        <v>0</v>
      </c>
      <c r="M40" s="4"/>
      <c r="N40" s="43">
        <f>SUM(N38:N39)</f>
        <v>337386</v>
      </c>
      <c r="O40" s="4"/>
      <c r="P40" s="43">
        <f>SUM(P38:P39)</f>
        <v>0</v>
      </c>
      <c r="Q40" s="4"/>
      <c r="R40" s="43">
        <f>SUM(R38:R39)</f>
        <v>0</v>
      </c>
      <c r="S40" s="4"/>
      <c r="T40" s="43">
        <f>SUM(T38:T39)</f>
        <v>0</v>
      </c>
      <c r="U40" s="4"/>
      <c r="V40" s="43">
        <f>SUM(V38:V39)</f>
        <v>0</v>
      </c>
      <c r="W40" s="4"/>
      <c r="X40" s="43">
        <f>SUM(X38:X39)</f>
        <v>0</v>
      </c>
      <c r="Y40" s="4"/>
      <c r="Z40" s="43">
        <f>SUM(Z38:Z39)</f>
        <v>337141</v>
      </c>
      <c r="AC40" s="8">
        <v>22</v>
      </c>
      <c r="AE40" s="68" t="s">
        <v>96</v>
      </c>
      <c r="AG40" s="43">
        <f>SUM(AG38:AG39)</f>
        <v>337141</v>
      </c>
      <c r="AI40" s="43">
        <f>SUM(AI38:AI39)</f>
        <v>0</v>
      </c>
      <c r="AK40" s="43">
        <f>SUM(AK38:AK39)</f>
        <v>0</v>
      </c>
      <c r="AM40" s="43">
        <f>SUM(AM38:AM39)</f>
        <v>0</v>
      </c>
      <c r="AO40" s="43">
        <f>SUM(AO38:AO39)</f>
        <v>0</v>
      </c>
      <c r="AQ40" s="43">
        <f>SUM(AQ38:AQ39)</f>
        <v>0</v>
      </c>
      <c r="AS40" s="43">
        <f>SUM(AS38:AS39)</f>
        <v>0</v>
      </c>
      <c r="AU40" s="43">
        <f>SUM(AU38:AU39)</f>
        <v>0</v>
      </c>
      <c r="AW40" s="43">
        <f>SUM(AW38:AW39)</f>
        <v>337141</v>
      </c>
      <c r="AY40" s="43">
        <f>SUM(AY38:AY39)-1</f>
        <v>1447988568</v>
      </c>
      <c r="BF40" s="9"/>
    </row>
    <row r="41" spans="2:58">
      <c r="B41" s="8"/>
      <c r="D41" s="14"/>
      <c r="G41" s="4"/>
      <c r="I41" s="4"/>
      <c r="K41" s="4"/>
      <c r="M41" s="4"/>
      <c r="O41" s="4"/>
      <c r="Q41" s="4"/>
      <c r="S41" s="4"/>
      <c r="U41" s="4"/>
      <c r="W41" s="4"/>
      <c r="Y41" s="4"/>
      <c r="AC41" s="8"/>
      <c r="AE41" s="14"/>
      <c r="BF41" s="9"/>
    </row>
    <row r="42" spans="2:58">
      <c r="B42" s="8">
        <v>23</v>
      </c>
      <c r="D42" s="38" t="s">
        <v>94</v>
      </c>
      <c r="F42" s="41"/>
      <c r="G42" s="4"/>
      <c r="H42" s="41"/>
      <c r="I42" s="4"/>
      <c r="J42" s="41"/>
      <c r="K42" s="4"/>
      <c r="L42" s="41"/>
      <c r="M42" s="4"/>
      <c r="N42" s="41"/>
      <c r="O42" s="4"/>
      <c r="P42" s="41"/>
      <c r="Q42" s="4"/>
      <c r="R42" s="41"/>
      <c r="S42" s="4"/>
      <c r="T42" s="41"/>
      <c r="U42" s="4"/>
      <c r="V42" s="41"/>
      <c r="W42" s="4"/>
      <c r="X42" s="41"/>
      <c r="Y42" s="4"/>
      <c r="Z42" s="41"/>
      <c r="AC42" s="8">
        <v>23</v>
      </c>
      <c r="AE42" s="38" t="s">
        <v>94</v>
      </c>
      <c r="AG42" s="41"/>
      <c r="AI42" s="41"/>
      <c r="AK42" s="41"/>
      <c r="AM42" s="41"/>
      <c r="AO42" s="41"/>
      <c r="AQ42" s="41"/>
      <c r="AS42" s="41"/>
      <c r="AU42" s="41"/>
      <c r="AW42" s="41"/>
      <c r="AY42" s="41"/>
      <c r="BF42" s="9"/>
    </row>
    <row r="43" spans="2:58">
      <c r="B43" s="8">
        <v>24</v>
      </c>
      <c r="D43" s="64" t="s">
        <v>141</v>
      </c>
      <c r="F43" s="41">
        <f>+'Sch 1.1'!F41</f>
        <v>884639921</v>
      </c>
      <c r="G43" s="4"/>
      <c r="H43" s="41">
        <f>+'3.1 Slippage'!H22</f>
        <v>-13912</v>
      </c>
      <c r="I43" s="4"/>
      <c r="J43" s="41"/>
      <c r="K43" s="4"/>
      <c r="L43" s="41"/>
      <c r="M43" s="4"/>
      <c r="N43" s="41"/>
      <c r="O43" s="4"/>
      <c r="P43" s="41">
        <f>+'3.7 401k'!H13</f>
        <v>-2018838</v>
      </c>
      <c r="Q43" s="4"/>
      <c r="R43" s="41">
        <f>+'3.8 D&amp;O'!H13</f>
        <v>-138798</v>
      </c>
      <c r="S43" s="4"/>
      <c r="T43" s="41">
        <f>+'3.9 Dues'!H20</f>
        <v>-2455099.212361264</v>
      </c>
      <c r="U43" s="4"/>
      <c r="V43" s="41">
        <f>+'3.10 Legal'!H15</f>
        <v>-442027.63018065883</v>
      </c>
      <c r="W43" s="4"/>
      <c r="X43" s="41">
        <f>+'3.11 Rebate'!H13</f>
        <v>-210764</v>
      </c>
      <c r="Y43" s="4"/>
      <c r="Z43" s="41">
        <f t="shared" ref="Z43:Z48" si="10">SUM(H43:Y43)</f>
        <v>-5279438.8425419228</v>
      </c>
      <c r="AC43" s="8">
        <v>24</v>
      </c>
      <c r="AE43" s="64" t="s">
        <v>141</v>
      </c>
      <c r="AG43" s="41">
        <f t="shared" ref="AG43:AG48" si="11">+Z43</f>
        <v>-5279438.8425419228</v>
      </c>
      <c r="AI43" s="41">
        <f>+'3.12 Econ Dev'!H13</f>
        <v>-1672534</v>
      </c>
      <c r="AK43" s="41">
        <f>+'3.13 Ed'!H13</f>
        <v>-1260000</v>
      </c>
      <c r="AM43" s="41">
        <f>+'3.14 ECR Credit'!H13</f>
        <v>-440000</v>
      </c>
      <c r="AO43" s="41">
        <f>+'3.15 MMD'!H13</f>
        <v>-15101486</v>
      </c>
      <c r="AQ43" s="41">
        <f>+'3.16 Storm'!H20</f>
        <v>-466170.20000000007</v>
      </c>
      <c r="AU43" s="41"/>
      <c r="AW43" s="41">
        <f t="shared" ref="AW43:AW48" si="12">SUM(AG43:AV43)</f>
        <v>-24219629.042541921</v>
      </c>
      <c r="AY43" s="41">
        <f t="shared" ref="AY43:AY48" si="13">+F43+AW43</f>
        <v>860420291.95745802</v>
      </c>
      <c r="BA43" s="4"/>
      <c r="BB43" s="4"/>
      <c r="BC43" s="4"/>
      <c r="BF43" s="9"/>
    </row>
    <row r="44" spans="2:58">
      <c r="B44" s="8">
        <v>25</v>
      </c>
      <c r="D44" s="64" t="s">
        <v>142</v>
      </c>
      <c r="F44" s="39">
        <f>+'Sch 1.1'!F42</f>
        <v>268954148</v>
      </c>
      <c r="G44" s="4"/>
      <c r="H44" s="264">
        <f>+'3.1 Slippage'!H23</f>
        <v>-630852</v>
      </c>
      <c r="I44" s="4"/>
      <c r="J44" s="39"/>
      <c r="K44" s="4"/>
      <c r="L44" s="39"/>
      <c r="M44" s="4"/>
      <c r="N44" s="39"/>
      <c r="O44" s="4"/>
      <c r="P44" s="39"/>
      <c r="Q44" s="4"/>
      <c r="R44" s="39"/>
      <c r="S44" s="4"/>
      <c r="T44" s="39"/>
      <c r="U44" s="4"/>
      <c r="V44" s="39"/>
      <c r="W44" s="4"/>
      <c r="X44" s="39"/>
      <c r="Y44" s="4"/>
      <c r="Z44" s="39">
        <f t="shared" si="10"/>
        <v>-630852</v>
      </c>
      <c r="AC44" s="8">
        <v>25</v>
      </c>
      <c r="AE44" s="64" t="s">
        <v>142</v>
      </c>
      <c r="AG44" s="39">
        <f t="shared" si="11"/>
        <v>-630852</v>
      </c>
      <c r="AI44" s="39"/>
      <c r="AK44" s="39"/>
      <c r="AM44" s="39"/>
      <c r="AO44" s="39"/>
      <c r="AQ44" s="39"/>
      <c r="AS44" s="41">
        <f>+'3.17  EDIT'!H41</f>
        <v>-1443235.4365853658</v>
      </c>
      <c r="AU44" s="39"/>
      <c r="AW44" s="39">
        <f t="shared" si="12"/>
        <v>-2074087.4365853658</v>
      </c>
      <c r="AY44" s="39">
        <f t="shared" si="13"/>
        <v>266880060.56341463</v>
      </c>
      <c r="BA44" s="395"/>
      <c r="BB44" s="4"/>
      <c r="BC44" s="395"/>
      <c r="BF44" s="9"/>
    </row>
    <row r="45" spans="2:58">
      <c r="B45" s="8">
        <v>26</v>
      </c>
      <c r="D45" s="64" t="s">
        <v>143</v>
      </c>
      <c r="F45" s="39">
        <f>+'Sch 1.1'!F43</f>
        <v>0</v>
      </c>
      <c r="G45" s="4"/>
      <c r="H45" s="39"/>
      <c r="I45" s="4"/>
      <c r="J45" s="39"/>
      <c r="K45" s="4"/>
      <c r="L45" s="39"/>
      <c r="M45" s="4"/>
      <c r="N45" s="39"/>
      <c r="O45" s="4"/>
      <c r="P45" s="39"/>
      <c r="Q45" s="4"/>
      <c r="R45" s="39"/>
      <c r="S45" s="4"/>
      <c r="T45" s="39"/>
      <c r="U45" s="4"/>
      <c r="V45" s="39"/>
      <c r="W45" s="4"/>
      <c r="X45" s="39"/>
      <c r="Y45" s="4"/>
      <c r="Z45" s="39">
        <f t="shared" si="10"/>
        <v>0</v>
      </c>
      <c r="AC45" s="8">
        <v>26</v>
      </c>
      <c r="AE45" s="64" t="s">
        <v>143</v>
      </c>
      <c r="AG45" s="39">
        <f t="shared" si="11"/>
        <v>0</v>
      </c>
      <c r="AI45" s="39"/>
      <c r="AK45" s="39"/>
      <c r="AM45" s="39"/>
      <c r="AO45" s="39"/>
      <c r="AQ45" s="39"/>
      <c r="AS45" s="39"/>
      <c r="AU45" s="39"/>
      <c r="AW45" s="39">
        <f t="shared" si="12"/>
        <v>0</v>
      </c>
      <c r="AY45" s="39">
        <f t="shared" si="13"/>
        <v>0</v>
      </c>
      <c r="BF45" s="9"/>
    </row>
    <row r="46" spans="2:58">
      <c r="B46" s="8">
        <v>27</v>
      </c>
      <c r="D46" s="65" t="s">
        <v>95</v>
      </c>
      <c r="F46" s="39">
        <f>+'Sch 1.1'!F44</f>
        <v>43682224</v>
      </c>
      <c r="G46" s="4"/>
      <c r="H46" s="39">
        <f>+'3.1 Slippage'!H24</f>
        <v>-112869</v>
      </c>
      <c r="I46" s="4"/>
      <c r="J46" s="39"/>
      <c r="K46" s="4"/>
      <c r="L46" s="39"/>
      <c r="M46" s="4"/>
      <c r="N46" s="39"/>
      <c r="O46" s="4"/>
      <c r="P46" s="39"/>
      <c r="Q46" s="4"/>
      <c r="R46" s="39"/>
      <c r="S46" s="4"/>
      <c r="T46" s="39"/>
      <c r="U46" s="4"/>
      <c r="V46" s="39"/>
      <c r="W46" s="4"/>
      <c r="X46" s="39"/>
      <c r="Y46" s="4"/>
      <c r="Z46" s="39">
        <f t="shared" si="10"/>
        <v>-112869</v>
      </c>
      <c r="AC46" s="8">
        <v>27</v>
      </c>
      <c r="AE46" s="65" t="s">
        <v>95</v>
      </c>
      <c r="AG46" s="39">
        <f t="shared" si="11"/>
        <v>-112869</v>
      </c>
      <c r="AI46" s="39"/>
      <c r="AK46" s="39"/>
      <c r="AM46" s="39"/>
      <c r="AO46" s="39"/>
      <c r="AQ46" s="39"/>
      <c r="AS46" s="39"/>
      <c r="AU46" s="39"/>
      <c r="AW46" s="39">
        <f t="shared" si="12"/>
        <v>-112869</v>
      </c>
      <c r="AY46" s="39">
        <f t="shared" si="13"/>
        <v>43569355</v>
      </c>
      <c r="BA46" s="70" t="s">
        <v>109</v>
      </c>
      <c r="BC46" s="70" t="s">
        <v>65</v>
      </c>
      <c r="BD46" s="396" t="s">
        <v>76</v>
      </c>
      <c r="BF46" s="9"/>
    </row>
    <row r="47" spans="2:58">
      <c r="B47" s="8">
        <v>28</v>
      </c>
      <c r="D47" s="65" t="s">
        <v>77</v>
      </c>
      <c r="F47" s="39">
        <f>+'Sch 1.1'!F45</f>
        <v>24634790</v>
      </c>
      <c r="G47" s="4"/>
      <c r="H47" s="39">
        <f>+'3.1 Slippage'!H25</f>
        <v>282655</v>
      </c>
      <c r="I47" s="4"/>
      <c r="J47" s="39"/>
      <c r="K47" s="4"/>
      <c r="L47" s="39"/>
      <c r="M47" s="4"/>
      <c r="N47" s="39">
        <f>+'3.6 Late Pymt'!H22</f>
        <v>84178</v>
      </c>
      <c r="O47" s="4"/>
      <c r="P47" s="39">
        <f>+'3.7 401k'!H22</f>
        <v>503700</v>
      </c>
      <c r="Q47" s="4"/>
      <c r="R47" s="39">
        <f>+'3.8 D&amp;O'!H22</f>
        <v>34630</v>
      </c>
      <c r="S47" s="4"/>
      <c r="T47" s="39">
        <f>+'3.9 Dues'!H29</f>
        <v>612547</v>
      </c>
      <c r="U47" s="4"/>
      <c r="V47" s="39">
        <f>+'3.10 Legal'!H24</f>
        <v>110286</v>
      </c>
      <c r="W47" s="4"/>
      <c r="X47" s="39">
        <f>+'3.11 Rebate'!H22</f>
        <v>52585</v>
      </c>
      <c r="Y47" s="4"/>
      <c r="Z47" s="39">
        <f t="shared" si="10"/>
        <v>1680581</v>
      </c>
      <c r="AC47" s="8">
        <v>28</v>
      </c>
      <c r="AE47" s="65" t="s">
        <v>77</v>
      </c>
      <c r="AG47" s="39">
        <f t="shared" si="11"/>
        <v>1680581</v>
      </c>
      <c r="AI47" s="39">
        <f>+'3.12 Econ Dev'!H22</f>
        <v>417297</v>
      </c>
      <c r="AK47" s="39">
        <f>+'3.13 Ed'!H22</f>
        <v>314370</v>
      </c>
      <c r="AM47" s="39">
        <f>+'3.14 ECR Credit'!H22</f>
        <v>109780</v>
      </c>
      <c r="AO47" s="39">
        <f>+'3.15 MMD'!H22</f>
        <v>3767821</v>
      </c>
      <c r="AQ47" s="39">
        <f>+'3.16 Storm'!H29</f>
        <v>116310</v>
      </c>
      <c r="AS47" s="39">
        <f>+'3.17  EDIT'!H43</f>
        <v>13817</v>
      </c>
      <c r="AU47" s="39">
        <f>+'3.18-Int Sychn'!H28</f>
        <v>442319</v>
      </c>
      <c r="AW47" s="39">
        <f t="shared" si="12"/>
        <v>6862295</v>
      </c>
      <c r="AY47" s="39">
        <f t="shared" si="13"/>
        <v>31497085</v>
      </c>
      <c r="BA47" s="200">
        <f>SUM(AG47:AS47)</f>
        <v>6419976</v>
      </c>
      <c r="BC47" s="200">
        <f>SUM(AG47:AU47)</f>
        <v>6862295</v>
      </c>
      <c r="BD47" s="200">
        <f>+BC47-BA47</f>
        <v>442319</v>
      </c>
      <c r="BF47" s="9"/>
    </row>
    <row r="48" spans="2:58">
      <c r="B48" s="8">
        <v>29</v>
      </c>
      <c r="D48" s="65" t="s">
        <v>137</v>
      </c>
      <c r="F48" s="6">
        <f>+'Sch 1.1'!F46</f>
        <v>0</v>
      </c>
      <c r="G48" s="4"/>
      <c r="H48" s="6"/>
      <c r="I48" s="4"/>
      <c r="J48" s="6"/>
      <c r="K48" s="4"/>
      <c r="L48" s="6"/>
      <c r="M48" s="4"/>
      <c r="N48" s="6"/>
      <c r="O48" s="4"/>
      <c r="P48" s="6"/>
      <c r="Q48" s="4"/>
      <c r="R48" s="6"/>
      <c r="S48" s="4"/>
      <c r="T48" s="6"/>
      <c r="U48" s="4"/>
      <c r="V48" s="6"/>
      <c r="W48" s="4"/>
      <c r="X48" s="6"/>
      <c r="Y48" s="4"/>
      <c r="Z48" s="6">
        <f t="shared" si="10"/>
        <v>0</v>
      </c>
      <c r="AC48" s="8">
        <v>29</v>
      </c>
      <c r="AE48" s="65" t="s">
        <v>137</v>
      </c>
      <c r="AG48" s="6">
        <f t="shared" si="11"/>
        <v>0</v>
      </c>
      <c r="AI48" s="6"/>
      <c r="AK48" s="6"/>
      <c r="AM48" s="6"/>
      <c r="AO48" s="6"/>
      <c r="AQ48" s="6"/>
      <c r="AS48" s="6"/>
      <c r="AU48" s="6"/>
      <c r="AW48" s="6">
        <f t="shared" si="12"/>
        <v>0</v>
      </c>
      <c r="AY48" s="6">
        <f t="shared" si="13"/>
        <v>0</v>
      </c>
      <c r="BF48" s="9"/>
    </row>
    <row r="49" spans="2:58">
      <c r="B49" s="8">
        <v>30</v>
      </c>
      <c r="D49" s="66" t="s">
        <v>33</v>
      </c>
      <c r="F49" s="11">
        <f>SUM(F43:F48)</f>
        <v>1221911083</v>
      </c>
      <c r="G49" s="4"/>
      <c r="H49" s="11">
        <f>SUM(H43:H48)</f>
        <v>-474978</v>
      </c>
      <c r="J49" s="11">
        <f>SUM(J43:J48)</f>
        <v>0</v>
      </c>
      <c r="L49" s="11">
        <f>SUM(L43:L48)</f>
        <v>0</v>
      </c>
      <c r="N49" s="11">
        <f>SUM(N43:N48)</f>
        <v>84178</v>
      </c>
      <c r="P49" s="11">
        <f>SUM(P43:P48)</f>
        <v>-1515138</v>
      </c>
      <c r="R49" s="11">
        <f>SUM(R43:R48)</f>
        <v>-104168</v>
      </c>
      <c r="T49" s="11">
        <f>SUM(T43:T48)</f>
        <v>-1842552.212361264</v>
      </c>
      <c r="V49" s="11">
        <f>SUM(V43:V48)</f>
        <v>-331741.63018065883</v>
      </c>
      <c r="X49" s="11">
        <f>SUM(X43:X48)</f>
        <v>-158179</v>
      </c>
      <c r="Z49" s="11">
        <f>SUM(Z43:Z48)</f>
        <v>-4342578.8425419228</v>
      </c>
      <c r="AC49" s="8">
        <v>30</v>
      </c>
      <c r="AE49" s="66" t="s">
        <v>33</v>
      </c>
      <c r="AG49" s="11">
        <f>+AG30-AG47</f>
        <v>-88036746.511231437</v>
      </c>
      <c r="AI49" s="11">
        <f>SUM(AI43:AI48)</f>
        <v>-1255237</v>
      </c>
      <c r="AK49" s="11">
        <f>SUM(AK43:AK48)</f>
        <v>-945630</v>
      </c>
      <c r="AM49" s="11">
        <f>SUM(AM43:AM48)</f>
        <v>-330220</v>
      </c>
      <c r="AO49" s="11">
        <f>SUM(AO43:AO48)</f>
        <v>-11333665</v>
      </c>
      <c r="AQ49" s="11">
        <f>SUM(AQ43:AQ48)</f>
        <v>-349860.20000000007</v>
      </c>
      <c r="AS49" s="11">
        <f>SUM(AS44:AS48)</f>
        <v>-1429418.4365853658</v>
      </c>
      <c r="AU49" s="11">
        <f>SUM(AU43:AU48)</f>
        <v>442319</v>
      </c>
      <c r="AW49" s="11">
        <f>SUM(AW43:AW48)</f>
        <v>-19544290.479127288</v>
      </c>
      <c r="AY49" s="11">
        <f>SUM(AY43:AY48)</f>
        <v>1202366792.5208726</v>
      </c>
      <c r="BF49" s="9"/>
    </row>
    <row r="50" spans="2:58">
      <c r="B50" s="8"/>
      <c r="D50" s="14"/>
      <c r="F50" s="39"/>
      <c r="G50" s="4"/>
      <c r="H50" s="39"/>
      <c r="J50" s="39"/>
      <c r="L50" s="39"/>
      <c r="N50" s="39"/>
      <c r="P50" s="39"/>
      <c r="R50" s="39"/>
      <c r="T50" s="39"/>
      <c r="V50" s="39"/>
      <c r="X50" s="39"/>
      <c r="Z50" s="39"/>
      <c r="AC50" s="8"/>
      <c r="AE50" s="14"/>
      <c r="AG50" s="39"/>
      <c r="AI50" s="39"/>
      <c r="AK50" s="39"/>
      <c r="AM50" s="39"/>
      <c r="AO50" s="39"/>
      <c r="AQ50" s="39"/>
      <c r="AS50" s="39"/>
      <c r="AU50" s="39"/>
      <c r="AW50" s="39"/>
      <c r="AY50" s="39"/>
      <c r="BF50" s="9"/>
    </row>
    <row r="51" spans="2:58">
      <c r="B51" s="8">
        <v>31</v>
      </c>
      <c r="D51" s="38" t="s">
        <v>58</v>
      </c>
      <c r="F51" s="23">
        <f>+F40-F49</f>
        <v>225740344</v>
      </c>
      <c r="G51" s="4"/>
      <c r="H51" s="23">
        <f>+H40-H49</f>
        <v>474733</v>
      </c>
      <c r="J51" s="23">
        <f>+J40-J49</f>
        <v>0</v>
      </c>
      <c r="L51" s="23">
        <f>+L40-L49</f>
        <v>0</v>
      </c>
      <c r="N51" s="23">
        <f>+N40-N49</f>
        <v>253208</v>
      </c>
      <c r="P51" s="23">
        <f>+P40-P49</f>
        <v>1515138</v>
      </c>
      <c r="R51" s="23">
        <f>+R40-R49</f>
        <v>104168</v>
      </c>
      <c r="T51" s="23">
        <f>+T40-T49</f>
        <v>1842552.212361264</v>
      </c>
      <c r="V51" s="23">
        <f>+V40-V49</f>
        <v>331741.63018065883</v>
      </c>
      <c r="X51" s="23">
        <f>+X40-X49</f>
        <v>158179</v>
      </c>
      <c r="Z51" s="23">
        <f>+Z40-Z49</f>
        <v>4679719.8425419228</v>
      </c>
      <c r="AC51" s="8">
        <v>31</v>
      </c>
      <c r="AE51" s="38" t="s">
        <v>58</v>
      </c>
      <c r="AG51" s="23">
        <f>+AG40-AG49</f>
        <v>88373887.511231437</v>
      </c>
      <c r="AI51" s="23">
        <f>+AI40-AI49</f>
        <v>1255237</v>
      </c>
      <c r="AK51" s="23">
        <f>+AK40-AK49</f>
        <v>945630</v>
      </c>
      <c r="AM51" s="23">
        <f>+AM40-AM49</f>
        <v>330220</v>
      </c>
      <c r="AO51" s="23">
        <f>+AO40-AO49</f>
        <v>11333665</v>
      </c>
      <c r="AQ51" s="23">
        <f>+AQ40-AQ49</f>
        <v>349860.20000000007</v>
      </c>
      <c r="AS51" s="23">
        <f>+AS40-AS49</f>
        <v>1429418.4365853658</v>
      </c>
      <c r="AU51" s="23">
        <f>+AU40-AU49</f>
        <v>-442319</v>
      </c>
      <c r="AW51" s="23">
        <f>+AW40-AW49</f>
        <v>19881431.479127288</v>
      </c>
      <c r="AY51" s="23">
        <f>+AY40-AY49</f>
        <v>245621775.47912741</v>
      </c>
      <c r="BF51" s="9"/>
    </row>
    <row r="52" spans="2:58">
      <c r="B52" s="8"/>
      <c r="D52" s="38"/>
      <c r="F52" s="23"/>
      <c r="G52" s="4"/>
      <c r="H52" s="23"/>
      <c r="J52" s="23"/>
      <c r="L52" s="23"/>
      <c r="N52" s="23"/>
      <c r="P52" s="23"/>
      <c r="R52" s="23"/>
      <c r="T52" s="23"/>
      <c r="V52" s="23"/>
      <c r="X52" s="23"/>
      <c r="Z52" s="23"/>
      <c r="AC52" s="8"/>
      <c r="AE52" s="38"/>
      <c r="AG52" s="23"/>
      <c r="AI52" s="23"/>
      <c r="AK52" s="23"/>
      <c r="AM52" s="23"/>
      <c r="AO52" s="23"/>
      <c r="AQ52" s="23"/>
      <c r="AS52" s="23"/>
      <c r="AU52" s="23"/>
      <c r="AW52" s="23"/>
      <c r="AY52" s="23"/>
      <c r="BF52" s="9"/>
    </row>
    <row r="53" spans="2:58">
      <c r="B53" s="8">
        <v>32</v>
      </c>
      <c r="D53" s="38" t="s">
        <v>82</v>
      </c>
      <c r="F53" s="9">
        <f>+F35-F51</f>
        <v>84117527.53980267</v>
      </c>
      <c r="G53" s="4"/>
      <c r="H53" s="9">
        <f>+H35-H51</f>
        <v>-2027085.8772530374</v>
      </c>
      <c r="I53" s="4"/>
      <c r="J53" s="9">
        <f>+J35-J51</f>
        <v>-17289.961513544553</v>
      </c>
      <c r="K53" s="4"/>
      <c r="L53" s="9">
        <f>+L35-L51</f>
        <v>-4629552.4303248348</v>
      </c>
      <c r="M53" s="4"/>
      <c r="N53" s="9">
        <f>+N35-N51</f>
        <v>-253208</v>
      </c>
      <c r="O53" s="4"/>
      <c r="P53" s="9">
        <f>+P35-P51</f>
        <v>-1515138</v>
      </c>
      <c r="Q53" s="4"/>
      <c r="R53" s="9">
        <f>+R35-R51</f>
        <v>-104168</v>
      </c>
      <c r="S53" s="4"/>
      <c r="T53" s="9">
        <f>+T35-T51</f>
        <v>-1842552.212361264</v>
      </c>
      <c r="U53" s="4"/>
      <c r="V53" s="9">
        <f>+V35-V51</f>
        <v>-331741.63018065883</v>
      </c>
      <c r="W53" s="4"/>
      <c r="X53" s="9">
        <f>+X35-X51</f>
        <v>-158179</v>
      </c>
      <c r="Y53" s="4"/>
      <c r="Z53" s="9">
        <f>+Z35-Z51</f>
        <v>-10878915.11163334</v>
      </c>
      <c r="AC53" s="8">
        <v>32</v>
      </c>
      <c r="AE53" s="38" t="s">
        <v>82</v>
      </c>
      <c r="AG53" s="9">
        <f>+AG35-AG51</f>
        <v>-94573082.78032285</v>
      </c>
      <c r="AI53" s="9">
        <f>+AI35-AI51</f>
        <v>-1255237</v>
      </c>
      <c r="AK53" s="9">
        <f>+AK35-AK51</f>
        <v>-945630</v>
      </c>
      <c r="AM53" s="9">
        <f>+AM35-AM51</f>
        <v>-330220</v>
      </c>
      <c r="AO53" s="9">
        <f>+AO35-AO51</f>
        <v>-11333665</v>
      </c>
      <c r="AQ53" s="9">
        <f>+AQ35-AQ51</f>
        <v>-349860.20000000007</v>
      </c>
      <c r="AS53" s="9">
        <f>+AS35-AS51</f>
        <v>-1429418.4365853658</v>
      </c>
      <c r="AU53" s="9">
        <f>+AU35-AU51</f>
        <v>442319</v>
      </c>
      <c r="AW53" s="9">
        <f>+AW35-AW51</f>
        <v>-26080626.748218704</v>
      </c>
      <c r="AY53" s="9">
        <f>+AY35-AY51</f>
        <v>42441096.387583792</v>
      </c>
      <c r="BF53" s="9"/>
    </row>
    <row r="54" spans="2:58">
      <c r="B54" s="8">
        <v>33</v>
      </c>
      <c r="D54" s="65" t="s">
        <v>559</v>
      </c>
      <c r="F54" s="19">
        <f>+'Sch 1.1'!F52</f>
        <v>1.3393561141914665</v>
      </c>
      <c r="G54" s="4"/>
      <c r="H54" s="19">
        <f>+$Z$54</f>
        <v>1.3393561141914665</v>
      </c>
      <c r="I54" s="4"/>
      <c r="J54" s="19">
        <f>+$Z$54</f>
        <v>1.3393561141914665</v>
      </c>
      <c r="K54" s="4"/>
      <c r="L54" s="19">
        <f>+$Z$54</f>
        <v>1.3393561141914665</v>
      </c>
      <c r="M54" s="4"/>
      <c r="N54" s="19">
        <f>+$Z$54</f>
        <v>1.3393561141914665</v>
      </c>
      <c r="O54" s="4"/>
      <c r="P54" s="19">
        <f>+$Z$54</f>
        <v>1.3393561141914665</v>
      </c>
      <c r="Q54" s="4"/>
      <c r="R54" s="19">
        <f>+$Z$54</f>
        <v>1.3393561141914665</v>
      </c>
      <c r="S54" s="4"/>
      <c r="T54" s="19">
        <f>+$Z$54</f>
        <v>1.3393561141914665</v>
      </c>
      <c r="U54" s="4"/>
      <c r="V54" s="19">
        <f>+$Z$54</f>
        <v>1.3393561141914665</v>
      </c>
      <c r="W54" s="4"/>
      <c r="X54" s="19">
        <f>+$Z$54</f>
        <v>1.3393561141914665</v>
      </c>
      <c r="Y54" s="4"/>
      <c r="Z54" s="19">
        <f>+'Sch 1.1'!J52</f>
        <v>1.3393561141914665</v>
      </c>
      <c r="AC54" s="8">
        <v>33</v>
      </c>
      <c r="AE54" s="65" t="s">
        <v>559</v>
      </c>
      <c r="AG54" s="19">
        <f>+$Z$54</f>
        <v>1.3393561141914665</v>
      </c>
      <c r="AI54" s="19">
        <f>+$Z$54</f>
        <v>1.3393561141914665</v>
      </c>
      <c r="AK54" s="19">
        <f>+$Z$54</f>
        <v>1.3393561141914665</v>
      </c>
      <c r="AM54" s="19">
        <f>+$Z$54</f>
        <v>1.3393561141914665</v>
      </c>
      <c r="AO54" s="19">
        <f>+$Z$54</f>
        <v>1.3393561141914665</v>
      </c>
      <c r="AQ54" s="19">
        <f>+$Z$54</f>
        <v>1.3393561141914665</v>
      </c>
      <c r="AS54" s="19">
        <f>+$Z$54</f>
        <v>1.3393561141914665</v>
      </c>
      <c r="AU54" s="19">
        <f>+$Z$54</f>
        <v>1.3393561141914665</v>
      </c>
      <c r="AW54" s="19">
        <f>+$Z$54</f>
        <v>1.3393561141914665</v>
      </c>
      <c r="AY54" s="19">
        <f>+$Z$54</f>
        <v>1.3393561141914665</v>
      </c>
      <c r="BF54" s="9"/>
    </row>
    <row r="55" spans="2:58">
      <c r="B55" s="8"/>
      <c r="D55" s="65"/>
      <c r="F55" s="90"/>
      <c r="G55" s="4"/>
      <c r="H55" s="90"/>
      <c r="I55" s="4"/>
      <c r="J55" s="90"/>
      <c r="K55" s="4"/>
      <c r="L55" s="90"/>
      <c r="M55" s="4"/>
      <c r="N55" s="90"/>
      <c r="O55" s="4"/>
      <c r="P55" s="90"/>
      <c r="Q55" s="4"/>
      <c r="R55" s="90"/>
      <c r="S55" s="4"/>
      <c r="T55" s="90"/>
      <c r="U55" s="4"/>
      <c r="V55" s="90"/>
      <c r="W55" s="4"/>
      <c r="X55" s="90"/>
      <c r="Y55" s="4"/>
      <c r="Z55" s="90"/>
      <c r="AC55" s="8"/>
      <c r="AE55" s="65"/>
      <c r="AG55" s="90"/>
      <c r="AI55" s="90"/>
      <c r="AK55" s="90"/>
      <c r="AM55" s="90"/>
      <c r="AO55" s="90"/>
      <c r="AQ55" s="90"/>
      <c r="AS55" s="90"/>
      <c r="AU55" s="90"/>
      <c r="AW55" s="90"/>
      <c r="AY55" s="90"/>
      <c r="BF55" s="9"/>
    </row>
    <row r="56" spans="2:58" ht="14" thickBot="1">
      <c r="B56" s="8">
        <v>34</v>
      </c>
      <c r="D56" s="38" t="s">
        <v>114</v>
      </c>
      <c r="F56" s="15">
        <f>+F53*F54</f>
        <v>112663324.82110377</v>
      </c>
      <c r="G56" s="4"/>
      <c r="H56" s="15">
        <f>+H53*H54</f>
        <v>-2714989.8636900284</v>
      </c>
      <c r="I56" s="4"/>
      <c r="J56" s="15">
        <f>+J53*J54</f>
        <v>-23157.41566730104</v>
      </c>
      <c r="K56" s="4"/>
      <c r="L56" s="15">
        <f>+L53*L54</f>
        <v>-6200619.3535255305</v>
      </c>
      <c r="M56" s="4"/>
      <c r="N56" s="15">
        <f>+N53*N54</f>
        <v>-339135.68296219286</v>
      </c>
      <c r="O56" s="4"/>
      <c r="P56" s="15">
        <f>+P53*P54</f>
        <v>-2029309.3441438302</v>
      </c>
      <c r="Q56" s="4"/>
      <c r="R56" s="15">
        <f>+R53*R54</f>
        <v>-139518.04770309667</v>
      </c>
      <c r="S56" s="4"/>
      <c r="T56" s="15">
        <f>+T53*T54</f>
        <v>-2467833.5713430722</v>
      </c>
      <c r="U56" s="4"/>
      <c r="V56" s="15">
        <f>+V53*V54</f>
        <v>-444320.18071430974</v>
      </c>
      <c r="W56" s="4"/>
      <c r="X56" s="15">
        <f>+X53*X54</f>
        <v>-211858.01078669197</v>
      </c>
      <c r="Y56" s="4"/>
      <c r="Z56" s="15">
        <f>+Z53*Z54</f>
        <v>-14570741.470536053</v>
      </c>
      <c r="AC56" s="8">
        <v>34</v>
      </c>
      <c r="AE56" s="38" t="s">
        <v>114</v>
      </c>
      <c r="AG56" s="15">
        <f>+AG53*AG54</f>
        <v>-126667036.6597611</v>
      </c>
      <c r="AI56" s="15">
        <f>+AI53*AI54</f>
        <v>-1681209.3507093538</v>
      </c>
      <c r="AJ56" s="94"/>
      <c r="AK56" s="15">
        <f>+AK53*AK54</f>
        <v>-1266535.3222628764</v>
      </c>
      <c r="AL56" s="94"/>
      <c r="AM56" s="15">
        <f>+AM53*AM54</f>
        <v>-442282.17602830607</v>
      </c>
      <c r="AN56" s="94"/>
      <c r="AO56" s="15">
        <f>+AO53*AO54</f>
        <v>-15179813.513947828</v>
      </c>
      <c r="AP56" s="94"/>
      <c r="AQ56" s="15">
        <f>+AQ53*AQ54</f>
        <v>-468587.39798224939</v>
      </c>
      <c r="AR56" s="94"/>
      <c r="AS56" s="15">
        <f>+AS53*AS54</f>
        <v>-1914500.3227786168</v>
      </c>
      <c r="AT56" s="94"/>
      <c r="AU56" s="15">
        <f>+AU53*AU54</f>
        <v>592422.65707305528</v>
      </c>
      <c r="AV56" s="94"/>
      <c r="AW56" s="15">
        <f>+AW53*AW54</f>
        <v>-34931246.897172228</v>
      </c>
      <c r="AY56" s="15">
        <f>+AY53*AY54</f>
        <v>56843741.939699717</v>
      </c>
      <c r="BF56" s="9"/>
    </row>
    <row r="57" spans="2:58" ht="14" thickTop="1">
      <c r="B57" s="8"/>
      <c r="D57" s="268" t="s">
        <v>76</v>
      </c>
      <c r="F57" s="75">
        <f>+'Sch 1.1'!F53</f>
        <v>112663324.82110377</v>
      </c>
      <c r="G57" s="4"/>
      <c r="AC57" s="8"/>
      <c r="AE57" s="268" t="s">
        <v>76</v>
      </c>
      <c r="AW57" s="9"/>
      <c r="AY57" s="279">
        <f>+'Sch 1.1'!J53</f>
        <v>56843741.939699717</v>
      </c>
      <c r="BF57" s="9"/>
    </row>
    <row r="58" spans="2:58">
      <c r="B58" s="8">
        <v>35</v>
      </c>
      <c r="D58" s="35" t="s">
        <v>106</v>
      </c>
      <c r="H58" s="278">
        <f>+H56/$F$56</f>
        <v>-2.4098257955737733E-2</v>
      </c>
      <c r="I58" s="4"/>
      <c r="J58" s="278">
        <f>+J56/$F$56</f>
        <v>-2.0554528906431902E-4</v>
      </c>
      <c r="K58" s="4"/>
      <c r="L58" s="278">
        <f>+L56/$F$56</f>
        <v>-5.5036715482801452E-2</v>
      </c>
      <c r="M58" s="4"/>
      <c r="N58" s="278">
        <f>+N56/$F$56</f>
        <v>-3.0101693119806362E-3</v>
      </c>
      <c r="O58" s="4"/>
      <c r="P58" s="278">
        <f>+P56/$F$56</f>
        <v>-1.8012155662600379E-2</v>
      </c>
      <c r="Q58" s="4"/>
      <c r="R58" s="278">
        <f>+R56/$F$56</f>
        <v>-1.2383625986951395E-3</v>
      </c>
      <c r="S58" s="4"/>
      <c r="T58" s="278">
        <f>+T56/$F$56</f>
        <v>-2.1904497983365079E-2</v>
      </c>
      <c r="U58" s="4"/>
      <c r="V58" s="278">
        <f>+V56/$F$56</f>
        <v>-3.9437872210840432E-3</v>
      </c>
      <c r="W58" s="4"/>
      <c r="X58" s="278">
        <f>+X56/$F$56</f>
        <v>-1.8804523222006612E-3</v>
      </c>
      <c r="Y58" s="4"/>
      <c r="Z58" s="23"/>
      <c r="AC58" s="8">
        <v>35</v>
      </c>
      <c r="AE58" s="35" t="s">
        <v>106</v>
      </c>
      <c r="AI58" s="278">
        <f>+AI56/$F$56</f>
        <v>-1.4922419104699053E-2</v>
      </c>
      <c r="AK58" s="278">
        <f>+AK56/$F$56</f>
        <v>-1.1241771217687628E-2</v>
      </c>
      <c r="AM58" s="278">
        <f>+AM56/$F$56</f>
        <v>-3.9256978855417117E-3</v>
      </c>
      <c r="AO58" s="278">
        <f>+AO56/$F$56</f>
        <v>-0.13473606906286142</v>
      </c>
      <c r="AQ58" s="278">
        <f>+AQ56/$F$56</f>
        <v>-4.1591831123953746E-3</v>
      </c>
      <c r="AS58" s="278">
        <f>+AS56/$F$56</f>
        <v>-1.6993110453811126E-2</v>
      </c>
      <c r="AU58" s="278">
        <f>+AU56/$F$56</f>
        <v>5.2583452335864707E-3</v>
      </c>
      <c r="AY58" s="93">
        <f>+AY57-AY56</f>
        <v>0</v>
      </c>
    </row>
    <row r="59" spans="2:58">
      <c r="B59" s="8"/>
      <c r="D59" s="38"/>
      <c r="H59" s="76"/>
      <c r="I59" s="4"/>
      <c r="J59" s="76"/>
      <c r="K59" s="4"/>
      <c r="L59" s="76"/>
      <c r="M59" s="40"/>
      <c r="N59" s="76"/>
      <c r="O59" s="40"/>
      <c r="P59" s="76"/>
      <c r="Q59" s="40"/>
      <c r="R59" s="76"/>
      <c r="S59" s="40"/>
      <c r="T59" s="76"/>
      <c r="U59" s="40"/>
      <c r="V59" s="76"/>
      <c r="W59" s="40"/>
      <c r="X59" s="76"/>
      <c r="Y59" s="4"/>
      <c r="Z59" s="39"/>
      <c r="AC59" s="8"/>
    </row>
    <row r="60" spans="2:58" ht="14">
      <c r="B60" s="8"/>
      <c r="E60" s="24"/>
      <c r="F60" s="33" t="s">
        <v>39</v>
      </c>
      <c r="G60" s="24"/>
      <c r="H60" s="33" t="str">
        <f>+'3.1 Slippage'!B7</f>
        <v>Slippage</v>
      </c>
      <c r="I60" s="24"/>
      <c r="J60" s="24"/>
      <c r="K60" s="24"/>
      <c r="L60" s="24"/>
      <c r="M60" s="24"/>
      <c r="N60" s="33" t="s">
        <v>46</v>
      </c>
      <c r="P60" s="33" t="str">
        <f>+'3.7 401k'!B7</f>
        <v>Employee Retirement Plans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C60" s="24"/>
      <c r="AD60" s="24"/>
      <c r="AE60" s="24"/>
      <c r="AF60" s="24"/>
      <c r="AG60" s="33" t="s">
        <v>53</v>
      </c>
      <c r="AI60" s="33" t="str">
        <f>+'3.12 Econ Dev'!B7</f>
        <v>Economic Development</v>
      </c>
      <c r="AQ60" s="33" t="s">
        <v>324</v>
      </c>
      <c r="AS60" s="33" t="str">
        <f>+'3.16 Storm'!B7</f>
        <v>Amortization of Storm Damage Regulatory Asset</v>
      </c>
      <c r="AT60" s="24"/>
      <c r="AU60" s="24"/>
      <c r="AV60" s="24"/>
      <c r="AW60" s="24"/>
      <c r="AX60" s="24"/>
      <c r="AY60" s="24"/>
    </row>
    <row r="61" spans="2:58">
      <c r="B61" s="8"/>
      <c r="F61" s="33" t="s">
        <v>40</v>
      </c>
      <c r="H61" s="27" t="s">
        <v>345</v>
      </c>
      <c r="N61" s="33" t="s">
        <v>47</v>
      </c>
      <c r="P61" s="33" t="str">
        <f>+'3.8 D&amp;O'!B7</f>
        <v>Directors and Officers Liability Insurance</v>
      </c>
      <c r="AC61" s="8"/>
      <c r="AG61" s="27" t="s">
        <v>54</v>
      </c>
      <c r="AI61" s="33" t="str">
        <f>+'3.13 Ed'!B7</f>
        <v>Customer Education</v>
      </c>
      <c r="AQ61" s="27" t="s">
        <v>327</v>
      </c>
      <c r="AS61" s="33" t="str">
        <f>+'3.17  EDIT'!B7</f>
        <v>Amortization of Tax Reform Regulatory Liability</v>
      </c>
    </row>
    <row r="62" spans="2:58">
      <c r="B62" s="8"/>
      <c r="F62" s="33" t="s">
        <v>41</v>
      </c>
      <c r="H62" s="27" t="s">
        <v>345</v>
      </c>
      <c r="N62" s="33" t="s">
        <v>50</v>
      </c>
      <c r="P62" s="33" t="str">
        <f>+'3.9 Dues'!B7</f>
        <v>Dues for EEI and EPRI</v>
      </c>
      <c r="AC62" s="8"/>
      <c r="AG62" s="33" t="s">
        <v>55</v>
      </c>
      <c r="AI62" s="33" t="str">
        <f>+'3.14 ECR Credit'!B7</f>
        <v>Baseline ECR Beneficial Reuse Operating Expense Credit</v>
      </c>
      <c r="AQ62" s="33" t="s">
        <v>332</v>
      </c>
      <c r="AS62" s="33" t="str">
        <f>+'3.18-Int Sychn'!B7</f>
        <v>Interest Synchronization</v>
      </c>
    </row>
    <row r="63" spans="2:58">
      <c r="B63" s="8"/>
      <c r="F63" s="33" t="s">
        <v>42</v>
      </c>
      <c r="H63" s="33" t="str">
        <f>+'3.4 PHFU'!B7</f>
        <v xml:space="preserve">Plant Held for Future Use </v>
      </c>
      <c r="N63" s="33" t="s">
        <v>51</v>
      </c>
      <c r="P63" s="33" t="str">
        <f>+'3.10 Legal'!B7</f>
        <v>Outside Counsel Expense</v>
      </c>
      <c r="AG63" s="27" t="s">
        <v>56</v>
      </c>
      <c r="AI63" s="33" t="str">
        <f>+'3.15 MMD'!B7</f>
        <v xml:space="preserve">Merger Mitigation Depancaking </v>
      </c>
    </row>
    <row r="64" spans="2:58" ht="14">
      <c r="B64" s="8"/>
      <c r="F64" s="33" t="s">
        <v>43</v>
      </c>
      <c r="G64" s="24"/>
      <c r="H64" s="33" t="str">
        <f>+'3.5 CWC'!B7</f>
        <v xml:space="preserve">Working Capital </v>
      </c>
      <c r="N64" s="33" t="s">
        <v>52</v>
      </c>
      <c r="P64" s="33" t="str">
        <f>+'3.11 Rebate'!B7</f>
        <v>Credit Card Rebate</v>
      </c>
    </row>
    <row r="65" spans="2:33">
      <c r="B65" s="8"/>
      <c r="F65" s="33" t="s">
        <v>44</v>
      </c>
      <c r="H65" s="33" t="str">
        <f>+'3.6 Late Pymt'!B7</f>
        <v xml:space="preserve">Late Payment Credit </v>
      </c>
    </row>
    <row r="66" spans="2:33">
      <c r="B66" s="8"/>
    </row>
    <row r="67" spans="2:33">
      <c r="B67" s="8"/>
      <c r="AG67" s="27"/>
    </row>
    <row r="68" spans="2:33">
      <c r="B68" s="8"/>
    </row>
    <row r="69" spans="2:33">
      <c r="B69" s="8"/>
    </row>
    <row r="70" spans="2:33">
      <c r="B70" s="8"/>
    </row>
    <row r="71" spans="2:33">
      <c r="B71" s="8"/>
    </row>
    <row r="72" spans="2:33">
      <c r="B72" s="8"/>
    </row>
    <row r="73" spans="2:33">
      <c r="B73" s="8"/>
    </row>
    <row r="74" spans="2:33">
      <c r="B74" s="8"/>
    </row>
    <row r="75" spans="2:33">
      <c r="B75" s="8"/>
    </row>
    <row r="76" spans="2:33">
      <c r="B76" s="8"/>
    </row>
    <row r="77" spans="2:33">
      <c r="B77" s="8"/>
    </row>
    <row r="78" spans="2:33">
      <c r="B78" s="8"/>
    </row>
    <row r="79" spans="2:33">
      <c r="B79" s="8"/>
    </row>
    <row r="80" spans="2:33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</sheetData>
  <mergeCells count="2">
    <mergeCell ref="B1:Z1"/>
    <mergeCell ref="AC1:AY1"/>
  </mergeCells>
  <phoneticPr fontId="4" type="noConversion"/>
  <printOptions horizontalCentered="1"/>
  <pageMargins left="0.7" right="0.7" top="0.75" bottom="0.75" header="0.3" footer="0.3"/>
  <pageSetup scale="52" fitToHeight="2" orientation="landscape"/>
  <colBreaks count="2" manualBreakCount="2">
    <brk id="27" max="1048575" man="1"/>
    <brk id="52" max="1048575" man="1"/>
  </colBreaks>
  <ignoredErrors>
    <ignoredError sqref="AW43" evalError="1"/>
    <ignoredError sqref="Z19:Z21 AG19:AG21 AY19:AY2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2036-E76B-8D48-AFAE-082A7CCCB163}">
  <sheetPr codeName="Sheet9">
    <pageSetUpPr fitToPage="1"/>
  </sheetPr>
  <dimension ref="A1:U65"/>
  <sheetViews>
    <sheetView workbookViewId="0">
      <selection activeCell="F42" sqref="F42"/>
    </sheetView>
  </sheetViews>
  <sheetFormatPr baseColWidth="10" defaultColWidth="8.83203125" defaultRowHeight="13"/>
  <cols>
    <col min="1" max="1" width="3" style="33" customWidth="1"/>
    <col min="2" max="2" width="5.6640625" style="33" customWidth="1"/>
    <col min="3" max="3" width="1.33203125" style="33" customWidth="1"/>
    <col min="4" max="4" width="37.83203125" style="33" customWidth="1"/>
    <col min="5" max="5" width="1.33203125" style="33" customWidth="1"/>
    <col min="6" max="6" width="15.1640625" style="33" customWidth="1"/>
    <col min="7" max="7" width="1.33203125" style="33" customWidth="1"/>
    <col min="8" max="8" width="14" style="33" customWidth="1"/>
    <col min="9" max="9" width="1.33203125" style="33" customWidth="1"/>
    <col min="10" max="10" width="15.33203125" style="33" customWidth="1"/>
    <col min="11" max="11" width="2.83203125" style="33" customWidth="1"/>
    <col min="12" max="13" width="8.83203125" style="33"/>
    <col min="14" max="14" width="41.6640625" style="33" customWidth="1"/>
    <col min="15" max="15" width="15.1640625" style="33" customWidth="1"/>
    <col min="16" max="16" width="14.6640625" style="33" bestFit="1" customWidth="1"/>
    <col min="17" max="17" width="14.33203125" style="33" customWidth="1"/>
    <col min="18" max="18" width="2.1640625" style="33" customWidth="1"/>
    <col min="19" max="19" width="14.6640625" style="33" bestFit="1" customWidth="1"/>
    <col min="20" max="20" width="11.6640625" style="33" bestFit="1" customWidth="1"/>
    <col min="21" max="16384" width="8.83203125" style="33"/>
  </cols>
  <sheetData>
    <row r="1" spans="2:11" ht="20">
      <c r="B1" s="439" t="str">
        <f>+'Sch 1'!B1:J1</f>
        <v>-</v>
      </c>
      <c r="C1" s="439"/>
      <c r="D1" s="439"/>
      <c r="E1" s="439"/>
      <c r="F1" s="439"/>
      <c r="G1" s="439"/>
      <c r="H1" s="439"/>
      <c r="I1" s="439"/>
      <c r="J1" s="439"/>
      <c r="K1" s="24"/>
    </row>
    <row r="2" spans="2:11" ht="16">
      <c r="B2" s="159"/>
    </row>
    <row r="3" spans="2:11">
      <c r="B3" s="12" t="str">
        <f>+'Sch 1.1'!B3</f>
        <v>Kentucky Public Service Commission</v>
      </c>
      <c r="J3" s="183" t="str">
        <f>+'Sch 1.1'!J3</f>
        <v>Case No. 2018-00294</v>
      </c>
    </row>
    <row r="4" spans="2:11">
      <c r="I4" s="45"/>
      <c r="J4" s="36" t="s">
        <v>182</v>
      </c>
    </row>
    <row r="5" spans="2:11">
      <c r="B5" s="86" t="str">
        <f>+'Sch 1.1'!B5</f>
        <v>Kentucky Utilities Company</v>
      </c>
      <c r="I5" s="27"/>
      <c r="J5" s="36" t="s">
        <v>32</v>
      </c>
    </row>
    <row r="6" spans="2:11">
      <c r="B6" s="12" t="s">
        <v>39</v>
      </c>
    </row>
    <row r="7" spans="2:11">
      <c r="B7" s="27" t="s">
        <v>301</v>
      </c>
    </row>
    <row r="8" spans="2:11">
      <c r="B8" s="27"/>
    </row>
    <row r="9" spans="2:11">
      <c r="B9" s="12"/>
      <c r="C9" s="12"/>
      <c r="D9" s="12"/>
      <c r="E9" s="12"/>
      <c r="F9" s="263" t="s">
        <v>19</v>
      </c>
      <c r="G9" s="12"/>
      <c r="H9" s="263"/>
      <c r="I9" s="12"/>
      <c r="J9" s="263" t="s">
        <v>24</v>
      </c>
    </row>
    <row r="10" spans="2:11" ht="14" thickBot="1">
      <c r="B10" s="261" t="s">
        <v>18</v>
      </c>
      <c r="C10" s="263"/>
      <c r="D10" s="261" t="s">
        <v>17</v>
      </c>
      <c r="E10" s="263"/>
      <c r="F10" s="261" t="s">
        <v>60</v>
      </c>
      <c r="G10" s="263"/>
      <c r="H10" s="261" t="s">
        <v>20</v>
      </c>
      <c r="I10" s="263"/>
      <c r="J10" s="261" t="s">
        <v>25</v>
      </c>
    </row>
    <row r="11" spans="2:11">
      <c r="B11" s="263"/>
      <c r="C11" s="263"/>
      <c r="D11" s="12"/>
      <c r="E11" s="263"/>
      <c r="F11" s="263" t="s">
        <v>9</v>
      </c>
      <c r="G11" s="263"/>
      <c r="H11" s="263" t="s">
        <v>10</v>
      </c>
      <c r="I11" s="263"/>
      <c r="J11" s="5" t="s">
        <v>11</v>
      </c>
    </row>
    <row r="12" spans="2:11" ht="14" thickBot="1">
      <c r="B12" s="148">
        <v>1</v>
      </c>
      <c r="C12" s="263"/>
      <c r="D12" s="188" t="s">
        <v>21</v>
      </c>
      <c r="E12" s="263"/>
      <c r="F12" s="249"/>
      <c r="G12" s="262"/>
      <c r="H12" s="249"/>
      <c r="I12" s="262"/>
      <c r="J12" s="250"/>
    </row>
    <row r="13" spans="2:11" ht="14" thickBot="1">
      <c r="B13" s="148">
        <v>2</v>
      </c>
      <c r="C13" s="35"/>
      <c r="D13" s="35" t="s">
        <v>175</v>
      </c>
      <c r="E13" s="35"/>
      <c r="F13" s="248">
        <v>4099135883</v>
      </c>
      <c r="G13" s="262"/>
      <c r="H13" s="280">
        <f>+J13-F13</f>
        <v>-21624620</v>
      </c>
      <c r="I13" s="262"/>
      <c r="J13" s="248">
        <f>+P43</f>
        <v>4077511263</v>
      </c>
    </row>
    <row r="14" spans="2:11">
      <c r="B14" s="148"/>
      <c r="C14" s="35"/>
      <c r="D14" s="54"/>
      <c r="E14" s="35"/>
      <c r="F14" s="44"/>
      <c r="G14" s="44"/>
      <c r="H14" s="44"/>
      <c r="I14" s="44"/>
      <c r="J14" s="44"/>
    </row>
    <row r="15" spans="2:11" ht="14" thickBot="1">
      <c r="B15" s="148">
        <v>3</v>
      </c>
      <c r="C15" s="35"/>
      <c r="D15" s="12" t="s">
        <v>61</v>
      </c>
      <c r="E15" s="12"/>
      <c r="F15" s="124">
        <f>+F13</f>
        <v>4099135883</v>
      </c>
      <c r="G15" s="12"/>
      <c r="H15" s="124">
        <f>+J15-F15</f>
        <v>-21624620</v>
      </c>
      <c r="I15" s="12"/>
      <c r="J15" s="124">
        <f>+J13</f>
        <v>4077511263</v>
      </c>
    </row>
    <row r="16" spans="2:11" ht="14" thickTop="1">
      <c r="B16" s="148"/>
      <c r="C16" s="263"/>
      <c r="D16" s="12"/>
      <c r="E16" s="263"/>
      <c r="F16" s="263"/>
      <c r="G16" s="263"/>
      <c r="H16" s="263"/>
      <c r="I16" s="263"/>
      <c r="J16" s="263"/>
    </row>
    <row r="17" spans="1:17" ht="14" thickBot="1">
      <c r="B17" s="148">
        <v>4</v>
      </c>
      <c r="C17" s="263"/>
      <c r="D17" s="188" t="s">
        <v>93</v>
      </c>
      <c r="E17" s="263"/>
      <c r="F17" s="263"/>
      <c r="G17" s="263"/>
      <c r="H17" s="263"/>
      <c r="I17" s="263"/>
      <c r="J17" s="263"/>
    </row>
    <row r="18" spans="1:17" ht="14" thickBot="1">
      <c r="B18" s="148">
        <v>5</v>
      </c>
      <c r="C18" s="263"/>
      <c r="D18" s="45" t="s">
        <v>139</v>
      </c>
      <c r="E18" s="263"/>
      <c r="F18" s="198">
        <v>1408801019</v>
      </c>
      <c r="G18" s="263"/>
      <c r="H18" s="190">
        <f>+J18-F18</f>
        <v>-245</v>
      </c>
      <c r="I18" s="263"/>
      <c r="J18" s="198">
        <f>+P48</f>
        <v>1408800774</v>
      </c>
    </row>
    <row r="19" spans="1:17">
      <c r="A19" s="35"/>
      <c r="B19" s="148">
        <v>6</v>
      </c>
      <c r="C19" s="263"/>
      <c r="D19" s="27" t="s">
        <v>140</v>
      </c>
      <c r="E19" s="263"/>
      <c r="F19" s="271">
        <v>38850409</v>
      </c>
      <c r="G19" s="263"/>
      <c r="H19" s="150">
        <f>+J19-F19</f>
        <v>0</v>
      </c>
      <c r="I19" s="263"/>
      <c r="J19" s="271">
        <f>+P49</f>
        <v>38850409</v>
      </c>
      <c r="K19" s="151"/>
    </row>
    <row r="20" spans="1:17">
      <c r="A20" s="35"/>
      <c r="B20" s="148"/>
      <c r="C20" s="263"/>
      <c r="D20" s="12"/>
      <c r="E20" s="263"/>
      <c r="F20" s="272">
        <f>+F18+F19-1</f>
        <v>1447651427</v>
      </c>
      <c r="G20" s="263"/>
      <c r="H20" s="262"/>
      <c r="I20" s="263"/>
      <c r="J20" s="272">
        <f>+J18+J19</f>
        <v>1447651183</v>
      </c>
      <c r="K20" s="151"/>
    </row>
    <row r="21" spans="1:17" ht="14" thickBot="1">
      <c r="A21" s="35"/>
      <c r="B21" s="148">
        <v>7</v>
      </c>
      <c r="C21" s="263"/>
      <c r="D21" s="188" t="s">
        <v>94</v>
      </c>
      <c r="E21" s="263"/>
      <c r="F21" s="263"/>
      <c r="G21" s="263"/>
      <c r="H21" s="262"/>
      <c r="I21" s="263"/>
      <c r="J21" s="5"/>
      <c r="K21" s="168"/>
    </row>
    <row r="22" spans="1:17" ht="14" thickBot="1">
      <c r="B22" s="148">
        <v>8</v>
      </c>
      <c r="C22" s="263"/>
      <c r="D22" s="27" t="s">
        <v>141</v>
      </c>
      <c r="E22" s="263"/>
      <c r="F22" s="198">
        <v>884639921</v>
      </c>
      <c r="G22" s="263"/>
      <c r="H22" s="190">
        <f t="shared" ref="H22" si="0">+J22-F22</f>
        <v>-13912</v>
      </c>
      <c r="I22" s="263"/>
      <c r="J22" s="198">
        <f>+P52</f>
        <v>884626009</v>
      </c>
      <c r="K22" s="4"/>
    </row>
    <row r="23" spans="1:17" ht="14" thickBot="1">
      <c r="B23" s="148">
        <v>9</v>
      </c>
      <c r="C23" s="263"/>
      <c r="D23" s="27" t="s">
        <v>142</v>
      </c>
      <c r="E23" s="263"/>
      <c r="F23" s="271">
        <v>268954148</v>
      </c>
      <c r="G23" s="57"/>
      <c r="H23" s="273">
        <f>+J23-F23</f>
        <v>-630852</v>
      </c>
      <c r="I23" s="57"/>
      <c r="J23" s="271">
        <f>+P53</f>
        <v>268323296</v>
      </c>
      <c r="K23" s="4"/>
    </row>
    <row r="24" spans="1:17" s="35" customFormat="1" ht="14" thickBot="1">
      <c r="B24" s="148">
        <v>10</v>
      </c>
      <c r="C24" s="263"/>
      <c r="D24" s="27" t="s">
        <v>165</v>
      </c>
      <c r="E24" s="263"/>
      <c r="F24" s="271">
        <v>43682224</v>
      </c>
      <c r="G24" s="57"/>
      <c r="H24" s="273">
        <f t="shared" ref="H24:H25" si="1">+J24-F24</f>
        <v>-112869</v>
      </c>
      <c r="I24" s="57"/>
      <c r="J24" s="271">
        <f>+P54</f>
        <v>43569355</v>
      </c>
    </row>
    <row r="25" spans="1:17" s="35" customFormat="1" ht="14" thickBot="1">
      <c r="B25" s="148">
        <v>11</v>
      </c>
      <c r="C25" s="263"/>
      <c r="D25" s="27" t="s">
        <v>147</v>
      </c>
      <c r="E25" s="263"/>
      <c r="F25" s="271">
        <v>24634790</v>
      </c>
      <c r="G25" s="57"/>
      <c r="H25" s="273">
        <f t="shared" si="1"/>
        <v>282655</v>
      </c>
      <c r="I25" s="57"/>
      <c r="J25" s="271">
        <f>+P55</f>
        <v>24917445</v>
      </c>
    </row>
    <row r="26" spans="1:17" ht="14" thickBot="1">
      <c r="B26" s="148">
        <v>12</v>
      </c>
      <c r="C26" s="35"/>
      <c r="D26" s="27" t="s">
        <v>33</v>
      </c>
      <c r="E26" s="263"/>
      <c r="F26" s="272">
        <f>SUM(F22:F25)</f>
        <v>1221911083</v>
      </c>
      <c r="G26" s="57"/>
      <c r="H26" s="274">
        <f>+J26-F26</f>
        <v>-474978</v>
      </c>
      <c r="I26" s="57"/>
      <c r="J26" s="272">
        <f>SUM(J22:J25)</f>
        <v>1221436105</v>
      </c>
      <c r="K26" s="4"/>
    </row>
    <row r="27" spans="1:17" ht="14" thickTop="1">
      <c r="B27" s="148"/>
      <c r="C27" s="35"/>
      <c r="D27" s="35"/>
      <c r="E27" s="35"/>
      <c r="F27" s="44"/>
      <c r="G27" s="44"/>
      <c r="H27" s="44"/>
      <c r="I27" s="44"/>
      <c r="J27" s="44"/>
    </row>
    <row r="28" spans="1:17" ht="14" thickBot="1">
      <c r="B28" s="148">
        <v>13</v>
      </c>
      <c r="D28" s="140" t="s">
        <v>2</v>
      </c>
      <c r="E28" s="140"/>
      <c r="F28" s="275">
        <f>+F20-F26</f>
        <v>225740344</v>
      </c>
      <c r="G28" s="169"/>
      <c r="H28" s="276">
        <f>+J28-F28</f>
        <v>474734</v>
      </c>
      <c r="I28" s="277"/>
      <c r="J28" s="275">
        <f>+J20-J26</f>
        <v>226215078</v>
      </c>
    </row>
    <row r="29" spans="1:17" ht="14" thickTop="1">
      <c r="B29" s="148"/>
      <c r="C29" s="263"/>
      <c r="D29" s="12"/>
      <c r="E29" s="263"/>
      <c r="F29" s="263"/>
      <c r="G29" s="263"/>
      <c r="H29" s="263"/>
      <c r="I29" s="263"/>
      <c r="J29" s="5"/>
    </row>
    <row r="30" spans="1:17">
      <c r="Q30" s="4"/>
    </row>
    <row r="31" spans="1:17">
      <c r="B31" s="110" t="s">
        <v>74</v>
      </c>
      <c r="C31" s="70"/>
      <c r="D31" s="70"/>
      <c r="E31" s="70"/>
      <c r="F31" s="70"/>
      <c r="G31" s="70"/>
      <c r="H31" s="70"/>
      <c r="I31" s="70"/>
      <c r="J31" s="70"/>
      <c r="Q31" s="4"/>
    </row>
    <row r="32" spans="1:17">
      <c r="B32" s="64" t="s">
        <v>166</v>
      </c>
      <c r="C32" s="4"/>
      <c r="D32" s="4"/>
      <c r="E32" s="4"/>
      <c r="F32" s="4"/>
      <c r="G32" s="4"/>
      <c r="H32" s="4"/>
      <c r="I32" s="4"/>
      <c r="J32" s="4"/>
      <c r="K32" s="142"/>
      <c r="Q32" s="4"/>
    </row>
    <row r="33" spans="2:21">
      <c r="B33" s="64" t="s">
        <v>560</v>
      </c>
      <c r="C33" s="4"/>
      <c r="D33" s="4"/>
      <c r="E33" s="4"/>
      <c r="F33" s="4"/>
      <c r="G33" s="4"/>
      <c r="H33" s="4"/>
      <c r="I33" s="4"/>
      <c r="J33" s="4"/>
      <c r="K33" s="4"/>
    </row>
    <row r="34" spans="2:21">
      <c r="B34" s="64" t="s">
        <v>167</v>
      </c>
      <c r="C34" s="35"/>
      <c r="D34" s="35"/>
      <c r="E34" s="35"/>
      <c r="F34" s="44"/>
      <c r="G34" s="44"/>
      <c r="H34" s="44"/>
      <c r="I34" s="44"/>
      <c r="J34" s="44"/>
    </row>
    <row r="35" spans="2:21">
      <c r="B35" s="64"/>
      <c r="C35" s="35"/>
      <c r="D35" s="35"/>
      <c r="E35" s="35"/>
      <c r="F35" s="44"/>
      <c r="G35" s="44"/>
      <c r="H35" s="44"/>
      <c r="I35" s="44"/>
      <c r="J35" s="44"/>
      <c r="K35" s="4"/>
    </row>
    <row r="36" spans="2:21">
      <c r="B36" s="64"/>
    </row>
    <row r="40" spans="2:21">
      <c r="P40" s="270" t="s">
        <v>170</v>
      </c>
      <c r="Q40" s="4"/>
      <c r="S40" s="270" t="s">
        <v>170</v>
      </c>
    </row>
    <row r="41" spans="2:21" ht="14" thickBot="1">
      <c r="N41" s="27"/>
      <c r="O41" s="269" t="s">
        <v>169</v>
      </c>
      <c r="P41" s="269" t="s">
        <v>172</v>
      </c>
      <c r="Q41" s="269" t="s">
        <v>64</v>
      </c>
      <c r="R41" s="27"/>
      <c r="S41" s="269" t="s">
        <v>171</v>
      </c>
    </row>
    <row r="42" spans="2:21">
      <c r="N42" s="27"/>
      <c r="O42" s="27"/>
      <c r="P42" s="27"/>
      <c r="Q42" s="282"/>
      <c r="R42" s="27"/>
    </row>
    <row r="43" spans="2:21">
      <c r="N43" s="27" t="s">
        <v>160</v>
      </c>
      <c r="O43" s="248">
        <v>4099135883</v>
      </c>
      <c r="P43" s="248">
        <v>4077511263</v>
      </c>
      <c r="Q43" s="248">
        <f>+P43-O43</f>
        <v>-21624620</v>
      </c>
      <c r="R43" s="27"/>
      <c r="S43" s="248">
        <v>4077511263</v>
      </c>
    </row>
    <row r="44" spans="2:21">
      <c r="N44" s="27" t="s">
        <v>22</v>
      </c>
      <c r="O44" s="289">
        <f>+'Sch 2'!L17</f>
        <v>7.5591022201740132E-2</v>
      </c>
      <c r="P44" s="289">
        <f>+O44</f>
        <v>7.5591022201740132E-2</v>
      </c>
      <c r="Q44" s="281"/>
      <c r="R44" s="27"/>
      <c r="S44" s="290">
        <v>7.5616596011729154E-2</v>
      </c>
      <c r="U44" s="33" t="s">
        <v>174</v>
      </c>
    </row>
    <row r="45" spans="2:21" ht="14" thickBot="1">
      <c r="N45" s="27" t="s">
        <v>168</v>
      </c>
      <c r="O45" s="288">
        <f>+O43*O44</f>
        <v>309857871.53980267</v>
      </c>
      <c r="P45" s="288">
        <f>+P43*P44</f>
        <v>308223244.40927845</v>
      </c>
      <c r="Q45" s="288">
        <f>+P45-O45</f>
        <v>-1634627.1305242181</v>
      </c>
      <c r="R45" s="27"/>
      <c r="S45" s="288">
        <f>+S43*S44</f>
        <v>308327521.90754652</v>
      </c>
    </row>
    <row r="46" spans="2:21" ht="14" thickTop="1">
      <c r="N46" s="27"/>
      <c r="O46" s="112"/>
      <c r="P46" s="112"/>
      <c r="Q46" s="112"/>
      <c r="R46" s="27"/>
      <c r="S46" s="112"/>
    </row>
    <row r="47" spans="2:21">
      <c r="N47" s="283" t="s">
        <v>93</v>
      </c>
      <c r="O47" s="112"/>
      <c r="P47" s="112"/>
      <c r="Q47" s="112"/>
      <c r="R47" s="27"/>
      <c r="S47" s="112"/>
    </row>
    <row r="48" spans="2:21">
      <c r="N48" s="27" t="s">
        <v>139</v>
      </c>
      <c r="O48" s="198">
        <v>1408801019</v>
      </c>
      <c r="P48" s="198">
        <v>1408800774</v>
      </c>
      <c r="Q48" s="198">
        <f>+P48-O48</f>
        <v>-245</v>
      </c>
      <c r="R48" s="27"/>
      <c r="S48" s="198">
        <v>1408800774</v>
      </c>
    </row>
    <row r="49" spans="14:20">
      <c r="N49" s="27" t="s">
        <v>140</v>
      </c>
      <c r="O49" s="271">
        <v>38850409</v>
      </c>
      <c r="P49" s="271">
        <v>38850409</v>
      </c>
      <c r="Q49" s="271">
        <f>+P49-O49</f>
        <v>0</v>
      </c>
      <c r="R49" s="27"/>
      <c r="S49" s="271">
        <v>38850409</v>
      </c>
    </row>
    <row r="50" spans="14:20">
      <c r="N50" s="27"/>
      <c r="O50" s="272">
        <f>+O48+O49-1</f>
        <v>1447651427</v>
      </c>
      <c r="P50" s="272">
        <f>+P48+P49</f>
        <v>1447651183</v>
      </c>
      <c r="Q50" s="272">
        <f>+Q48+Q49</f>
        <v>-245</v>
      </c>
      <c r="R50" s="27"/>
      <c r="S50" s="272">
        <f>+S48+S49</f>
        <v>1447651183</v>
      </c>
    </row>
    <row r="51" spans="14:20">
      <c r="N51" s="283" t="s">
        <v>94</v>
      </c>
      <c r="O51" s="112"/>
      <c r="P51" s="284"/>
      <c r="Q51" s="284"/>
      <c r="R51" s="27"/>
      <c r="S51" s="284"/>
    </row>
    <row r="52" spans="14:20">
      <c r="N52" s="27" t="s">
        <v>141</v>
      </c>
      <c r="O52" s="198">
        <v>884639921</v>
      </c>
      <c r="P52" s="198">
        <v>884626009</v>
      </c>
      <c r="Q52" s="198">
        <f>+P52-O52</f>
        <v>-13912</v>
      </c>
      <c r="R52" s="27"/>
      <c r="S52" s="198">
        <v>884626009</v>
      </c>
    </row>
    <row r="53" spans="14:20">
      <c r="N53" s="27" t="s">
        <v>142</v>
      </c>
      <c r="O53" s="271">
        <v>268954148</v>
      </c>
      <c r="P53" s="271">
        <v>268323296</v>
      </c>
      <c r="Q53" s="271">
        <f>+P53-O53</f>
        <v>-630852</v>
      </c>
      <c r="R53" s="27"/>
      <c r="S53" s="271">
        <v>268323296</v>
      </c>
    </row>
    <row r="54" spans="14:20">
      <c r="N54" s="27" t="s">
        <v>165</v>
      </c>
      <c r="O54" s="271">
        <v>43682224</v>
      </c>
      <c r="P54" s="271">
        <v>43569355</v>
      </c>
      <c r="Q54" s="271">
        <f>+P54-O54</f>
        <v>-112869</v>
      </c>
      <c r="R54" s="27"/>
      <c r="S54" s="271">
        <v>43569355</v>
      </c>
    </row>
    <row r="55" spans="14:20">
      <c r="N55" s="27" t="s">
        <v>147</v>
      </c>
      <c r="O55" s="271">
        <v>24634790</v>
      </c>
      <c r="P55" s="271">
        <v>24917445</v>
      </c>
      <c r="Q55" s="271">
        <f>+P55-O55</f>
        <v>282655</v>
      </c>
      <c r="R55" s="27"/>
      <c r="S55" s="271">
        <v>24917445</v>
      </c>
    </row>
    <row r="56" spans="14:20">
      <c r="N56" s="27" t="s">
        <v>33</v>
      </c>
      <c r="O56" s="272">
        <f>SUM(O52:O55)</f>
        <v>1221911083</v>
      </c>
      <c r="P56" s="272">
        <f>SUM(P52:P55)</f>
        <v>1221436105</v>
      </c>
      <c r="Q56" s="272">
        <f>+P56-O56</f>
        <v>-474978</v>
      </c>
      <c r="R56" s="27"/>
      <c r="S56" s="272">
        <f>SUM(S52:S55)</f>
        <v>1221436105</v>
      </c>
    </row>
    <row r="57" spans="14:20">
      <c r="N57" s="35"/>
      <c r="O57" s="44"/>
      <c r="P57" s="44"/>
      <c r="Q57" s="44"/>
      <c r="R57" s="27"/>
      <c r="S57" s="44"/>
    </row>
    <row r="58" spans="14:20">
      <c r="N58" s="95" t="s">
        <v>58</v>
      </c>
      <c r="O58" s="285">
        <f>+O50-O56</f>
        <v>225740344</v>
      </c>
      <c r="P58" s="285">
        <f>+P50-P56+1</f>
        <v>226215079</v>
      </c>
      <c r="Q58" s="285">
        <f>+P58-O58</f>
        <v>474735</v>
      </c>
      <c r="R58" s="27"/>
      <c r="S58" s="285">
        <f>+S50-S56+1</f>
        <v>226215079</v>
      </c>
    </row>
    <row r="59" spans="14:20">
      <c r="N59" s="27"/>
      <c r="O59" s="27"/>
      <c r="P59" s="27"/>
      <c r="Q59" s="27"/>
      <c r="R59" s="27"/>
      <c r="S59" s="27"/>
    </row>
    <row r="60" spans="14:20">
      <c r="N60" s="38" t="s">
        <v>82</v>
      </c>
      <c r="O60" s="286">
        <f>+O45-O58</f>
        <v>84117527.53980267</v>
      </c>
      <c r="P60" s="286">
        <f>+P45-P58</f>
        <v>82008165.409278452</v>
      </c>
      <c r="Q60" s="285">
        <f>+P60-O60</f>
        <v>-2109362.1305242181</v>
      </c>
      <c r="R60" s="27"/>
      <c r="S60" s="286">
        <f>+S45-S58</f>
        <v>82112442.90754652</v>
      </c>
    </row>
    <row r="61" spans="14:20">
      <c r="N61" s="65" t="s">
        <v>80</v>
      </c>
      <c r="O61" s="27">
        <v>1.3393561141914665</v>
      </c>
      <c r="P61" s="27">
        <f>+O61</f>
        <v>1.3393561141914665</v>
      </c>
      <c r="Q61" s="27"/>
      <c r="R61" s="27"/>
      <c r="S61" s="27">
        <f>+P61</f>
        <v>1.3393561141914665</v>
      </c>
    </row>
    <row r="62" spans="14:20" ht="14" thickBot="1">
      <c r="O62" s="287">
        <f>+O60*O61</f>
        <v>112663324.82110377</v>
      </c>
      <c r="P62" s="287">
        <f>+P60*P61</f>
        <v>109838137.75454222</v>
      </c>
      <c r="Q62" s="287">
        <f>+P62-O62</f>
        <v>-2825187.0665615499</v>
      </c>
      <c r="S62" s="287">
        <f>+S60*S61</f>
        <v>109977802.45942014</v>
      </c>
      <c r="T62" s="9">
        <f>+S62-O62</f>
        <v>-2685522.361683622</v>
      </c>
    </row>
    <row r="63" spans="14:20" ht="14" thickTop="1"/>
    <row r="64" spans="14:20">
      <c r="N64" s="27" t="s">
        <v>173</v>
      </c>
      <c r="Q64" s="150">
        <v>-2685522</v>
      </c>
      <c r="T64" s="150">
        <f>+Q64</f>
        <v>-2685522</v>
      </c>
    </row>
    <row r="65" spans="14:20">
      <c r="N65" s="27" t="s">
        <v>64</v>
      </c>
      <c r="Q65" s="9">
        <f>+Q62-Q64</f>
        <v>-139665.0665615499</v>
      </c>
      <c r="T65" s="9">
        <f>+T62-T64</f>
        <v>-0.36168362200260162</v>
      </c>
    </row>
  </sheetData>
  <mergeCells count="1">
    <mergeCell ref="B1:J1"/>
  </mergeCells>
  <pageMargins left="0.7" right="0.7" top="0.75" bottom="0.75" header="0.3" footer="0.3"/>
  <pageSetup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Tables</vt:lpstr>
      <vt:lpstr>Index</vt:lpstr>
      <vt:lpstr>Sch 1</vt:lpstr>
      <vt:lpstr>Sch 1.1</vt:lpstr>
      <vt:lpstr>Sch 1.2</vt:lpstr>
      <vt:lpstr>Sch 2</vt:lpstr>
      <vt:lpstr>Sch 2.1</vt:lpstr>
      <vt:lpstr>Sch 3</vt:lpstr>
      <vt:lpstr>3.1 Slippage</vt:lpstr>
      <vt:lpstr>3.2</vt:lpstr>
      <vt:lpstr>3.3</vt:lpstr>
      <vt:lpstr>3.4 PHFU</vt:lpstr>
      <vt:lpstr>3.5 CWC</vt:lpstr>
      <vt:lpstr>3.5.1 CWC WP</vt:lpstr>
      <vt:lpstr>3.5.1 WP Other O&amp;M Lead </vt:lpstr>
      <vt:lpstr>3.6 Late Pymt</vt:lpstr>
      <vt:lpstr>3.7 401k</vt:lpstr>
      <vt:lpstr>3.8 D&amp;O</vt:lpstr>
      <vt:lpstr>3.9 Dues</vt:lpstr>
      <vt:lpstr>3.10 Legal</vt:lpstr>
      <vt:lpstr>3.11 Rebate</vt:lpstr>
      <vt:lpstr>3.12 Econ Dev</vt:lpstr>
      <vt:lpstr>3.13 Ed</vt:lpstr>
      <vt:lpstr>3.14 ECR Credit</vt:lpstr>
      <vt:lpstr>3.15 MMD</vt:lpstr>
      <vt:lpstr>3.16 Storm</vt:lpstr>
      <vt:lpstr>3.17  EDIT</vt:lpstr>
      <vt:lpstr>3.18-Int Sychn</vt:lpstr>
      <vt:lpstr>Template Exp</vt:lpstr>
      <vt:lpstr>Template RB-Exp</vt:lpstr>
      <vt:lpstr>'3.1 Slippage'!Print_Area</vt:lpstr>
      <vt:lpstr>'3.18-Int Sychn'!Print_Area</vt:lpstr>
      <vt:lpstr>'3.5 CWC'!Print_Area</vt:lpstr>
      <vt:lpstr>'Sch 1'!Print_Area</vt:lpstr>
      <vt:lpstr>'Sch 1.1'!Print_Area</vt:lpstr>
      <vt:lpstr>Tables!Print_Area</vt:lpstr>
      <vt:lpstr>Index!Print_Titles</vt:lpstr>
    </vt:vector>
  </TitlesOfParts>
  <Company>Blue Ridge Consulting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 Mullinax</dc:creator>
  <cp:lastModifiedBy>Tracy M. Klaes</cp:lastModifiedBy>
  <cp:lastPrinted>2019-01-15T15:18:11Z</cp:lastPrinted>
  <dcterms:created xsi:type="dcterms:W3CDTF">2006-01-30T18:40:13Z</dcterms:created>
  <dcterms:modified xsi:type="dcterms:W3CDTF">2019-01-15T15:18:15Z</dcterms:modified>
</cp:coreProperties>
</file>