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8 LGE-KU\Testimony\"/>
    </mc:Choice>
  </mc:AlternateContent>
  <xr:revisionPtr revIDLastSave="0" documentId="13_ncr:1_{F4DDF928-69C7-411E-B8CA-4214CF5771EC}" xr6:coauthVersionLast="40" xr6:coauthVersionMax="40" xr10:uidLastSave="{00000000-0000-0000-0000-000000000000}"/>
  <bookViews>
    <workbookView xWindow="0" yWindow="0" windowWidth="24000" windowHeight="9465" xr2:uid="{33AAB1E6-5FEB-4007-B929-675CB83CD584}"/>
  </bookViews>
  <sheets>
    <sheet name="Sched 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" i="2" l="1"/>
  <c r="L54" i="2"/>
  <c r="L52" i="2"/>
  <c r="J120" i="2" l="1"/>
  <c r="G120" i="2"/>
  <c r="L116" i="2"/>
  <c r="L115" i="2"/>
  <c r="J115" i="2"/>
  <c r="G115" i="2"/>
  <c r="G113" i="2"/>
  <c r="G66" i="2"/>
  <c r="G126" i="2" l="1"/>
  <c r="J126" i="2" s="1"/>
  <c r="J125" i="2"/>
  <c r="J124" i="2"/>
  <c r="J123" i="2"/>
  <c r="J122" i="2"/>
  <c r="J118" i="2"/>
  <c r="J110" i="2"/>
  <c r="I104" i="2"/>
  <c r="J104" i="2" s="1"/>
  <c r="I103" i="2"/>
  <c r="I105" i="2" s="1"/>
  <c r="G102" i="2"/>
  <c r="C101" i="2"/>
  <c r="J101" i="2" s="1"/>
  <c r="G100" i="2"/>
  <c r="I98" i="2"/>
  <c r="I107" i="2" s="1"/>
  <c r="J107" i="2" s="1"/>
  <c r="J97" i="2"/>
  <c r="J96" i="2"/>
  <c r="G95" i="2"/>
  <c r="C94" i="2"/>
  <c r="J94" i="2" s="1"/>
  <c r="G93" i="2"/>
  <c r="G79" i="2"/>
  <c r="J79" i="2" s="1"/>
  <c r="J78" i="2"/>
  <c r="J77" i="2"/>
  <c r="J76" i="2"/>
  <c r="J75" i="2"/>
  <c r="J71" i="2"/>
  <c r="J63" i="2"/>
  <c r="J60" i="2"/>
  <c r="I59" i="2"/>
  <c r="J59" i="2" s="1"/>
  <c r="F59" i="2"/>
  <c r="D57" i="2"/>
  <c r="J57" i="2" s="1"/>
  <c r="J56" i="2"/>
  <c r="G55" i="2"/>
  <c r="J54" i="2"/>
  <c r="G53" i="2"/>
  <c r="J52" i="2"/>
  <c r="G51" i="2"/>
  <c r="J49" i="2"/>
  <c r="G49" i="2"/>
  <c r="C48" i="2"/>
  <c r="J48" i="2" s="1"/>
  <c r="G47" i="2"/>
  <c r="G20" i="2"/>
  <c r="G33" i="2"/>
  <c r="J33" i="2" s="1"/>
  <c r="J32" i="2"/>
  <c r="J31" i="2"/>
  <c r="J30" i="2"/>
  <c r="J29" i="2"/>
  <c r="J25" i="2"/>
  <c r="J17" i="2"/>
  <c r="I14" i="2"/>
  <c r="J14" i="2" s="1"/>
  <c r="D12" i="2"/>
  <c r="J12" i="2" s="1"/>
  <c r="J11" i="2"/>
  <c r="G11" i="2"/>
  <c r="J10" i="2"/>
  <c r="G10" i="2"/>
  <c r="J8" i="2"/>
  <c r="G8" i="2"/>
  <c r="C7" i="2"/>
  <c r="J7" i="2" s="1"/>
  <c r="G6" i="2"/>
  <c r="G62" i="2" l="1"/>
  <c r="G64" i="2" s="1"/>
  <c r="J103" i="2"/>
  <c r="J109" i="2"/>
  <c r="J111" i="2" s="1"/>
  <c r="G16" i="2"/>
  <c r="G18" i="2" s="1"/>
  <c r="G22" i="2" s="1"/>
  <c r="G27" i="2" s="1"/>
  <c r="G109" i="2"/>
  <c r="G111" i="2" s="1"/>
  <c r="J16" i="2"/>
  <c r="J18" i="2" s="1"/>
  <c r="J22" i="2" s="1"/>
  <c r="J62" i="2"/>
  <c r="J64" i="2" s="1"/>
  <c r="J68" i="2" l="1"/>
  <c r="G68" i="2"/>
  <c r="G73" i="2" s="1"/>
  <c r="G81" i="2" s="1"/>
  <c r="J27" i="2"/>
  <c r="L22" i="2"/>
  <c r="L23" i="2" s="1"/>
  <c r="J35" i="2"/>
  <c r="G35" i="2"/>
  <c r="L68" i="2" l="1"/>
  <c r="L69" i="2" s="1"/>
  <c r="J73" i="2"/>
  <c r="J81" i="2" s="1"/>
  <c r="J83" i="2" s="1"/>
  <c r="J84" i="2" s="1"/>
  <c r="J37" i="2"/>
  <c r="J38" i="2" s="1"/>
  <c r="G128" i="2"/>
  <c r="J130" i="2" s="1"/>
  <c r="J131" i="2" s="1"/>
  <c r="J128" i="2"/>
</calcChain>
</file>

<file path=xl/sharedStrings.xml><?xml version="1.0" encoding="utf-8"?>
<sst xmlns="http://schemas.openxmlformats.org/spreadsheetml/2006/main" count="133" uniqueCount="62">
  <si>
    <t>Present Rates</t>
  </si>
  <si>
    <t xml:space="preserve">Calculated </t>
  </si>
  <si>
    <t>Billing Periods</t>
  </si>
  <si>
    <t>Demand</t>
  </si>
  <si>
    <t>Total</t>
  </si>
  <si>
    <t xml:space="preserve">Unit </t>
  </si>
  <si>
    <t xml:space="preserve">Revenue at </t>
  </si>
  <si>
    <t>Proposed</t>
  </si>
  <si>
    <t>kW</t>
  </si>
  <si>
    <t>kWh</t>
  </si>
  <si>
    <t>Charges</t>
  </si>
  <si>
    <t>Rates</t>
  </si>
  <si>
    <t>Proposed Rates</t>
  </si>
  <si>
    <t>POWER SERVICE RATE PS-Secondary</t>
  </si>
  <si>
    <t>Basic Service Charge, Monthly</t>
  </si>
  <si>
    <t>Basic Service Charge, Daily</t>
  </si>
  <si>
    <t>Energy Charge</t>
  </si>
  <si>
    <t>Summer Demand, kW</t>
  </si>
  <si>
    <t>Winter Demand, kW</t>
  </si>
  <si>
    <t>Redundant Capacity Rider</t>
  </si>
  <si>
    <t>Solar Energy Credit (Including Business Solar Contract) (Base Energy Charge or SQF Charge, as applicable)</t>
  </si>
  <si>
    <t>Total Calculated at Base Rates</t>
  </si>
  <si>
    <t>Correction Factor</t>
  </si>
  <si>
    <t>Total After Application of Correction Factor</t>
  </si>
  <si>
    <t>Adjustment to Reflect Removal of Base ECR Revenue</t>
  </si>
  <si>
    <t>Total Base Revenues Net of ECR</t>
  </si>
  <si>
    <t>FAC Mechanism Revenue</t>
  </si>
  <si>
    <t>DSM Mechanism Revenue</t>
  </si>
  <si>
    <t>ECR Mechanism Revenue</t>
  </si>
  <si>
    <t>OSS Mechanism Revenue</t>
  </si>
  <si>
    <t>ECR Base Revenue</t>
  </si>
  <si>
    <t>Total Base Revenues Inclusive of ECR</t>
  </si>
  <si>
    <t>Proposed Increase</t>
  </si>
  <si>
    <t>Percentage Increase</t>
  </si>
  <si>
    <t>TIME OF DAY SECONDARY SERVICE RATE TODS</t>
  </si>
  <si>
    <t>Demand kW Base</t>
  </si>
  <si>
    <t>Demand kVA Base</t>
  </si>
  <si>
    <t>Demand kW Intermediate</t>
  </si>
  <si>
    <t>Demand kVA Intermediate</t>
  </si>
  <si>
    <t>Demand kW Peak</t>
  </si>
  <si>
    <t>Demand kVA Peak</t>
  </si>
  <si>
    <t>Solar Energy Credit (Base Energy Charge or SQF Charge, as applicable)</t>
  </si>
  <si>
    <t>Economic Development Rider</t>
  </si>
  <si>
    <t>Total Base Revenues Inclusive of Base ECR</t>
  </si>
  <si>
    <t>GENERAL SERVICE RATE GS</t>
  </si>
  <si>
    <t>Single Phase Basic Service Charge, Monthly</t>
  </si>
  <si>
    <t>Single Phase Basic Service Charge, Daily</t>
  </si>
  <si>
    <t>Single Phase Energy Charge</t>
  </si>
  <si>
    <t>Single Phase Infrastructure Energy Charge</t>
  </si>
  <si>
    <t>Single Phase Variable Energy Charge</t>
  </si>
  <si>
    <t xml:space="preserve">    Single Phase Total Energy Charge</t>
  </si>
  <si>
    <t>Three Phase Customer Charge, Monthly</t>
  </si>
  <si>
    <t>Three Phase Customer Charge, Daily</t>
  </si>
  <si>
    <t>Three Phase Energy Charge</t>
  </si>
  <si>
    <t>Three Phase Infrastructure Energy Charge</t>
  </si>
  <si>
    <t>Three Phase Variable Energy Charge</t>
  </si>
  <si>
    <t xml:space="preserve">    Three Phase Total Energy Charge</t>
  </si>
  <si>
    <t>JCTA</t>
  </si>
  <si>
    <t>Increase  - JCTA</t>
  </si>
  <si>
    <t>Louisville Gas and Electric</t>
  </si>
  <si>
    <t>`</t>
  </si>
  <si>
    <t>per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</si>
</sst>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0" fontId="0" fillId="0" borderId="0" xfId="3" applyNumberFormat="1" applyFont="1"/>
    <xf numFmtId="0" fontId="0" fillId="0" borderId="0" xfId="0" applyAlignment="1">
      <alignment horizontal="center"/>
    </xf>
    <xf numFmtId="4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44" fontId="0" fillId="0" borderId="0" xfId="2" applyFont="1"/>
    <xf numFmtId="165" fontId="0" fillId="0" borderId="0" xfId="2" applyNumberFormat="1" applyFont="1"/>
    <xf numFmtId="166" fontId="0" fillId="0" borderId="0" xfId="2" applyNumberFormat="1" applyFont="1"/>
    <xf numFmtId="43" fontId="0" fillId="0" borderId="0" xfId="0" applyNumberFormat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7729B-BD6E-45C9-9374-1999944810AF}">
  <dimension ref="A1:N131"/>
  <sheetViews>
    <sheetView tabSelected="1" zoomScaleNormal="100" workbookViewId="0">
      <selection activeCell="L51" sqref="L51:L56"/>
    </sheetView>
  </sheetViews>
  <sheetFormatPr defaultRowHeight="15" x14ac:dyDescent="0.25"/>
  <cols>
    <col min="2" max="2" width="64" customWidth="1"/>
    <col min="3" max="3" width="15.28515625" customWidth="1"/>
    <col min="4" max="4" width="13.85546875" customWidth="1"/>
    <col min="5" max="5" width="15" customWidth="1"/>
    <col min="6" max="6" width="12.7109375" customWidth="1"/>
    <col min="7" max="7" width="16.5703125" customWidth="1"/>
    <col min="8" max="8" width="3.5703125" customWidth="1"/>
    <col min="9" max="9" width="11" bestFit="1" customWidth="1"/>
    <col min="10" max="10" width="21.140625" customWidth="1"/>
    <col min="11" max="11" width="4.85546875" customWidth="1"/>
    <col min="12" max="12" width="12.5703125" bestFit="1" customWidth="1"/>
  </cols>
  <sheetData>
    <row r="1" spans="1:10" x14ac:dyDescent="0.25">
      <c r="B1" s="13" t="s">
        <v>59</v>
      </c>
      <c r="C1" s="3"/>
      <c r="D1" s="3"/>
      <c r="E1" s="3"/>
      <c r="F1" s="3" t="s">
        <v>0</v>
      </c>
      <c r="G1" s="3" t="s">
        <v>1</v>
      </c>
      <c r="H1" s="3"/>
      <c r="I1" s="3"/>
      <c r="J1" s="3" t="s">
        <v>1</v>
      </c>
    </row>
    <row r="2" spans="1:10" x14ac:dyDescent="0.25"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/>
      <c r="I2" s="3" t="s">
        <v>7</v>
      </c>
      <c r="J2" s="3" t="s">
        <v>6</v>
      </c>
    </row>
    <row r="3" spans="1:10" x14ac:dyDescent="0.25">
      <c r="C3" s="3"/>
      <c r="D3" s="3" t="s">
        <v>8</v>
      </c>
      <c r="E3" s="3" t="s">
        <v>9</v>
      </c>
      <c r="F3" s="3" t="s">
        <v>10</v>
      </c>
      <c r="G3" s="3" t="s">
        <v>0</v>
      </c>
      <c r="H3" s="3"/>
      <c r="I3" s="3" t="s">
        <v>11</v>
      </c>
      <c r="J3" s="3" t="s">
        <v>12</v>
      </c>
    </row>
    <row r="5" spans="1:10" x14ac:dyDescent="0.25">
      <c r="A5" s="13" t="s">
        <v>13</v>
      </c>
    </row>
    <row r="6" spans="1:10" x14ac:dyDescent="0.25">
      <c r="B6" t="s">
        <v>14</v>
      </c>
      <c r="C6" s="1">
        <v>34728</v>
      </c>
      <c r="D6" s="1"/>
      <c r="F6" s="4">
        <v>90</v>
      </c>
      <c r="G6" s="7">
        <f>ROUND(F6*C6,2)</f>
        <v>3125520</v>
      </c>
    </row>
    <row r="7" spans="1:10" x14ac:dyDescent="0.25">
      <c r="B7" t="s">
        <v>15</v>
      </c>
      <c r="C7" s="1">
        <f>C6*365.25/12</f>
        <v>1057033.5</v>
      </c>
      <c r="D7" s="1"/>
      <c r="F7" s="4"/>
      <c r="G7" s="7"/>
      <c r="I7" s="4">
        <v>2.96</v>
      </c>
      <c r="J7" s="7">
        <f>ROUND(I7*C7,2)</f>
        <v>3128819.16</v>
      </c>
    </row>
    <row r="8" spans="1:10" x14ac:dyDescent="0.25">
      <c r="B8" t="s">
        <v>16</v>
      </c>
      <c r="C8" s="1"/>
      <c r="D8" s="1"/>
      <c r="E8" s="1">
        <v>1738678536.3412652</v>
      </c>
      <c r="F8" s="6">
        <v>3.7560000000000003E-2</v>
      </c>
      <c r="G8" s="7">
        <f>ROUND(F8*E8,2)</f>
        <v>65304765.82</v>
      </c>
      <c r="I8" s="6">
        <v>3.3059999999999999E-2</v>
      </c>
      <c r="J8" s="7">
        <f>ROUND(I8*E8,2)</f>
        <v>57480712.409999996</v>
      </c>
    </row>
    <row r="9" spans="1:10" x14ac:dyDescent="0.25">
      <c r="C9" s="1"/>
      <c r="D9" s="1"/>
      <c r="E9" s="1"/>
      <c r="F9" s="4"/>
      <c r="G9" s="7"/>
      <c r="I9" s="4"/>
      <c r="J9" s="7"/>
    </row>
    <row r="10" spans="1:10" x14ac:dyDescent="0.25">
      <c r="B10" t="s">
        <v>17</v>
      </c>
      <c r="C10" s="1"/>
      <c r="D10" s="1">
        <v>2027677.2199122782</v>
      </c>
      <c r="E10" s="1"/>
      <c r="F10" s="4">
        <v>22.04</v>
      </c>
      <c r="G10" s="7">
        <f>ROUND(D10*F10,2)</f>
        <v>44690005.93</v>
      </c>
      <c r="I10" s="4">
        <v>24.799999999999997</v>
      </c>
      <c r="J10" s="7">
        <f>ROUND(D10*I10,2)</f>
        <v>50286395.049999997</v>
      </c>
    </row>
    <row r="11" spans="1:10" x14ac:dyDescent="0.25">
      <c r="B11" t="s">
        <v>18</v>
      </c>
      <c r="C11" s="1"/>
      <c r="D11" s="1">
        <v>2746901.2019144353</v>
      </c>
      <c r="E11" s="1"/>
      <c r="F11" s="4">
        <v>19.39</v>
      </c>
      <c r="G11" s="7">
        <f>ROUND(D11*F11,2)</f>
        <v>53262414.310000002</v>
      </c>
      <c r="I11" s="4">
        <v>21.83</v>
      </c>
      <c r="J11" s="7">
        <f>ROUND(D11*I11,2)</f>
        <v>59964853.240000002</v>
      </c>
    </row>
    <row r="12" spans="1:10" x14ac:dyDescent="0.25">
      <c r="B12" t="s">
        <v>19</v>
      </c>
      <c r="C12" s="1"/>
      <c r="D12" s="1">
        <f>G12/F12</f>
        <v>1151.9999999999995</v>
      </c>
      <c r="E12" s="1"/>
      <c r="F12" s="4">
        <v>1.59</v>
      </c>
      <c r="G12" s="7">
        <v>1831.6799999999994</v>
      </c>
      <c r="I12" s="4">
        <v>1.84</v>
      </c>
      <c r="J12" s="7">
        <f>ROUND(D12*I12,2)</f>
        <v>2119.6799999999998</v>
      </c>
    </row>
    <row r="13" spans="1:10" x14ac:dyDescent="0.25">
      <c r="E13" s="1"/>
      <c r="F13" s="4"/>
      <c r="G13" s="7"/>
      <c r="I13" s="4"/>
      <c r="J13" s="7"/>
    </row>
    <row r="14" spans="1:10" x14ac:dyDescent="0.25">
      <c r="B14" t="s">
        <v>20</v>
      </c>
      <c r="E14" s="1">
        <v>-266856.38425150048</v>
      </c>
      <c r="F14" s="6">
        <v>3.7560000000000003E-2</v>
      </c>
      <c r="G14" s="7">
        <v>-10023.125792486357</v>
      </c>
      <c r="I14" s="6">
        <f>I8</f>
        <v>3.3059999999999999E-2</v>
      </c>
      <c r="J14" s="7">
        <f>E14*I14</f>
        <v>-8822.2720633546051</v>
      </c>
    </row>
    <row r="15" spans="1:10" x14ac:dyDescent="0.25">
      <c r="G15" s="7"/>
      <c r="J15" s="7"/>
    </row>
    <row r="16" spans="1:10" x14ac:dyDescent="0.25">
      <c r="B16" t="s">
        <v>21</v>
      </c>
      <c r="G16" s="7">
        <f>SUM(G6:G15)</f>
        <v>166374514.61420754</v>
      </c>
      <c r="J16" s="7">
        <f>SUM(J6:J15)</f>
        <v>170854077.26793665</v>
      </c>
    </row>
    <row r="17" spans="2:12" x14ac:dyDescent="0.25">
      <c r="B17" t="s">
        <v>22</v>
      </c>
      <c r="G17" s="7">
        <v>1.0000000000418605</v>
      </c>
      <c r="J17" s="7">
        <f>G17</f>
        <v>1.0000000000418605</v>
      </c>
    </row>
    <row r="18" spans="2:12" x14ac:dyDescent="0.25">
      <c r="B18" t="s">
        <v>23</v>
      </c>
      <c r="G18" s="7">
        <f>+ROUND(G16/G17,2)</f>
        <v>166374514.61000001</v>
      </c>
      <c r="J18" s="7">
        <f>+ROUND(J16/J17,2)</f>
        <v>170854077.25999999</v>
      </c>
    </row>
    <row r="19" spans="2:12" x14ac:dyDescent="0.25">
      <c r="G19" s="7"/>
      <c r="J19" s="7"/>
    </row>
    <row r="20" spans="2:12" x14ac:dyDescent="0.25">
      <c r="B20" t="s">
        <v>57</v>
      </c>
      <c r="F20" s="11">
        <v>-4.3699999999999998E-3</v>
      </c>
      <c r="G20" s="12">
        <f>F20*(E8)</f>
        <v>-7598025.2038113289</v>
      </c>
    </row>
    <row r="22" spans="2:12" x14ac:dyDescent="0.25">
      <c r="G22" s="8">
        <f>SUM(G18:G21)</f>
        <v>158776489.4061887</v>
      </c>
      <c r="J22" s="8">
        <f>SUM(J18:J21)</f>
        <v>170854077.25999999</v>
      </c>
      <c r="L22" s="8">
        <f>J22-G22</f>
        <v>12077587.853811294</v>
      </c>
    </row>
    <row r="23" spans="2:12" x14ac:dyDescent="0.25">
      <c r="B23" t="s">
        <v>58</v>
      </c>
      <c r="L23" s="2">
        <f>L22/G22</f>
        <v>7.6066600911636861E-2</v>
      </c>
    </row>
    <row r="24" spans="2:12" x14ac:dyDescent="0.25">
      <c r="B24" t="s">
        <v>33</v>
      </c>
      <c r="J24" s="2"/>
    </row>
    <row r="25" spans="2:12" x14ac:dyDescent="0.25">
      <c r="B25" t="s">
        <v>24</v>
      </c>
      <c r="G25" s="7">
        <v>-20626178.780000001</v>
      </c>
      <c r="J25" s="7">
        <f>G25</f>
        <v>-20626178.780000001</v>
      </c>
    </row>
    <row r="26" spans="2:12" x14ac:dyDescent="0.25">
      <c r="G26" s="7"/>
      <c r="J26" s="7"/>
    </row>
    <row r="27" spans="2:12" x14ac:dyDescent="0.25">
      <c r="B27" t="s">
        <v>25</v>
      </c>
      <c r="G27" s="7">
        <f>SUM(G22:G26)</f>
        <v>138150310.6261887</v>
      </c>
      <c r="J27" s="7">
        <f>SUM(J22:J26)</f>
        <v>150227898.47999999</v>
      </c>
    </row>
    <row r="28" spans="2:12" x14ac:dyDescent="0.25">
      <c r="G28" s="7"/>
      <c r="J28" s="7"/>
    </row>
    <row r="29" spans="2:12" x14ac:dyDescent="0.25">
      <c r="B29" t="s">
        <v>26</v>
      </c>
      <c r="G29" s="7">
        <v>-835493.23</v>
      </c>
      <c r="J29" s="7">
        <f>G29</f>
        <v>-835493.23</v>
      </c>
    </row>
    <row r="30" spans="2:12" x14ac:dyDescent="0.25">
      <c r="B30" t="s">
        <v>27</v>
      </c>
      <c r="G30" s="7">
        <v>37631.730000000003</v>
      </c>
      <c r="J30" s="7">
        <f>G30</f>
        <v>37631.730000000003</v>
      </c>
    </row>
    <row r="31" spans="2:12" x14ac:dyDescent="0.25">
      <c r="B31" t="s">
        <v>28</v>
      </c>
      <c r="G31" s="7">
        <v>3343020.54</v>
      </c>
      <c r="J31" s="7">
        <f>G31</f>
        <v>3343020.54</v>
      </c>
    </row>
    <row r="32" spans="2:12" x14ac:dyDescent="0.25">
      <c r="B32" t="s">
        <v>29</v>
      </c>
      <c r="G32" s="7">
        <v>-148802.45000000001</v>
      </c>
      <c r="J32" s="7">
        <f>G32</f>
        <v>-148802.45000000001</v>
      </c>
    </row>
    <row r="33" spans="1:10" x14ac:dyDescent="0.25">
      <c r="B33" t="s">
        <v>30</v>
      </c>
      <c r="G33" s="7">
        <f>-G25</f>
        <v>20626178.780000001</v>
      </c>
      <c r="J33" s="7">
        <f>G33</f>
        <v>20626178.780000001</v>
      </c>
    </row>
    <row r="34" spans="1:10" x14ac:dyDescent="0.25">
      <c r="G34" s="8"/>
      <c r="J34" s="7"/>
    </row>
    <row r="35" spans="1:10" x14ac:dyDescent="0.25">
      <c r="B35" t="s">
        <v>31</v>
      </c>
      <c r="G35" s="8">
        <f>SUM(G27:G33)</f>
        <v>161172845.9961887</v>
      </c>
      <c r="J35" s="7">
        <f>SUM(J27:J33)</f>
        <v>173250433.84999999</v>
      </c>
    </row>
    <row r="36" spans="1:10" x14ac:dyDescent="0.25">
      <c r="J36" s="7"/>
    </row>
    <row r="37" spans="1:10" x14ac:dyDescent="0.25">
      <c r="B37" t="s">
        <v>32</v>
      </c>
      <c r="J37" s="7">
        <f>J35-G35</f>
        <v>12077587.853811294</v>
      </c>
    </row>
    <row r="38" spans="1:10" x14ac:dyDescent="0.25">
      <c r="B38" t="s">
        <v>33</v>
      </c>
      <c r="J38" s="2">
        <f>J37/G35</f>
        <v>7.4935624417135971E-2</v>
      </c>
    </row>
    <row r="42" spans="1:10" x14ac:dyDescent="0.25">
      <c r="B42" s="13" t="s">
        <v>59</v>
      </c>
      <c r="C42" s="3"/>
      <c r="D42" s="3"/>
      <c r="E42" s="3"/>
      <c r="F42" s="3" t="s">
        <v>0</v>
      </c>
      <c r="G42" s="3" t="s">
        <v>1</v>
      </c>
      <c r="H42" s="3"/>
      <c r="I42" s="3"/>
      <c r="J42" s="3" t="s">
        <v>1</v>
      </c>
    </row>
    <row r="43" spans="1:10" x14ac:dyDescent="0.25">
      <c r="C43" s="3" t="s">
        <v>2</v>
      </c>
      <c r="D43" s="3" t="s">
        <v>3</v>
      </c>
      <c r="E43" s="3" t="s">
        <v>4</v>
      </c>
      <c r="F43" s="3" t="s">
        <v>5</v>
      </c>
      <c r="G43" s="3" t="s">
        <v>6</v>
      </c>
      <c r="H43" s="3"/>
      <c r="I43" s="3" t="s">
        <v>7</v>
      </c>
      <c r="J43" s="3" t="s">
        <v>6</v>
      </c>
    </row>
    <row r="44" spans="1:10" x14ac:dyDescent="0.25">
      <c r="C44" s="3"/>
      <c r="D44" s="3"/>
      <c r="E44" s="3" t="s">
        <v>9</v>
      </c>
      <c r="F44" s="3" t="s">
        <v>10</v>
      </c>
      <c r="G44" s="3" t="s">
        <v>0</v>
      </c>
      <c r="H44" s="3"/>
      <c r="I44" s="3" t="s">
        <v>11</v>
      </c>
      <c r="J44" s="3" t="s">
        <v>12</v>
      </c>
    </row>
    <row r="46" spans="1:10" x14ac:dyDescent="0.25">
      <c r="A46" s="13" t="s">
        <v>34</v>
      </c>
    </row>
    <row r="47" spans="1:10" x14ac:dyDescent="0.25">
      <c r="B47" t="s">
        <v>14</v>
      </c>
      <c r="C47" s="1">
        <v>5214</v>
      </c>
      <c r="D47" s="1"/>
      <c r="E47" s="1"/>
      <c r="F47" s="4">
        <v>200</v>
      </c>
      <c r="G47" s="4">
        <f>ROUND(F47*C47,2)</f>
        <v>1042800</v>
      </c>
      <c r="H47" s="4"/>
      <c r="I47" s="4"/>
      <c r="J47" s="4"/>
    </row>
    <row r="48" spans="1:10" x14ac:dyDescent="0.25">
      <c r="B48" t="s">
        <v>15</v>
      </c>
      <c r="C48" s="1">
        <f>C47*365.25/12</f>
        <v>158701.125</v>
      </c>
      <c r="D48" s="1"/>
      <c r="E48" s="1"/>
      <c r="F48" s="4"/>
      <c r="G48" s="4"/>
      <c r="H48" s="4"/>
      <c r="I48" s="4">
        <v>6.58</v>
      </c>
      <c r="J48" s="8">
        <f>ROUND(I48*C48,2)</f>
        <v>1044253.4</v>
      </c>
    </row>
    <row r="49" spans="2:14" x14ac:dyDescent="0.25">
      <c r="B49" t="s">
        <v>16</v>
      </c>
      <c r="C49" s="1"/>
      <c r="D49" s="1"/>
      <c r="E49" s="1">
        <v>1188734551.9250064</v>
      </c>
      <c r="F49" s="6">
        <v>3.7339999999999998E-2</v>
      </c>
      <c r="G49" s="4">
        <f>ROUND(E49*F49,2)</f>
        <v>44387348.170000002</v>
      </c>
      <c r="H49" s="4"/>
      <c r="I49" s="6">
        <v>3.2629999999999999E-2</v>
      </c>
      <c r="J49" s="8">
        <f>ROUND(I49*E49,2)</f>
        <v>38788408.43</v>
      </c>
    </row>
    <row r="50" spans="2:14" x14ac:dyDescent="0.25">
      <c r="C50" s="1"/>
      <c r="D50" s="1"/>
      <c r="E50" s="1"/>
      <c r="F50" s="4"/>
      <c r="G50" s="4"/>
      <c r="H50" s="4"/>
      <c r="I50" s="4"/>
      <c r="J50" s="8"/>
    </row>
    <row r="51" spans="2:14" x14ac:dyDescent="0.25">
      <c r="B51" t="s">
        <v>35</v>
      </c>
      <c r="C51" s="1"/>
      <c r="D51" s="1">
        <v>3403988.588953482</v>
      </c>
      <c r="E51" s="1"/>
      <c r="F51" s="4">
        <v>5.21</v>
      </c>
      <c r="G51" s="4">
        <f>ROUND(D51*F51,2)</f>
        <v>17734780.550000001</v>
      </c>
      <c r="H51" s="4"/>
      <c r="I51" s="4"/>
      <c r="J51" s="8"/>
      <c r="L51" s="3" t="s">
        <v>61</v>
      </c>
    </row>
    <row r="52" spans="2:14" x14ac:dyDescent="0.25">
      <c r="B52" t="s">
        <v>36</v>
      </c>
      <c r="C52" s="1"/>
      <c r="D52" s="1">
        <v>3780810.13</v>
      </c>
      <c r="E52" s="1"/>
      <c r="F52" s="4"/>
      <c r="G52" s="4"/>
      <c r="H52" s="4"/>
      <c r="I52" s="4">
        <v>3.61</v>
      </c>
      <c r="J52" s="8">
        <f>ROUND(D52*I52,2)</f>
        <v>13648724.57</v>
      </c>
      <c r="L52" s="5">
        <f>D52/D51*I52</f>
        <v>4.009627004506541</v>
      </c>
    </row>
    <row r="53" spans="2:14" x14ac:dyDescent="0.25">
      <c r="B53" t="s">
        <v>37</v>
      </c>
      <c r="C53" s="1"/>
      <c r="D53" s="1">
        <v>2589024.441128531</v>
      </c>
      <c r="E53" s="1"/>
      <c r="F53" s="4">
        <v>5.51</v>
      </c>
      <c r="G53" s="4">
        <f>ROUND(D53*F53,2)</f>
        <v>14265524.67</v>
      </c>
      <c r="H53" s="4"/>
      <c r="I53" s="4"/>
      <c r="J53" s="8"/>
      <c r="N53" t="s">
        <v>60</v>
      </c>
    </row>
    <row r="54" spans="2:14" x14ac:dyDescent="0.25">
      <c r="B54" t="s">
        <v>38</v>
      </c>
      <c r="C54" s="1"/>
      <c r="D54" s="1">
        <v>2878218.47</v>
      </c>
      <c r="E54" s="1"/>
      <c r="F54" s="4"/>
      <c r="G54" s="4"/>
      <c r="H54" s="4"/>
      <c r="I54" s="4">
        <v>6.74</v>
      </c>
      <c r="J54" s="8">
        <f>ROUND(D54*I54,2)</f>
        <v>19399192.489999998</v>
      </c>
      <c r="L54" s="5">
        <f>D54/D53*I54</f>
        <v>7.492857996869307</v>
      </c>
    </row>
    <row r="55" spans="2:14" x14ac:dyDescent="0.25">
      <c r="B55" t="s">
        <v>39</v>
      </c>
      <c r="C55" s="1"/>
      <c r="D55" s="1">
        <v>2525123.723600307</v>
      </c>
      <c r="E55" s="1"/>
      <c r="F55" s="4">
        <v>7.3</v>
      </c>
      <c r="G55" s="4">
        <f>ROUND(D55*F55,2)</f>
        <v>18433403.18</v>
      </c>
      <c r="H55" s="4"/>
      <c r="I55" s="4"/>
      <c r="J55" s="8"/>
    </row>
    <row r="56" spans="2:14" x14ac:dyDescent="0.25">
      <c r="B56" t="s">
        <v>40</v>
      </c>
      <c r="C56" s="1"/>
      <c r="D56" s="1">
        <v>2806927.53</v>
      </c>
      <c r="E56" s="1"/>
      <c r="F56" s="4"/>
      <c r="G56" s="4"/>
      <c r="H56" s="4"/>
      <c r="I56" s="4">
        <v>8.91</v>
      </c>
      <c r="J56" s="8">
        <f>ROUND(D56*I56,2)</f>
        <v>25009724.289999999</v>
      </c>
      <c r="L56" s="5">
        <f>D56/D55*I56</f>
        <v>9.9043559959277054</v>
      </c>
    </row>
    <row r="57" spans="2:14" x14ac:dyDescent="0.25">
      <c r="B57" t="s">
        <v>19</v>
      </c>
      <c r="C57" s="1"/>
      <c r="D57" s="1">
        <f>G57/F57</f>
        <v>18000</v>
      </c>
      <c r="E57" s="1"/>
      <c r="F57" s="4">
        <v>1.59</v>
      </c>
      <c r="G57" s="4">
        <v>28620</v>
      </c>
      <c r="H57" s="4"/>
      <c r="I57" s="4">
        <v>1.84</v>
      </c>
      <c r="J57" s="8">
        <f>ROUND(D57*I57,2)</f>
        <v>33120</v>
      </c>
    </row>
    <row r="58" spans="2:14" x14ac:dyDescent="0.25">
      <c r="C58" s="1"/>
      <c r="D58" s="1"/>
      <c r="E58" s="1"/>
      <c r="F58" s="4"/>
      <c r="G58" s="4"/>
      <c r="H58" s="4"/>
      <c r="I58" s="4"/>
      <c r="J58" s="8"/>
    </row>
    <row r="59" spans="2:14" x14ac:dyDescent="0.25">
      <c r="B59" t="s">
        <v>41</v>
      </c>
      <c r="C59" s="1"/>
      <c r="D59" s="1"/>
      <c r="E59" s="1">
        <v>-40337.524409363708</v>
      </c>
      <c r="F59" s="6">
        <f>F49</f>
        <v>3.7339999999999998E-2</v>
      </c>
      <c r="G59" s="4">
        <v>-1506.2031614456414</v>
      </c>
      <c r="H59" s="4"/>
      <c r="I59" s="6">
        <f>I49</f>
        <v>3.2629999999999999E-2</v>
      </c>
      <c r="J59" s="8">
        <f>E59*I59</f>
        <v>-1316.2134214775378</v>
      </c>
    </row>
    <row r="60" spans="2:14" x14ac:dyDescent="0.25">
      <c r="B60" t="s">
        <v>42</v>
      </c>
      <c r="F60" s="4"/>
      <c r="G60" s="4">
        <v>0</v>
      </c>
      <c r="H60" s="4"/>
      <c r="I60" s="4"/>
      <c r="J60" s="8">
        <f>G60</f>
        <v>0</v>
      </c>
    </row>
    <row r="61" spans="2:14" x14ac:dyDescent="0.25">
      <c r="F61" s="4"/>
      <c r="G61" s="4"/>
      <c r="H61" s="4"/>
      <c r="I61" s="4"/>
      <c r="J61" s="8"/>
    </row>
    <row r="62" spans="2:14" x14ac:dyDescent="0.25">
      <c r="B62" t="s">
        <v>21</v>
      </c>
      <c r="F62" s="4"/>
      <c r="G62" s="4">
        <f>SUM(G47:G61)</f>
        <v>95890970.366838545</v>
      </c>
      <c r="H62" s="4"/>
      <c r="I62" s="4"/>
      <c r="J62" s="8">
        <f>SUM(J47:J61)</f>
        <v>97922106.966578528</v>
      </c>
    </row>
    <row r="63" spans="2:14" x14ac:dyDescent="0.25">
      <c r="B63" t="s">
        <v>22</v>
      </c>
      <c r="F63" s="4"/>
      <c r="G63" s="4">
        <v>0.99999999989809196</v>
      </c>
      <c r="H63" s="4"/>
      <c r="I63" s="4"/>
      <c r="J63" s="4">
        <f>G63</f>
        <v>0.99999999989809196</v>
      </c>
    </row>
    <row r="64" spans="2:14" x14ac:dyDescent="0.25">
      <c r="B64" t="s">
        <v>23</v>
      </c>
      <c r="F64" s="4"/>
      <c r="G64" s="4">
        <f>+ROUND(G62/G63,2)</f>
        <v>95890970.379999995</v>
      </c>
      <c r="H64" s="4"/>
      <c r="I64" s="4"/>
      <c r="J64" s="8">
        <f>+ROUND(J62/J63,2)</f>
        <v>97922106.980000004</v>
      </c>
    </row>
    <row r="65" spans="2:12" x14ac:dyDescent="0.25">
      <c r="F65" s="4"/>
      <c r="G65" s="4"/>
      <c r="H65" s="4"/>
      <c r="I65" s="4"/>
      <c r="J65" s="8"/>
    </row>
    <row r="66" spans="2:12" x14ac:dyDescent="0.25">
      <c r="B66" t="s">
        <v>57</v>
      </c>
      <c r="F66" s="11">
        <v>-4.3699999999999998E-3</v>
      </c>
      <c r="G66" s="12">
        <f>F66*(E49)</f>
        <v>-5194769.9919122774</v>
      </c>
    </row>
    <row r="68" spans="2:12" x14ac:dyDescent="0.25">
      <c r="G68" s="8">
        <f>SUM(G64:G67)</f>
        <v>90696200.38808772</v>
      </c>
      <c r="J68" s="8">
        <f>SUM(J64:J67)</f>
        <v>97922106.980000004</v>
      </c>
      <c r="L68" s="8">
        <f>J68-G68</f>
        <v>7225906.5919122845</v>
      </c>
    </row>
    <row r="69" spans="2:12" x14ac:dyDescent="0.25">
      <c r="B69" t="s">
        <v>58</v>
      </c>
      <c r="L69" s="2">
        <f>L68/G68</f>
        <v>7.9671546999683956E-2</v>
      </c>
    </row>
    <row r="70" spans="2:12" x14ac:dyDescent="0.25">
      <c r="B70" t="s">
        <v>33</v>
      </c>
      <c r="J70" s="2"/>
    </row>
    <row r="71" spans="2:12" x14ac:dyDescent="0.25">
      <c r="B71" t="s">
        <v>24</v>
      </c>
      <c r="F71" s="4"/>
      <c r="G71" s="8">
        <v>-12351298.290000001</v>
      </c>
      <c r="H71" s="4"/>
      <c r="I71" s="4"/>
      <c r="J71" s="8">
        <f>G71</f>
        <v>-12351298.290000001</v>
      </c>
    </row>
    <row r="72" spans="2:12" x14ac:dyDescent="0.25">
      <c r="F72" s="4"/>
      <c r="G72" s="8"/>
      <c r="H72" s="4"/>
      <c r="I72" s="4"/>
      <c r="J72" s="8"/>
    </row>
    <row r="73" spans="2:12" x14ac:dyDescent="0.25">
      <c r="B73" t="s">
        <v>25</v>
      </c>
      <c r="F73" s="4"/>
      <c r="G73" s="8">
        <f>SUM(G68:G72)</f>
        <v>78344902.098087713</v>
      </c>
      <c r="H73" s="4"/>
      <c r="I73" s="4"/>
      <c r="J73" s="8">
        <f>SUM(J68:J72)</f>
        <v>85570808.689999998</v>
      </c>
    </row>
    <row r="74" spans="2:12" x14ac:dyDescent="0.25">
      <c r="F74" s="4"/>
      <c r="G74" s="8"/>
      <c r="H74" s="4"/>
      <c r="I74" s="4"/>
      <c r="J74" s="8"/>
    </row>
    <row r="75" spans="2:12" x14ac:dyDescent="0.25">
      <c r="B75" t="s">
        <v>26</v>
      </c>
      <c r="F75" s="4"/>
      <c r="G75" s="8">
        <v>-574096.06000000006</v>
      </c>
      <c r="H75" s="4"/>
      <c r="I75" s="4"/>
      <c r="J75" s="8">
        <f>G75</f>
        <v>-574096.06000000006</v>
      </c>
    </row>
    <row r="76" spans="2:12" x14ac:dyDescent="0.25">
      <c r="B76" t="s">
        <v>27</v>
      </c>
      <c r="F76" s="4"/>
      <c r="G76" s="8">
        <v>21637.65</v>
      </c>
      <c r="H76" s="4"/>
      <c r="I76" s="4"/>
      <c r="J76" s="8">
        <f>G76</f>
        <v>21637.65</v>
      </c>
    </row>
    <row r="77" spans="2:12" x14ac:dyDescent="0.25">
      <c r="B77" t="s">
        <v>28</v>
      </c>
      <c r="F77" s="4"/>
      <c r="G77" s="8">
        <v>2431369.4500000002</v>
      </c>
      <c r="H77" s="4"/>
      <c r="I77" s="4"/>
      <c r="J77" s="8">
        <f>G77</f>
        <v>2431369.4500000002</v>
      </c>
    </row>
    <row r="78" spans="2:12" x14ac:dyDescent="0.25">
      <c r="B78" t="s">
        <v>29</v>
      </c>
      <c r="F78" s="4"/>
      <c r="G78" s="8">
        <v>-101711.6</v>
      </c>
      <c r="H78" s="4"/>
      <c r="I78" s="4"/>
      <c r="J78" s="8">
        <f>G78</f>
        <v>-101711.6</v>
      </c>
    </row>
    <row r="79" spans="2:12" x14ac:dyDescent="0.25">
      <c r="B79" t="s">
        <v>30</v>
      </c>
      <c r="F79" s="4"/>
      <c r="G79" s="8">
        <f>-G71</f>
        <v>12351298.290000001</v>
      </c>
      <c r="H79" s="4"/>
      <c r="I79" s="4"/>
      <c r="J79" s="8">
        <f t="shared" ref="J79" si="0">G79</f>
        <v>12351298.290000001</v>
      </c>
    </row>
    <row r="80" spans="2:12" x14ac:dyDescent="0.25">
      <c r="F80" s="4"/>
      <c r="G80" s="8"/>
      <c r="H80" s="4"/>
      <c r="I80" s="4"/>
      <c r="J80" s="8"/>
    </row>
    <row r="81" spans="1:10" x14ac:dyDescent="0.25">
      <c r="B81" t="s">
        <v>43</v>
      </c>
      <c r="F81" s="4"/>
      <c r="G81" s="8">
        <f>SUM(G73:G79)</f>
        <v>92473399.828087732</v>
      </c>
      <c r="H81" s="4"/>
      <c r="I81" s="4"/>
      <c r="J81" s="8">
        <f>SUM(J73:J79)</f>
        <v>99699306.420000017</v>
      </c>
    </row>
    <row r="82" spans="1:10" x14ac:dyDescent="0.25">
      <c r="F82" s="4"/>
      <c r="G82" s="8"/>
      <c r="H82" s="4"/>
      <c r="I82" s="4"/>
      <c r="J82" s="8"/>
    </row>
    <row r="83" spans="1:10" x14ac:dyDescent="0.25">
      <c r="B83" t="s">
        <v>32</v>
      </c>
      <c r="F83" s="4"/>
      <c r="G83" s="8"/>
      <c r="H83" s="4"/>
      <c r="I83" s="4"/>
      <c r="J83" s="8">
        <f>J81-G81</f>
        <v>7225906.5919122845</v>
      </c>
    </row>
    <row r="84" spans="1:10" x14ac:dyDescent="0.25">
      <c r="B84" t="s">
        <v>33</v>
      </c>
      <c r="G84" s="8"/>
      <c r="J84" s="2">
        <f>J83/G81</f>
        <v>7.8140379885951794E-2</v>
      </c>
    </row>
    <row r="85" spans="1:10" x14ac:dyDescent="0.25">
      <c r="G85" s="8"/>
      <c r="J85" s="2"/>
    </row>
    <row r="86" spans="1:10" x14ac:dyDescent="0.25">
      <c r="G86" s="8"/>
      <c r="J86" s="2"/>
    </row>
    <row r="88" spans="1:10" x14ac:dyDescent="0.25">
      <c r="B88" s="13" t="s">
        <v>59</v>
      </c>
      <c r="C88" s="3"/>
      <c r="D88" s="3"/>
      <c r="E88" s="3"/>
      <c r="F88" s="3" t="s">
        <v>0</v>
      </c>
      <c r="G88" s="3" t="s">
        <v>1</v>
      </c>
      <c r="H88" s="3"/>
      <c r="I88" s="3"/>
      <c r="J88" s="3" t="s">
        <v>1</v>
      </c>
    </row>
    <row r="89" spans="1:10" x14ac:dyDescent="0.25">
      <c r="C89" s="3" t="s">
        <v>2</v>
      </c>
      <c r="D89" s="3"/>
      <c r="E89" s="3" t="s">
        <v>4</v>
      </c>
      <c r="F89" s="3" t="s">
        <v>5</v>
      </c>
      <c r="G89" s="3" t="s">
        <v>6</v>
      </c>
      <c r="H89" s="3"/>
      <c r="I89" s="3" t="s">
        <v>7</v>
      </c>
      <c r="J89" s="3" t="s">
        <v>6</v>
      </c>
    </row>
    <row r="90" spans="1:10" x14ac:dyDescent="0.25">
      <c r="C90" s="3"/>
      <c r="D90" s="3"/>
      <c r="E90" s="3" t="s">
        <v>9</v>
      </c>
      <c r="F90" s="3" t="s">
        <v>10</v>
      </c>
      <c r="G90" s="3" t="s">
        <v>0</v>
      </c>
      <c r="H90" s="3"/>
      <c r="I90" s="3" t="s">
        <v>11</v>
      </c>
      <c r="J90" s="3" t="s">
        <v>12</v>
      </c>
    </row>
    <row r="92" spans="1:10" x14ac:dyDescent="0.25">
      <c r="A92" s="13" t="s">
        <v>44</v>
      </c>
    </row>
    <row r="93" spans="1:10" x14ac:dyDescent="0.25">
      <c r="B93" t="s">
        <v>45</v>
      </c>
      <c r="C93" s="1">
        <v>347288</v>
      </c>
      <c r="D93" s="1"/>
      <c r="E93" s="1"/>
      <c r="F93" s="9">
        <v>31.5</v>
      </c>
      <c r="G93" s="8">
        <f>ROUND(C93*F93,2)</f>
        <v>10939572</v>
      </c>
    </row>
    <row r="94" spans="1:10" x14ac:dyDescent="0.25">
      <c r="B94" t="s">
        <v>46</v>
      </c>
      <c r="C94" s="1">
        <f>C93*365.25/12</f>
        <v>10570578.5</v>
      </c>
      <c r="D94" s="1"/>
      <c r="E94" s="1"/>
      <c r="F94" s="9"/>
      <c r="G94" s="8"/>
      <c r="I94" s="5">
        <v>1.04</v>
      </c>
      <c r="J94" s="8">
        <f>ROUND(I94*C94,2)</f>
        <v>10993401.640000001</v>
      </c>
    </row>
    <row r="95" spans="1:10" x14ac:dyDescent="0.25">
      <c r="B95" t="s">
        <v>47</v>
      </c>
      <c r="C95" s="1"/>
      <c r="D95" s="1"/>
      <c r="E95" s="1">
        <v>369613803.86833644</v>
      </c>
      <c r="F95" s="10">
        <v>0.10297000000000001</v>
      </c>
      <c r="G95" s="8">
        <f>ROUND(F95*E95,2)</f>
        <v>38059133.380000003</v>
      </c>
      <c r="I95" s="5"/>
      <c r="J95" s="8"/>
    </row>
    <row r="96" spans="1:10" x14ac:dyDescent="0.25">
      <c r="B96" t="s">
        <v>48</v>
      </c>
      <c r="C96" s="1"/>
      <c r="D96" s="1"/>
      <c r="E96" s="1"/>
      <c r="F96" s="9"/>
      <c r="G96" s="8"/>
      <c r="I96" s="5">
        <v>7.3539999999999994E-2</v>
      </c>
      <c r="J96" s="8">
        <f>ROUND(I96*$E$95,2)</f>
        <v>27181399.140000001</v>
      </c>
    </row>
    <row r="97" spans="2:10" x14ac:dyDescent="0.25">
      <c r="B97" t="s">
        <v>49</v>
      </c>
      <c r="C97" s="1"/>
      <c r="D97" s="1"/>
      <c r="E97" s="1"/>
      <c r="F97" s="9"/>
      <c r="G97" s="8"/>
      <c r="I97" s="5">
        <v>3.2829999999999998E-2</v>
      </c>
      <c r="J97" s="8">
        <f>ROUND(I97*$E$95,2)</f>
        <v>12134421.18</v>
      </c>
    </row>
    <row r="98" spans="2:10" x14ac:dyDescent="0.25">
      <c r="B98" t="s">
        <v>50</v>
      </c>
      <c r="C98" s="1"/>
      <c r="D98" s="1"/>
      <c r="E98" s="1"/>
      <c r="F98" s="9"/>
      <c r="G98" s="8"/>
      <c r="I98" s="5">
        <f>SUM(I96:I97)</f>
        <v>0.10636999999999999</v>
      </c>
      <c r="J98" s="8"/>
    </row>
    <row r="99" spans="2:10" x14ac:dyDescent="0.25">
      <c r="C99" s="1"/>
      <c r="D99" s="1"/>
      <c r="E99" s="1"/>
      <c r="F99" s="9"/>
      <c r="G99" s="8"/>
      <c r="I99" s="5"/>
      <c r="J99" s="8"/>
    </row>
    <row r="100" spans="2:10" x14ac:dyDescent="0.25">
      <c r="B100" t="s">
        <v>51</v>
      </c>
      <c r="C100" s="1">
        <v>203879</v>
      </c>
      <c r="D100" s="1"/>
      <c r="E100" s="1"/>
      <c r="F100" s="9">
        <v>50.4</v>
      </c>
      <c r="G100" s="8">
        <f>ROUND(C100*F100,2)</f>
        <v>10275501.6</v>
      </c>
      <c r="I100" s="5"/>
      <c r="J100" s="8"/>
    </row>
    <row r="101" spans="2:10" x14ac:dyDescent="0.25">
      <c r="B101" t="s">
        <v>52</v>
      </c>
      <c r="C101" s="1">
        <f>C100*365/12</f>
        <v>6201319.583333333</v>
      </c>
      <c r="D101" s="1"/>
      <c r="E101" s="1"/>
      <c r="F101" s="9"/>
      <c r="G101" s="8"/>
      <c r="I101" s="5">
        <v>1.66</v>
      </c>
      <c r="J101" s="8">
        <f>ROUND(I101*C101,2)</f>
        <v>10294190.51</v>
      </c>
    </row>
    <row r="102" spans="2:10" x14ac:dyDescent="0.25">
      <c r="B102" t="s">
        <v>53</v>
      </c>
      <c r="C102" s="1"/>
      <c r="D102" s="1"/>
      <c r="E102" s="1">
        <v>910336319.3435607</v>
      </c>
      <c r="F102" s="9">
        <v>0.10297000000000001</v>
      </c>
      <c r="G102" s="8">
        <f>ROUND(F102*E102,2)</f>
        <v>93737330.799999997</v>
      </c>
      <c r="I102" s="5"/>
      <c r="J102" s="8"/>
    </row>
    <row r="103" spans="2:10" x14ac:dyDescent="0.25">
      <c r="B103" t="s">
        <v>54</v>
      </c>
      <c r="C103" s="1"/>
      <c r="D103" s="1"/>
      <c r="E103" s="1"/>
      <c r="F103" s="9"/>
      <c r="G103" s="8"/>
      <c r="I103" s="5">
        <f>I96</f>
        <v>7.3539999999999994E-2</v>
      </c>
      <c r="J103" s="8">
        <f>ROUND(I103*$E$102,2)</f>
        <v>66946132.920000002</v>
      </c>
    </row>
    <row r="104" spans="2:10" x14ac:dyDescent="0.25">
      <c r="B104" t="s">
        <v>55</v>
      </c>
      <c r="C104" s="1"/>
      <c r="D104" s="1"/>
      <c r="E104" s="1"/>
      <c r="F104" s="9"/>
      <c r="G104" s="8"/>
      <c r="I104" s="5">
        <f>I97</f>
        <v>3.2829999999999998E-2</v>
      </c>
      <c r="J104" s="8">
        <f>ROUND(I104*$E$102,2)</f>
        <v>29886341.359999999</v>
      </c>
    </row>
    <row r="105" spans="2:10" x14ac:dyDescent="0.25">
      <c r="B105" t="s">
        <v>56</v>
      </c>
      <c r="C105" s="1"/>
      <c r="D105" s="1"/>
      <c r="E105" s="1"/>
      <c r="F105" s="9"/>
      <c r="G105" s="8"/>
      <c r="I105" s="5">
        <f>SUM(I103:I104)</f>
        <v>0.10636999999999999</v>
      </c>
      <c r="J105" s="8"/>
    </row>
    <row r="106" spans="2:10" x14ac:dyDescent="0.25">
      <c r="C106" s="1"/>
      <c r="D106" s="1"/>
      <c r="E106" s="1"/>
      <c r="F106" s="9"/>
      <c r="G106" s="8"/>
      <c r="I106" s="5"/>
      <c r="J106" s="8"/>
    </row>
    <row r="107" spans="2:10" x14ac:dyDescent="0.25">
      <c r="B107" t="s">
        <v>41</v>
      </c>
      <c r="C107" s="1"/>
      <c r="D107" s="1"/>
      <c r="E107" s="1">
        <v>-191603.2409444777</v>
      </c>
      <c r="F107" s="9">
        <v>3.4009999999999999E-2</v>
      </c>
      <c r="G107" s="8">
        <v>-6516.4262245216796</v>
      </c>
      <c r="I107" s="5">
        <f>I98</f>
        <v>0.10636999999999999</v>
      </c>
      <c r="J107" s="8">
        <f>E107*I107</f>
        <v>-20380.83673926409</v>
      </c>
    </row>
    <row r="108" spans="2:10" x14ac:dyDescent="0.25">
      <c r="G108" s="8"/>
      <c r="J108" s="8"/>
    </row>
    <row r="109" spans="2:10" x14ac:dyDescent="0.25">
      <c r="B109" t="s">
        <v>21</v>
      </c>
      <c r="G109" s="8">
        <f>SUM(G93:G108)</f>
        <v>153005021.35377547</v>
      </c>
      <c r="J109" s="8">
        <f>SUM(J93:J108)</f>
        <v>157415505.91326073</v>
      </c>
    </row>
    <row r="110" spans="2:10" x14ac:dyDescent="0.25">
      <c r="B110" t="s">
        <v>22</v>
      </c>
      <c r="G110" s="8">
        <v>0.99999999988413057</v>
      </c>
      <c r="J110" s="8">
        <f>G110</f>
        <v>0.99999999988413057</v>
      </c>
    </row>
    <row r="111" spans="2:10" x14ac:dyDescent="0.25">
      <c r="B111" t="s">
        <v>23</v>
      </c>
      <c r="G111" s="8">
        <f>+ROUND(G109/G110,2)</f>
        <v>153005021.37</v>
      </c>
      <c r="J111" s="8">
        <f>+ROUND(J109/J110,2)</f>
        <v>157415505.93000001</v>
      </c>
    </row>
    <row r="112" spans="2:10" x14ac:dyDescent="0.25">
      <c r="G112" s="8"/>
      <c r="J112" s="8"/>
    </row>
    <row r="113" spans="2:12" x14ac:dyDescent="0.25">
      <c r="B113" t="s">
        <v>57</v>
      </c>
      <c r="F113" s="11">
        <v>-4.3699999999999998E-3</v>
      </c>
      <c r="G113" s="12">
        <f>F113*(E95+E102)</f>
        <v>-5593382.03843599</v>
      </c>
    </row>
    <row r="115" spans="2:12" x14ac:dyDescent="0.25">
      <c r="G115" s="8">
        <f>SUM(G111:G114)</f>
        <v>147411639.33156401</v>
      </c>
      <c r="J115" s="8">
        <f>SUM(J111:J114)</f>
        <v>157415505.93000001</v>
      </c>
      <c r="L115" s="8">
        <f>J115-G115</f>
        <v>10003866.598435998</v>
      </c>
    </row>
    <row r="116" spans="2:12" x14ac:dyDescent="0.25">
      <c r="B116" t="s">
        <v>58</v>
      </c>
      <c r="L116" s="2">
        <f>L115/G115</f>
        <v>6.7863478377951633E-2</v>
      </c>
    </row>
    <row r="117" spans="2:12" x14ac:dyDescent="0.25">
      <c r="B117" t="s">
        <v>33</v>
      </c>
      <c r="J117" s="2"/>
    </row>
    <row r="118" spans="2:12" x14ac:dyDescent="0.25">
      <c r="B118" t="s">
        <v>24</v>
      </c>
      <c r="G118" s="8">
        <v>-19442442.369999997</v>
      </c>
      <c r="J118" s="8">
        <f>G118</f>
        <v>-19442442.369999997</v>
      </c>
    </row>
    <row r="119" spans="2:12" x14ac:dyDescent="0.25">
      <c r="G119" s="8"/>
      <c r="J119" s="8"/>
    </row>
    <row r="120" spans="2:12" x14ac:dyDescent="0.25">
      <c r="B120" t="s">
        <v>25</v>
      </c>
      <c r="G120" s="8">
        <f>SUM(G115:G119)</f>
        <v>127969196.961564</v>
      </c>
      <c r="J120" s="8">
        <f>SUM(J115:J119)</f>
        <v>137973063.56</v>
      </c>
    </row>
    <row r="121" spans="2:12" x14ac:dyDescent="0.25">
      <c r="G121" s="8"/>
      <c r="J121" s="8"/>
    </row>
    <row r="122" spans="2:12" x14ac:dyDescent="0.25">
      <c r="B122" t="s">
        <v>26</v>
      </c>
      <c r="G122" s="8">
        <v>-604076.51</v>
      </c>
      <c r="J122" s="8">
        <f>G122</f>
        <v>-604076.51</v>
      </c>
    </row>
    <row r="123" spans="2:12" x14ac:dyDescent="0.25">
      <c r="B123" t="s">
        <v>27</v>
      </c>
      <c r="G123" s="8">
        <v>181827.29</v>
      </c>
      <c r="J123" s="8">
        <f>G123</f>
        <v>181827.29</v>
      </c>
    </row>
    <row r="124" spans="2:12" x14ac:dyDescent="0.25">
      <c r="B124" t="s">
        <v>28</v>
      </c>
      <c r="G124" s="8">
        <v>13268578.710000001</v>
      </c>
      <c r="J124" s="8">
        <f>G124</f>
        <v>13268578.710000001</v>
      </c>
    </row>
    <row r="125" spans="2:12" x14ac:dyDescent="0.25">
      <c r="B125" t="s">
        <v>29</v>
      </c>
      <c r="G125" s="8">
        <v>-108743.27</v>
      </c>
      <c r="J125" s="8">
        <f>G125</f>
        <v>-108743.27</v>
      </c>
    </row>
    <row r="126" spans="2:12" x14ac:dyDescent="0.25">
      <c r="B126" t="s">
        <v>30</v>
      </c>
      <c r="G126" s="8">
        <f>-G118</f>
        <v>19442442.369999997</v>
      </c>
      <c r="J126" s="8">
        <f>G126</f>
        <v>19442442.369999997</v>
      </c>
    </row>
    <row r="127" spans="2:12" x14ac:dyDescent="0.25">
      <c r="G127" s="8"/>
      <c r="J127" s="8"/>
    </row>
    <row r="128" spans="2:12" x14ac:dyDescent="0.25">
      <c r="B128" t="s">
        <v>31</v>
      </c>
      <c r="G128" s="8">
        <f>SUM(G120:G126)</f>
        <v>160149225.55156401</v>
      </c>
      <c r="J128" s="8">
        <f>SUM(J120:J126)</f>
        <v>170153092.15000001</v>
      </c>
    </row>
    <row r="129" spans="2:10" x14ac:dyDescent="0.25">
      <c r="G129" s="8"/>
      <c r="J129" s="8"/>
    </row>
    <row r="130" spans="2:10" x14ac:dyDescent="0.25">
      <c r="B130" t="s">
        <v>32</v>
      </c>
      <c r="G130" s="8"/>
      <c r="J130" s="8">
        <f>J128-G128</f>
        <v>10003866.598435998</v>
      </c>
    </row>
    <row r="131" spans="2:10" x14ac:dyDescent="0.25">
      <c r="B131" t="s">
        <v>33</v>
      </c>
      <c r="J131" s="2">
        <f>J130/G128</f>
        <v>6.2465906806492832E-2</v>
      </c>
    </row>
  </sheetData>
  <pageMargins left="0.7" right="0.7" top="0.75" bottom="0.75" header="0.3" footer="0.3"/>
  <pageSetup scale="47" orientation="landscape" horizontalDpi="0" verticalDpi="0" r:id="rId1"/>
  <rowBreaks count="2" manualBreakCount="2">
    <brk id="4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Willhite</dc:creator>
  <cp:lastModifiedBy>Ron Willhite</cp:lastModifiedBy>
  <cp:lastPrinted>2019-01-23T16:34:17Z</cp:lastPrinted>
  <dcterms:created xsi:type="dcterms:W3CDTF">2019-01-23T15:43:44Z</dcterms:created>
  <dcterms:modified xsi:type="dcterms:W3CDTF">2019-01-27T17:04:14Z</dcterms:modified>
</cp:coreProperties>
</file>