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20" windowWidth="14940" windowHeight="922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C-1'!$A$1:$G$39</definedName>
    <definedName name="_xlnm.Print_Area" localSheetId="5">'SCH H-1'!$A$1:$F$36</definedName>
    <definedName name="_xlnm.Print_Area" localSheetId="6">'SCH J-1 G'!$A$1:$M$44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E41" i="22" l="1"/>
  <c r="D36" i="23"/>
  <c r="G32" i="23"/>
  <c r="D32" i="23"/>
  <c r="G26" i="23"/>
  <c r="G25" i="23"/>
  <c r="D25" i="23"/>
  <c r="D24" i="23"/>
  <c r="D23" i="23"/>
  <c r="D22" i="23"/>
  <c r="E28" i="23"/>
  <c r="C28" i="23"/>
  <c r="F18" i="23"/>
  <c r="G16" i="23"/>
  <c r="G15" i="23"/>
  <c r="E18" i="23"/>
  <c r="E30" i="23" s="1"/>
  <c r="D15" i="23"/>
  <c r="C18" i="23"/>
  <c r="C30" i="23" s="1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34" i="23" l="1"/>
  <c r="E38" i="23"/>
  <c r="D18" i="23"/>
  <c r="G18" i="23"/>
  <c r="C38" i="23"/>
  <c r="C34" i="23"/>
  <c r="G21" i="23"/>
  <c r="G24" i="23"/>
  <c r="D16" i="23"/>
  <c r="D21" i="23"/>
  <c r="G22" i="23"/>
  <c r="D26" i="23"/>
  <c r="G36" i="23"/>
  <c r="F28" i="23"/>
  <c r="F40" i="23" s="1"/>
  <c r="G23" i="23" l="1"/>
  <c r="G28" i="23"/>
  <c r="G40" i="23" s="1"/>
  <c r="D28" i="23"/>
  <c r="D30" i="23" s="1"/>
  <c r="G30" i="23" l="1"/>
  <c r="F30" i="23" l="1"/>
  <c r="G38" i="23"/>
  <c r="G34" i="23"/>
  <c r="D43" i="24" l="1"/>
  <c r="Q41" i="24"/>
  <c r="O41" i="24"/>
  <c r="R41" i="24" s="1"/>
  <c r="E41" i="24"/>
  <c r="F41" i="24" s="1"/>
  <c r="R39" i="24"/>
  <c r="P39" i="24"/>
  <c r="O39" i="24"/>
  <c r="Q39" i="24" s="1"/>
  <c r="F39" i="24"/>
  <c r="F43" i="24" s="1"/>
  <c r="E39" i="24"/>
  <c r="O37" i="24"/>
  <c r="O43" i="24" s="1"/>
  <c r="F37" i="24"/>
  <c r="K31" i="24"/>
  <c r="L21" i="24"/>
  <c r="D21" i="24"/>
  <c r="O19" i="24" s="1"/>
  <c r="F19" i="24"/>
  <c r="E19" i="24"/>
  <c r="Q17" i="24"/>
  <c r="O17" i="24"/>
  <c r="R17" i="24" s="1"/>
  <c r="E17" i="24"/>
  <c r="F17" i="24" s="1"/>
  <c r="F15" i="24"/>
  <c r="F21" i="24" s="1"/>
  <c r="S19" i="24" l="1"/>
  <c r="R19" i="24"/>
  <c r="Q19" i="24"/>
  <c r="P19" i="24"/>
  <c r="S17" i="24"/>
  <c r="Q37" i="24"/>
  <c r="Q44" i="24" s="1"/>
  <c r="S41" i="24"/>
  <c r="O15" i="24"/>
  <c r="P17" i="24"/>
  <c r="G17" i="24" s="1"/>
  <c r="H17" i="24" s="1"/>
  <c r="R37" i="24"/>
  <c r="R44" i="24" s="1"/>
  <c r="S39" i="24"/>
  <c r="G39" i="24" s="1"/>
  <c r="H39" i="24" s="1"/>
  <c r="P41" i="24"/>
  <c r="S37" i="24"/>
  <c r="S44" i="24" s="1"/>
  <c r="P37" i="24"/>
  <c r="G19" i="24" l="1"/>
  <c r="H19" i="24" s="1"/>
  <c r="G37" i="24"/>
  <c r="P44" i="24"/>
  <c r="G41" i="24"/>
  <c r="H41" i="24" s="1"/>
  <c r="O21" i="24"/>
  <c r="Q15" i="24"/>
  <c r="Q22" i="24" s="1"/>
  <c r="P15" i="24"/>
  <c r="S15" i="24"/>
  <c r="S22" i="24" s="1"/>
  <c r="R15" i="24"/>
  <c r="R22" i="24" s="1"/>
  <c r="G43" i="24" l="1"/>
  <c r="H37" i="24"/>
  <c r="G15" i="24"/>
  <c r="P22" i="24"/>
  <c r="E14" i="22"/>
  <c r="H43" i="24" l="1"/>
  <c r="I37" i="24"/>
  <c r="G21" i="24"/>
  <c r="H15" i="24"/>
  <c r="H21" i="24" l="1"/>
  <c r="I15" i="24"/>
  <c r="K37" i="24"/>
  <c r="I39" i="24"/>
  <c r="K39" i="24" s="1"/>
  <c r="I41" i="24"/>
  <c r="K41" i="24" s="1"/>
  <c r="E30" i="22"/>
  <c r="K43" i="24" l="1"/>
  <c r="I43" i="24"/>
  <c r="K15" i="24"/>
  <c r="I17" i="24"/>
  <c r="K17" i="24" s="1"/>
  <c r="I19" i="24"/>
  <c r="K19" i="24" s="1"/>
  <c r="D26" i="22"/>
  <c r="D20" i="18"/>
  <c r="D22" i="18" s="1"/>
  <c r="E22" i="18" s="1"/>
  <c r="E18" i="18"/>
  <c r="E20" i="18" s="1"/>
  <c r="E16" i="18"/>
  <c r="K21" i="24" l="1"/>
  <c r="I21" i="24"/>
  <c r="E28" i="18"/>
  <c r="E30" i="18" s="1"/>
  <c r="E24" i="18"/>
  <c r="E26" i="18" s="1"/>
  <c r="D14" i="22" l="1"/>
  <c r="D16" i="22" l="1"/>
  <c r="E16" i="22"/>
  <c r="E32" i="22"/>
  <c r="E20" i="22" l="1"/>
  <c r="A8" i="22"/>
  <c r="A5" i="22"/>
  <c r="A4" i="22"/>
  <c r="A2" i="22"/>
  <c r="A1" i="22"/>
  <c r="E22" i="22" l="1"/>
  <c r="D18" i="22"/>
  <c r="E18" i="22" l="1"/>
  <c r="E24" i="22"/>
  <c r="E34" i="22"/>
  <c r="D20" i="22" l="1"/>
  <c r="D22" i="22" s="1"/>
  <c r="D24" i="22" s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<sst xmlns="http://schemas.openxmlformats.org/spreadsheetml/2006/main" count="239" uniqueCount="148">
  <si>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</si>
  <si>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</si>
  <si>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</si>
  <si>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</si>
  <si>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</si>
  <si>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</si>
  <si>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</si>
  <si>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</si>
  <si>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</si>
  <si>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</si>
  <si>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</si>
  <si>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</si>
  <si>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</si>
  <si>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</si>
  <si>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</si>
  <si>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</si>
  <si>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</si>
  <si>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</si>
  <si>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</si>
  <si>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</si>
  <si>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</si>
  <si>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</si>
  <si>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</si>
  <si>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</si>
  <si>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</si>
  <si>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</si>
  <si>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</si>
  <si>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</si>
  <si>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</si>
  <si>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</si>
  <si>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</si>
  <si>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</si>
  <si>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</si>
  <si>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</si>
  <si>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</si>
  <si>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</si>
  <si>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</si>
  <si>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</si>
  <si>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</si>
  <si>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</si>
  <si>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</si>
  <si>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</si>
  <si>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</si>
  <si>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</si>
  <si>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</si>
  <si>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</si>
  <si>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</si>
  <si>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</si>
  <si>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</si>
  <si>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</si>
  <si>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</si>
  <si>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</si>
  <si>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</si>
  <si>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</si>
  <si>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</si>
  <si>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</si>
  <si>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</si>
  <si>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</si>
  <si>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</si>
  <si>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</si>
  <si>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</si>
  <si>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</si>
  <si>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</si>
  <si>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</si>
  <si>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</si>
  <si>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</si>
  <si>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</si>
  <si>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</si>
  <si>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</si>
  <si>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</si>
  <si>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</si>
  <si>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</si>
  <si>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</si>
  <si>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</si>
  <si>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</si>
  <si>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</si>
  <si>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</si>
  <si>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</si>
  <si>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</si>
  <si>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</si>
  <si>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</si>
  <si>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</si>
  <si>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</si>
  <si>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</si>
  <si>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</si>
  <si>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</si>
  <si>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</si>
  <si>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</si>
  <si>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</si>
  <si>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</si>
  <si>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</si>
  <si>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</si>
  <si>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</si>
  <si>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</si>
  <si>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</si>
  <si>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</si>
  <si>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</si>
  <si>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</si>
  <si>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</si>
  <si>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</si>
  <si>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</si>
  <si>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</si>
  <si>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</si>
  <si>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</si>
  <si>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</si>
  <si>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</si>
  <si>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</si>
  <si>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</si>
  <si>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</si>
  <si>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</si>
  <si>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</si>
  <si>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</si>
  <si>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</si>
  <si>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</si>
  <si>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</si>
  <si>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</si>
  <si>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</si>
  <si>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</si>
  <si>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</si>
  <si>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</si>
  <si>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</si>
  <si>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</si>
  <si>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</si>
  <si>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</si>
  <si>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</si>
  <si>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</si>
  <si>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</si>
  <si>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</si>
  <si>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</si>
  <si>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</si>
  <si>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</si>
  <si>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</si>
  <si>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</si>
  <si>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</si>
  <si>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</si>
  <si>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</si>
  <si>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</si>
  <si>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</si>
  <si>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</si>
  <si>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</si>
  <si>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</si>
  <si>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</si>
  <si>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</si>
  <si>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</si>
  <si>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CASE NO. 2018-00295</t>
  </si>
  <si>
    <t>CASE NO. 2018-00295 - GAS OPERATIONS - RESPONSE TO PSC 2-75 (SLIPPAGE FACTOR 97.153%)</t>
  </si>
  <si>
    <t>Change</t>
  </si>
  <si>
    <t>PSC 1-53_Sch_A_Gas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</si>
</sst>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21" sqref="C2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6" t="s">
        <v>103</v>
      </c>
      <c r="B1" s="66"/>
      <c r="C1" s="66"/>
    </row>
    <row r="2" spans="1:3" ht="15.75" x14ac:dyDescent="0.25">
      <c r="A2" s="66" t="s">
        <v>3</v>
      </c>
      <c r="B2" s="66"/>
      <c r="C2" s="66"/>
    </row>
    <row r="3" spans="1:3" ht="15.75" x14ac:dyDescent="0.25">
      <c r="A3" s="66" t="s">
        <v>128</v>
      </c>
      <c r="B3" s="66"/>
      <c r="C3" s="66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103</v>
      </c>
    </row>
    <row r="10" spans="1:3" x14ac:dyDescent="0.2">
      <c r="A10" s="2" t="s">
        <v>6</v>
      </c>
      <c r="C10" s="62" t="s">
        <v>145</v>
      </c>
    </row>
    <row r="11" spans="1:3" x14ac:dyDescent="0.2">
      <c r="A11" s="2" t="s">
        <v>7</v>
      </c>
      <c r="C11" s="62" t="s">
        <v>129</v>
      </c>
    </row>
    <row r="12" spans="1:3" x14ac:dyDescent="0.2">
      <c r="C12" s="62" t="s">
        <v>130</v>
      </c>
    </row>
    <row r="13" spans="1:3" x14ac:dyDescent="0.2">
      <c r="C13" s="62" t="s">
        <v>131</v>
      </c>
    </row>
    <row r="14" spans="1:3" x14ac:dyDescent="0.2">
      <c r="C14" s="62" t="s">
        <v>132</v>
      </c>
    </row>
    <row r="15" spans="1:3" x14ac:dyDescent="0.2">
      <c r="C15" s="62" t="s">
        <v>133</v>
      </c>
    </row>
    <row r="16" spans="1:3" x14ac:dyDescent="0.2">
      <c r="C16" s="62" t="s">
        <v>134</v>
      </c>
    </row>
    <row r="17" spans="1:3" x14ac:dyDescent="0.2">
      <c r="A17" s="2" t="s">
        <v>8</v>
      </c>
      <c r="C17" s="63" t="s">
        <v>135</v>
      </c>
    </row>
    <row r="18" spans="1:3" x14ac:dyDescent="0.2">
      <c r="C18" s="62" t="s">
        <v>136</v>
      </c>
    </row>
    <row r="19" spans="1:3" x14ac:dyDescent="0.2">
      <c r="C19" s="62" t="s">
        <v>137</v>
      </c>
    </row>
    <row r="20" spans="1:3" x14ac:dyDescent="0.2">
      <c r="C20" s="62" t="s">
        <v>138</v>
      </c>
    </row>
    <row r="21" spans="1:3" x14ac:dyDescent="0.2">
      <c r="C21" s="62" t="s">
        <v>139</v>
      </c>
    </row>
    <row r="22" spans="1:3" x14ac:dyDescent="0.2">
      <c r="C22" s="62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>
      <selection activeCell="A12" sqref="A12:C12"/>
    </sheetView>
  </sheetViews>
  <sheetFormatPr defaultRowHeight="12.75" x14ac:dyDescent="0.2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x14ac:dyDescent="0.2">
      <c r="A6" s="67" t="s">
        <v>71</v>
      </c>
      <c r="B6" s="67"/>
      <c r="C6" s="67"/>
    </row>
    <row r="7" spans="1:3" x14ac:dyDescent="0.2">
      <c r="A7" s="38"/>
      <c r="B7" s="38"/>
      <c r="C7" s="38"/>
    </row>
    <row r="8" spans="1:3" x14ac:dyDescent="0.2">
      <c r="A8" s="67" t="s">
        <v>72</v>
      </c>
      <c r="B8" s="67"/>
      <c r="C8" s="67"/>
    </row>
    <row r="9" spans="1:3" x14ac:dyDescent="0.2">
      <c r="A9" s="38"/>
      <c r="B9" s="38"/>
      <c r="C9" s="38"/>
    </row>
    <row r="10" spans="1:3" x14ac:dyDescent="0.2">
      <c r="A10" s="68" t="str">
        <f>'Rate Case Constants'!C9</f>
        <v>LOUISVILLE GAS AND ELECTRIC COMPANY</v>
      </c>
      <c r="B10" s="67"/>
      <c r="C10" s="67"/>
    </row>
    <row r="11" spans="1:3" x14ac:dyDescent="0.2">
      <c r="A11" s="38"/>
      <c r="B11" s="38"/>
      <c r="C11" s="38"/>
    </row>
    <row r="12" spans="1:3" x14ac:dyDescent="0.2">
      <c r="A12" s="68" t="str">
        <f>'Rate Case Constants'!C10</f>
        <v>CASE NO. 2018-00295 - GAS OPERATIONS - RESPONSE TO PSC 2-75 (SLIPPAGE FACTOR 97.153%)</v>
      </c>
      <c r="B12" s="67"/>
      <c r="C12" s="67"/>
    </row>
    <row r="13" spans="1:3" x14ac:dyDescent="0.2">
      <c r="A13" s="38"/>
      <c r="B13" s="38"/>
      <c r="C13" s="38"/>
    </row>
    <row r="14" spans="1:3" x14ac:dyDescent="0.2">
      <c r="A14" s="38"/>
      <c r="B14" s="38"/>
      <c r="C14" s="38"/>
    </row>
    <row r="15" spans="1:3" x14ac:dyDescent="0.2">
      <c r="A15" s="38"/>
      <c r="B15" s="38"/>
      <c r="C15" s="38"/>
    </row>
    <row r="16" spans="1:3" x14ac:dyDescent="0.2">
      <c r="A16" s="39" t="s">
        <v>73</v>
      </c>
      <c r="B16" s="38"/>
      <c r="C16" s="56" t="str">
        <f>'Rate Case Constants'!C16</f>
        <v>FOR THE 12 MONTHS ENDED DECEMBER 31, 2018</v>
      </c>
    </row>
    <row r="17" spans="1:3" x14ac:dyDescent="0.2">
      <c r="A17" s="38"/>
      <c r="B17" s="38"/>
      <c r="C17" s="38"/>
    </row>
    <row r="18" spans="1:3" x14ac:dyDescent="0.2">
      <c r="A18" s="39" t="s">
        <v>74</v>
      </c>
      <c r="B18" s="38"/>
      <c r="C18" s="56" t="str">
        <f>'Rate Case Constants'!C22</f>
        <v>FOR THE 12 MONTHS ENDED APRIL 30, 2020</v>
      </c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40" t="s">
        <v>17</v>
      </c>
      <c r="B21" s="41"/>
      <c r="C21" s="40" t="s">
        <v>18</v>
      </c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42" t="s">
        <v>42</v>
      </c>
      <c r="B24" s="43"/>
      <c r="C24" s="42" t="s">
        <v>41</v>
      </c>
    </row>
    <row r="25" spans="1:3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Normal="100" workbookViewId="0">
      <selection activeCell="D34" sqref="D34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9" t="str">
        <f>'Rate Case Constants'!C9</f>
        <v>LOUISVILLE GAS AND ELECTRIC COMPANY</v>
      </c>
      <c r="B1" s="70"/>
      <c r="C1" s="70"/>
      <c r="D1" s="70"/>
      <c r="E1" s="70"/>
    </row>
    <row r="2" spans="1:5" s="7" customFormat="1" ht="20.100000000000001" customHeight="1" x14ac:dyDescent="0.2">
      <c r="A2" s="69" t="str">
        <f>'Rate Case Constants'!C10</f>
        <v>CASE NO. 2018-00295 - GAS OPERATIONS - RESPONSE TO PSC 2-75 (SLIPPAGE FACTOR 97.153%)</v>
      </c>
      <c r="B2" s="70"/>
      <c r="C2" s="70"/>
      <c r="D2" s="70"/>
      <c r="E2" s="70"/>
    </row>
    <row r="3" spans="1:5" s="7" customFormat="1" ht="20.100000000000001" customHeight="1" x14ac:dyDescent="0.2">
      <c r="A3" s="70" t="s">
        <v>41</v>
      </c>
      <c r="B3" s="70"/>
      <c r="C3" s="70"/>
      <c r="D3" s="70"/>
      <c r="E3" s="70"/>
    </row>
    <row r="4" spans="1:5" s="7" customFormat="1" ht="20.100000000000001" customHeight="1" x14ac:dyDescent="0.2">
      <c r="A4" s="70" t="str">
        <f>'Rate Case Constants'!C15</f>
        <v>BASE YEAR FOR THE 12 MONTHS ENDED DECEMBER 31, 2018</v>
      </c>
      <c r="B4" s="70"/>
      <c r="C4" s="70"/>
      <c r="D4" s="70"/>
      <c r="E4" s="70"/>
    </row>
    <row r="5" spans="1:5" s="7" customFormat="1" ht="20.100000000000001" customHeight="1" x14ac:dyDescent="0.2">
      <c r="A5" s="70" t="str">
        <f>'Rate Case Constants'!C21</f>
        <v>FORECAST PERIOD FOR THE 12 MONTHS ENDED APRIL 30, 2020</v>
      </c>
      <c r="B5" s="70"/>
      <c r="C5" s="70"/>
      <c r="D5" s="70"/>
      <c r="E5" s="70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120</v>
      </c>
      <c r="C14" s="16" t="s">
        <v>50</v>
      </c>
      <c r="D14" s="14">
        <f>'SCH C-1'!C32</f>
        <v>751425016.86021948</v>
      </c>
      <c r="E14" s="14">
        <f>'SCH C-1'!E32</f>
        <v>784677757.78398049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43576510.576181144</v>
      </c>
      <c r="E16" s="14">
        <f>'SCH C-1'!E30</f>
        <v>41483147.104042798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5.7991828324085823E-2</v>
      </c>
      <c r="E18" s="27">
        <f>E16/E14</f>
        <v>5.2866475049829297E-2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G'!K43</f>
        <v>7.3668381225535665E-2</v>
      </c>
      <c r="E20" s="27">
        <f>'SCH J-1 G'!L21</f>
        <v>7.620341124033421E-2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/>
      <c r="D22" s="14">
        <f>D14*D20</f>
        <v>55356264.604463212</v>
      </c>
      <c r="E22" s="14">
        <f>E14*E20</f>
        <v>59795121.867556021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/>
      <c r="D24" s="14">
        <f>D22-D16</f>
        <v>11779754.028282069</v>
      </c>
      <c r="E24" s="14">
        <f>E22-E16</f>
        <v>18311974.763513222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H-1'!E30</f>
        <v>1.3375544948124221</v>
      </c>
      <c r="E26" s="28">
        <f>D26</f>
        <v>1.3375544948124221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15756062.948313417</v>
      </c>
      <c r="E28" s="14">
        <f>E24*E26</f>
        <v>24493264.153828751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C-1'!F18</f>
        <v>24924873.969999999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190548382.81521851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215473256.78521851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>
      <c r="B40" s="26" t="s">
        <v>55</v>
      </c>
      <c r="C40" s="7" t="s">
        <v>147</v>
      </c>
      <c r="E40" s="14">
        <v>24925739.168336518</v>
      </c>
    </row>
    <row r="41" spans="1:5" ht="18.95" customHeight="1" x14ac:dyDescent="0.2">
      <c r="C41" s="7" t="s">
        <v>146</v>
      </c>
      <c r="E41" s="14">
        <f>E28-E40</f>
        <v>-432475.01450776681</v>
      </c>
    </row>
    <row r="42" spans="1:5" ht="18.95" customHeight="1" x14ac:dyDescent="0.2">
      <c r="E42" s="14"/>
    </row>
    <row r="43" spans="1:5" ht="18.95" customHeight="1" x14ac:dyDescent="0.2">
      <c r="E43" s="14"/>
    </row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4"/>
  <sheetViews>
    <sheetView zoomScaleNormal="100" workbookViewId="0">
      <selection activeCell="D21" sqref="D2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69" t="s">
        <v>103</v>
      </c>
      <c r="B1" s="70"/>
      <c r="C1" s="70"/>
      <c r="D1" s="70"/>
      <c r="E1" s="70"/>
      <c r="F1" s="70"/>
      <c r="G1" s="70"/>
    </row>
    <row r="2" spans="1:10" s="7" customFormat="1" ht="20.100000000000001" customHeight="1" x14ac:dyDescent="0.2">
      <c r="A2" s="69" t="s">
        <v>145</v>
      </c>
      <c r="B2" s="70"/>
      <c r="C2" s="70"/>
      <c r="D2" s="70"/>
      <c r="E2" s="70"/>
      <c r="F2" s="70"/>
      <c r="G2" s="70"/>
    </row>
    <row r="3" spans="1:10" s="7" customFormat="1" ht="20.100000000000001" customHeight="1" x14ac:dyDescent="0.2">
      <c r="A3" s="70" t="s">
        <v>40</v>
      </c>
      <c r="B3" s="70"/>
      <c r="C3" s="70"/>
      <c r="D3" s="70"/>
      <c r="E3" s="70"/>
      <c r="F3" s="70"/>
      <c r="G3" s="70"/>
    </row>
    <row r="4" spans="1:10" s="7" customFormat="1" ht="20.100000000000001" customHeight="1" x14ac:dyDescent="0.2">
      <c r="A4" s="69" t="s">
        <v>134</v>
      </c>
      <c r="B4" s="70"/>
      <c r="C4" s="70"/>
      <c r="D4" s="70"/>
      <c r="E4" s="70"/>
      <c r="F4" s="70"/>
      <c r="G4" s="70"/>
    </row>
    <row r="5" spans="1:10" s="7" customFormat="1" ht="20.100000000000001" customHeight="1" x14ac:dyDescent="0.2">
      <c r="A5" s="69" t="s">
        <v>140</v>
      </c>
      <c r="B5" s="70"/>
      <c r="C5" s="70"/>
      <c r="D5" s="70"/>
      <c r="E5" s="70"/>
      <c r="F5" s="70"/>
      <c r="G5" s="70"/>
    </row>
    <row r="6" spans="1:10" s="7" customFormat="1" ht="20.100000000000001" customHeight="1" x14ac:dyDescent="0.2">
      <c r="A6" s="65"/>
      <c r="B6" s="65"/>
      <c r="C6" s="65"/>
      <c r="D6" s="65"/>
      <c r="E6" s="65"/>
      <c r="F6" s="65"/>
      <c r="G6" s="65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59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126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75</v>
      </c>
      <c r="G11" s="19" t="s">
        <v>39</v>
      </c>
    </row>
    <row r="12" spans="1:10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104</v>
      </c>
      <c r="C15" s="14">
        <v>172862411.42078441</v>
      </c>
      <c r="D15" s="14">
        <f t="shared" ref="D15:D16" si="0">E15-C15</f>
        <v>8864846.7488853335</v>
      </c>
      <c r="E15" s="14">
        <v>181727258.16966975</v>
      </c>
      <c r="F15" s="14">
        <v>25042771.379999999</v>
      </c>
      <c r="G15" s="14">
        <f>SUM(E15:F15)</f>
        <v>206770029.54966974</v>
      </c>
      <c r="J15" s="14"/>
    </row>
    <row r="16" spans="1:10" ht="18.95" customHeight="1" x14ac:dyDescent="0.2">
      <c r="A16" s="15">
        <f>A15+1</f>
        <v>3</v>
      </c>
      <c r="B16" s="13" t="s">
        <v>23</v>
      </c>
      <c r="C16" s="14">
        <v>7454802.7000847207</v>
      </c>
      <c r="D16" s="14">
        <f t="shared" si="0"/>
        <v>1366321.9454640457</v>
      </c>
      <c r="E16" s="14">
        <v>8821124.6455487665</v>
      </c>
      <c r="F16" s="14">
        <v>-117897.41</v>
      </c>
      <c r="G16" s="14">
        <f t="shared" ref="G16" si="1">SUM(E16:F16)</f>
        <v>8703227.2355487663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180317214.12086913</v>
      </c>
      <c r="D18" s="20">
        <f>SUM(D15:D16)</f>
        <v>10231168.694349378</v>
      </c>
      <c r="E18" s="20">
        <f>SUM(E15:E16)</f>
        <v>190548382.81521851</v>
      </c>
      <c r="F18" s="20">
        <f>SUM(F15:F16)</f>
        <v>24924873.969999999</v>
      </c>
      <c r="G18" s="20">
        <f>SUM(G15:G16)</f>
        <v>215473256.78521851</v>
      </c>
      <c r="J18" s="14"/>
      <c r="K18" s="7"/>
    </row>
    <row r="19" spans="1:11" ht="18.95" customHeight="1" x14ac:dyDescent="0.2">
      <c r="B19" s="13"/>
      <c r="J19" s="60"/>
    </row>
    <row r="20" spans="1:11" ht="18.95" customHeight="1" x14ac:dyDescent="0.2">
      <c r="A20" s="15">
        <f>A18+1</f>
        <v>5</v>
      </c>
      <c r="B20" s="22" t="s">
        <v>22</v>
      </c>
    </row>
    <row r="21" spans="1:11" ht="18.95" customHeight="1" x14ac:dyDescent="0.2">
      <c r="A21" s="15">
        <f>A20+1</f>
        <v>6</v>
      </c>
      <c r="B21" s="13" t="s">
        <v>34</v>
      </c>
      <c r="C21" s="14">
        <v>80701945.074753374</v>
      </c>
      <c r="D21" s="14">
        <f t="shared" ref="D21:D26" si="2">E21-C21</f>
        <v>12914802.372151852</v>
      </c>
      <c r="E21" s="14">
        <v>93616747.446905226</v>
      </c>
      <c r="F21" s="14">
        <v>45363.2706254</v>
      </c>
      <c r="G21" s="14">
        <f t="shared" ref="G21:G26" si="3">SUM(E21:F21)</f>
        <v>93662110.717530623</v>
      </c>
    </row>
    <row r="22" spans="1:11" ht="18.95" customHeight="1" x14ac:dyDescent="0.2">
      <c r="A22" s="15">
        <f>A21+1</f>
        <v>7</v>
      </c>
      <c r="B22" s="1" t="s">
        <v>28</v>
      </c>
      <c r="C22" s="14">
        <v>37068257.641199961</v>
      </c>
      <c r="D22" s="14">
        <f t="shared" si="2"/>
        <v>1268608.6179999709</v>
      </c>
      <c r="E22" s="14">
        <v>38336866.259199932</v>
      </c>
      <c r="F22" s="14"/>
      <c r="G22" s="14">
        <f t="shared" si="3"/>
        <v>38336866.259199932</v>
      </c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11180072.686730986</v>
      </c>
      <c r="D23" s="14">
        <f t="shared" si="2"/>
        <v>566280.39978280477</v>
      </c>
      <c r="E23" s="14">
        <v>11746353.086513791</v>
      </c>
      <c r="F23" s="14">
        <v>49849.747940000001</v>
      </c>
      <c r="G23" s="14">
        <f t="shared" si="3"/>
        <v>11796202.834453791</v>
      </c>
    </row>
    <row r="24" spans="1:11" ht="18.95" customHeight="1" x14ac:dyDescent="0.2">
      <c r="A24" s="15">
        <f t="shared" si="4"/>
        <v>9</v>
      </c>
      <c r="B24" s="1" t="s">
        <v>35</v>
      </c>
      <c r="C24" s="14">
        <v>7815649.4883187618</v>
      </c>
      <c r="D24" s="14">
        <f t="shared" si="2"/>
        <v>-2445727.2364286585</v>
      </c>
      <c r="E24" s="14">
        <v>5369922.2518901033</v>
      </c>
      <c r="F24" s="14">
        <v>6195000.4073829316</v>
      </c>
      <c r="G24" s="14">
        <f t="shared" si="3"/>
        <v>11564922.659273036</v>
      </c>
    </row>
    <row r="25" spans="1:11" ht="18.95" customHeight="1" x14ac:dyDescent="0.2">
      <c r="A25" s="15">
        <f>A24+1</f>
        <v>10</v>
      </c>
      <c r="B25" s="1" t="s">
        <v>29</v>
      </c>
      <c r="C25" s="14">
        <v>-25221.346315095434</v>
      </c>
      <c r="D25" s="14">
        <f t="shared" si="2"/>
        <v>20568.012981762062</v>
      </c>
      <c r="E25" s="14">
        <v>-4653.3333333333721</v>
      </c>
      <c r="F25" s="14"/>
      <c r="G25" s="14">
        <f t="shared" si="3"/>
        <v>-4653.3333333333721</v>
      </c>
    </row>
    <row r="26" spans="1:11" ht="18.95" customHeight="1" x14ac:dyDescent="0.2">
      <c r="A26" s="15">
        <f t="shared" si="4"/>
        <v>11</v>
      </c>
      <c r="B26" s="1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136740703.54468799</v>
      </c>
      <c r="D28" s="21">
        <f t="shared" ref="D28:G28" si="5">SUM(D21:D26)</f>
        <v>12324532.166487731</v>
      </c>
      <c r="E28" s="21">
        <f t="shared" si="5"/>
        <v>149065235.71117571</v>
      </c>
      <c r="F28" s="21">
        <f t="shared" si="5"/>
        <v>6290213.4259483311</v>
      </c>
      <c r="G28" s="21">
        <f t="shared" si="5"/>
        <v>155355449.13712403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43576510.576181144</v>
      </c>
      <c r="D30" s="21">
        <f>D18-D28</f>
        <v>-2093363.4721383527</v>
      </c>
      <c r="E30" s="21">
        <f>E18-E28</f>
        <v>41483147.104042798</v>
      </c>
      <c r="F30" s="21">
        <f>G30-E30</f>
        <v>18634660.544051677</v>
      </c>
      <c r="G30" s="21">
        <f>G18-G28</f>
        <v>60117807.648094475</v>
      </c>
    </row>
    <row r="31" spans="1:11" ht="18.95" customHeight="1" thickTop="1" x14ac:dyDescent="0.2">
      <c r="B31" s="1"/>
      <c r="F31" s="44"/>
    </row>
    <row r="32" spans="1:11" ht="18.95" customHeight="1" thickBot="1" x14ac:dyDescent="0.25">
      <c r="A32" s="15">
        <f>A30+1</f>
        <v>14</v>
      </c>
      <c r="B32" s="24" t="s">
        <v>120</v>
      </c>
      <c r="C32" s="21">
        <v>751425016.86021948</v>
      </c>
      <c r="D32" s="21">
        <f t="shared" ref="D32" si="6">E32-C32</f>
        <v>33252740.92376101</v>
      </c>
      <c r="E32" s="21">
        <v>784677757.78398049</v>
      </c>
      <c r="F32" s="14"/>
      <c r="G32" s="21">
        <f>E32</f>
        <v>784677757.78398049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121</v>
      </c>
      <c r="C34" s="25">
        <f>C30/C32</f>
        <v>5.7991828324085823E-2</v>
      </c>
      <c r="D34" s="14"/>
      <c r="E34" s="25">
        <f>E30/E32</f>
        <v>5.2866475049829297E-2</v>
      </c>
      <c r="F34" s="14"/>
      <c r="G34" s="25">
        <f>G30/G32</f>
        <v>7.6614644740121127E-2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118</v>
      </c>
      <c r="C36" s="21">
        <v>731212635.62698042</v>
      </c>
      <c r="D36" s="21">
        <f t="shared" ref="D36" si="7">E36-C36</f>
        <v>40989495.097852111</v>
      </c>
      <c r="E36" s="21">
        <v>772202130.72483253</v>
      </c>
      <c r="F36" s="14"/>
      <c r="G36" s="21">
        <f>E36</f>
        <v>772202130.72483253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122</v>
      </c>
      <c r="C38" s="25">
        <f>C30/C36</f>
        <v>5.9594854428105359E-2</v>
      </c>
      <c r="D38" s="14"/>
      <c r="E38" s="25">
        <f>E30/E36</f>
        <v>5.3720580989726582E-2</v>
      </c>
      <c r="F38" s="14"/>
      <c r="G38" s="25">
        <f>G30/G36</f>
        <v>7.7852423939395898E-2</v>
      </c>
    </row>
    <row r="39" spans="1:7" ht="18.95" customHeight="1" thickTop="1" x14ac:dyDescent="0.2"/>
    <row r="40" spans="1:7" ht="18.95" customHeight="1" x14ac:dyDescent="0.2">
      <c r="E40" s="9" t="s">
        <v>119</v>
      </c>
      <c r="F40" s="14">
        <f>F18-F28</f>
        <v>18634660.54405167</v>
      </c>
      <c r="G40" s="14">
        <f>G18-G28</f>
        <v>60117807.648094475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Normal="100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9" t="s">
        <v>103</v>
      </c>
      <c r="B1" s="70"/>
      <c r="C1" s="70"/>
      <c r="D1" s="70"/>
      <c r="E1" s="70"/>
    </row>
    <row r="2" spans="1:5" s="7" customFormat="1" ht="20.100000000000001" customHeight="1" x14ac:dyDescent="0.2">
      <c r="A2" s="69" t="s">
        <v>144</v>
      </c>
      <c r="B2" s="70"/>
      <c r="C2" s="70"/>
      <c r="D2" s="70"/>
      <c r="E2" s="70"/>
    </row>
    <row r="3" spans="1:5" s="7" customFormat="1" ht="20.100000000000001" customHeight="1" x14ac:dyDescent="0.2">
      <c r="A3" s="70" t="s">
        <v>60</v>
      </c>
      <c r="B3" s="70"/>
      <c r="C3" s="70"/>
      <c r="D3" s="70"/>
      <c r="E3" s="70"/>
    </row>
    <row r="4" spans="1:5" s="7" customFormat="1" ht="20.100000000000001" customHeight="1" x14ac:dyDescent="0.2">
      <c r="A4" s="69" t="s">
        <v>134</v>
      </c>
      <c r="B4" s="70"/>
      <c r="C4" s="70"/>
      <c r="D4" s="70"/>
      <c r="E4" s="70"/>
    </row>
    <row r="5" spans="1:5" s="7" customFormat="1" ht="20.100000000000001" customHeight="1" x14ac:dyDescent="0.2">
      <c r="A5" s="69" t="s">
        <v>140</v>
      </c>
      <c r="B5" s="70"/>
      <c r="C5" s="70"/>
      <c r="D5" s="70"/>
      <c r="E5" s="70"/>
    </row>
    <row r="6" spans="1:5" s="7" customFormat="1" ht="20.100000000000001" customHeight="1" x14ac:dyDescent="0.2">
      <c r="A6" s="61"/>
      <c r="B6" s="61"/>
      <c r="C6" s="61"/>
      <c r="D6" s="61"/>
      <c r="E6" s="61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141</v>
      </c>
      <c r="D9" s="8"/>
      <c r="E9" s="10" t="s">
        <v>126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71" t="s">
        <v>62</v>
      </c>
      <c r="E11" s="71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1.82E-3</v>
      </c>
      <c r="E16" s="32">
        <f>D16</f>
        <v>1.82E-3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3">
        <v>2E-3</v>
      </c>
      <c r="E18" s="33">
        <f>D18</f>
        <v>2E-3</v>
      </c>
    </row>
    <row r="19" spans="1:5" ht="18.95" customHeight="1" x14ac:dyDescent="0.2">
      <c r="A19" s="15"/>
      <c r="B19" s="22"/>
      <c r="D19" s="32"/>
      <c r="E19" s="32"/>
    </row>
    <row r="20" spans="1:5" ht="18.95" customHeight="1" x14ac:dyDescent="0.2">
      <c r="A20" s="15">
        <v>4</v>
      </c>
      <c r="B20" s="13" t="s">
        <v>67</v>
      </c>
      <c r="C20" s="14"/>
      <c r="D20" s="32">
        <f>D14-D16-D18</f>
        <v>0.99617999999999995</v>
      </c>
      <c r="E20" s="32">
        <f>E14-E16-E18</f>
        <v>0.99617999999999995</v>
      </c>
    </row>
    <row r="21" spans="1:5" ht="18.95" customHeight="1" x14ac:dyDescent="0.2">
      <c r="A21" s="15"/>
      <c r="B21" s="1"/>
      <c r="C21" s="14"/>
      <c r="D21" s="32"/>
      <c r="E21" s="32"/>
    </row>
    <row r="22" spans="1:5" ht="18.95" customHeight="1" x14ac:dyDescent="0.2">
      <c r="A22" s="15">
        <v>5</v>
      </c>
      <c r="B22" s="1" t="s">
        <v>68</v>
      </c>
      <c r="C22" s="27">
        <v>0.05</v>
      </c>
      <c r="D22" s="32">
        <f>D20*C22</f>
        <v>4.9808999999999999E-2</v>
      </c>
      <c r="E22" s="33">
        <f>D22</f>
        <v>4.9808999999999999E-2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3" t="s">
        <v>69</v>
      </c>
      <c r="D24" s="32"/>
      <c r="E24" s="32">
        <f>E20-E22</f>
        <v>0.94637099999999996</v>
      </c>
    </row>
    <row r="25" spans="1:5" ht="18.95" customHeight="1" x14ac:dyDescent="0.2">
      <c r="A25" s="15"/>
      <c r="B25" s="24"/>
      <c r="C25" s="14"/>
      <c r="D25" s="32"/>
      <c r="E25" s="32"/>
    </row>
    <row r="26" spans="1:5" ht="18.95" customHeight="1" x14ac:dyDescent="0.2">
      <c r="A26" s="15">
        <v>7</v>
      </c>
      <c r="B26" s="1" t="s">
        <v>70</v>
      </c>
      <c r="C26" s="27">
        <v>0.21</v>
      </c>
      <c r="D26" s="34"/>
      <c r="E26" s="33">
        <f>E24*C26</f>
        <v>0.19873790999999999</v>
      </c>
    </row>
    <row r="27" spans="1:5" ht="18.95" customHeight="1" x14ac:dyDescent="0.2">
      <c r="A27" s="15"/>
      <c r="B27" s="24"/>
      <c r="C27" s="14"/>
      <c r="D27" s="32"/>
      <c r="E27" s="32"/>
    </row>
    <row r="28" spans="1:5" ht="18.95" customHeight="1" thickBot="1" x14ac:dyDescent="0.25">
      <c r="A28" s="15">
        <v>8</v>
      </c>
      <c r="B28" s="1" t="s">
        <v>142</v>
      </c>
      <c r="E28" s="35">
        <f>E20-E22-E26</f>
        <v>0.74763309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143</v>
      </c>
      <c r="E30" s="36">
        <f>E14/E28</f>
        <v>1.3375544948124221</v>
      </c>
    </row>
    <row r="31" spans="1:5" ht="18.95" customHeight="1" thickTop="1" x14ac:dyDescent="0.2">
      <c r="A31" s="15"/>
      <c r="B31" s="24"/>
      <c r="C31" s="27"/>
      <c r="D31" s="14"/>
      <c r="E31" s="27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E15" sqref="E15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69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s="7" customFormat="1" ht="20.100000000000001" customHeight="1" x14ac:dyDescent="0.2">
      <c r="A2" s="69" t="s">
        <v>144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9" s="7" customFormat="1" ht="20.100000000000001" customHeight="1" x14ac:dyDescent="0.2">
      <c r="A3" s="70" t="s">
        <v>76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9" s="7" customFormat="1" ht="20.100000000000001" customHeight="1" x14ac:dyDescent="0.2">
      <c r="A4" s="69" t="s">
        <v>136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9" s="7" customFormat="1" ht="20.10000000000000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9" s="7" customFormat="1" ht="20.100000000000001" customHeight="1" x14ac:dyDescent="0.2">
      <c r="A6" s="8" t="s">
        <v>77</v>
      </c>
      <c r="L6" s="9"/>
    </row>
    <row r="7" spans="1:19" s="7" customFormat="1" ht="20.100000000000001" customHeight="1" x14ac:dyDescent="0.2">
      <c r="A7" s="8" t="s">
        <v>96</v>
      </c>
      <c r="L7" s="9" t="s">
        <v>97</v>
      </c>
    </row>
    <row r="8" spans="1:19" s="7" customFormat="1" ht="20.100000000000001" customHeight="1" x14ac:dyDescent="0.2">
      <c r="A8" s="7" t="s">
        <v>59</v>
      </c>
      <c r="L8" s="9" t="s">
        <v>105</v>
      </c>
    </row>
    <row r="9" spans="1:19" s="7" customFormat="1" ht="20.100000000000001" customHeight="1" x14ac:dyDescent="0.2">
      <c r="A9" s="8" t="s">
        <v>25</v>
      </c>
      <c r="L9" s="10" t="s">
        <v>127</v>
      </c>
    </row>
    <row r="10" spans="1:19" s="7" customFormat="1" ht="20.100000000000001" customHeight="1" x14ac:dyDescent="0.2"/>
    <row r="11" spans="1:19" ht="66" customHeight="1" x14ac:dyDescent="0.2">
      <c r="A11" s="19" t="s">
        <v>26</v>
      </c>
      <c r="B11" s="19" t="s">
        <v>78</v>
      </c>
      <c r="C11" s="19" t="s">
        <v>79</v>
      </c>
      <c r="D11" s="19" t="s">
        <v>98</v>
      </c>
      <c r="E11" s="19" t="s">
        <v>106</v>
      </c>
      <c r="F11" s="19" t="s">
        <v>107</v>
      </c>
      <c r="G11" s="19" t="s">
        <v>80</v>
      </c>
      <c r="H11" s="19" t="s">
        <v>108</v>
      </c>
      <c r="I11" s="19" t="s">
        <v>81</v>
      </c>
      <c r="J11" s="19" t="s">
        <v>82</v>
      </c>
      <c r="K11" s="19" t="s">
        <v>99</v>
      </c>
      <c r="L11" s="19" t="s">
        <v>83</v>
      </c>
    </row>
    <row r="12" spans="1:19" ht="18.95" customHeight="1" x14ac:dyDescent="0.2">
      <c r="A12" s="12"/>
      <c r="B12" s="46" t="s">
        <v>84</v>
      </c>
      <c r="C12" s="46" t="s">
        <v>85</v>
      </c>
      <c r="D12" s="46" t="s">
        <v>86</v>
      </c>
      <c r="E12" s="46" t="s">
        <v>87</v>
      </c>
      <c r="F12" s="46" t="s">
        <v>109</v>
      </c>
      <c r="G12" s="46" t="s">
        <v>88</v>
      </c>
      <c r="H12" s="46" t="s">
        <v>110</v>
      </c>
      <c r="I12" s="46" t="s">
        <v>111</v>
      </c>
      <c r="J12" s="46" t="s">
        <v>112</v>
      </c>
      <c r="K12" s="46" t="s">
        <v>113</v>
      </c>
      <c r="L12" s="46" t="s">
        <v>100</v>
      </c>
    </row>
    <row r="13" spans="1:19" ht="18.95" customHeight="1" x14ac:dyDescent="0.2">
      <c r="A13" s="12"/>
      <c r="B13" s="17"/>
      <c r="C13" s="17"/>
      <c r="D13" s="18" t="s">
        <v>27</v>
      </c>
      <c r="E13" s="18" t="s">
        <v>89</v>
      </c>
      <c r="F13" s="18" t="s">
        <v>27</v>
      </c>
      <c r="G13" s="18" t="s">
        <v>27</v>
      </c>
      <c r="H13" s="18" t="s">
        <v>27</v>
      </c>
      <c r="I13" s="18"/>
      <c r="J13" s="18" t="s">
        <v>89</v>
      </c>
      <c r="K13" s="18" t="s">
        <v>89</v>
      </c>
      <c r="L13" s="18" t="s">
        <v>89</v>
      </c>
    </row>
    <row r="14" spans="1:19" ht="18.95" customHeight="1" x14ac:dyDescent="0.2">
      <c r="A14" s="15"/>
      <c r="B14" s="13" t="s">
        <v>114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115</v>
      </c>
      <c r="Q14" s="58" t="s">
        <v>116</v>
      </c>
      <c r="R14" s="58" t="s">
        <v>123</v>
      </c>
      <c r="S14" s="58" t="s">
        <v>124</v>
      </c>
    </row>
    <row r="15" spans="1:19" ht="18.95" customHeight="1" x14ac:dyDescent="0.2">
      <c r="A15" s="15">
        <v>1</v>
      </c>
      <c r="B15" s="13" t="s">
        <v>90</v>
      </c>
      <c r="C15" s="16" t="s">
        <v>91</v>
      </c>
      <c r="D15" s="14">
        <v>87630999.251184404</v>
      </c>
      <c r="E15" s="47">
        <v>0.19650000000000001</v>
      </c>
      <c r="F15" s="14">
        <f>D15*E15</f>
        <v>17219491.352857735</v>
      </c>
      <c r="G15" s="14">
        <f>SUM(P15:S15)</f>
        <v>-2249482.1278499016</v>
      </c>
      <c r="H15" s="14">
        <f>SUM(F15:G15)</f>
        <v>14970009.225007834</v>
      </c>
      <c r="I15" s="47">
        <f>H15/H$21</f>
        <v>1.8884650175821045E-2</v>
      </c>
      <c r="J15" s="47">
        <v>3.4922000000000002E-2</v>
      </c>
      <c r="K15" s="47">
        <f>I15*J15</f>
        <v>6.5948975344002258E-4</v>
      </c>
      <c r="L15" s="47">
        <v>5.6521173284658911E-4</v>
      </c>
      <c r="O15" s="47">
        <f>D15/D$21</f>
        <v>1.8884650175821045E-2</v>
      </c>
      <c r="P15" s="14">
        <f>O15*P$21</f>
        <v>0</v>
      </c>
      <c r="Q15" s="14">
        <f>$O15*Q$21</f>
        <v>173.19716985051065</v>
      </c>
      <c r="R15" s="14">
        <f>$O15*R$21</f>
        <v>-2249655.3250197521</v>
      </c>
      <c r="S15" s="14">
        <f>$O15*S$21</f>
        <v>0</v>
      </c>
    </row>
    <row r="16" spans="1:19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92</v>
      </c>
      <c r="C17" s="16" t="s">
        <v>93</v>
      </c>
      <c r="D17" s="14">
        <v>2089483476.9936311</v>
      </c>
      <c r="E17" s="48">
        <f>E$15</f>
        <v>0.19650000000000001</v>
      </c>
      <c r="F17" s="14">
        <f>D17*E17</f>
        <v>410583503.22924852</v>
      </c>
      <c r="G17" s="14">
        <f>SUM(P17:S17)</f>
        <v>-53636906.780694008</v>
      </c>
      <c r="H17" s="14">
        <f>SUM(F17:G17)</f>
        <v>356946596.44855452</v>
      </c>
      <c r="I17" s="47">
        <f>H17/H$21</f>
        <v>0.45028773890935198</v>
      </c>
      <c r="J17" s="48">
        <v>4.5318070693350046E-2</v>
      </c>
      <c r="K17" s="47">
        <f>I17*J17</f>
        <v>2.0406171584242763E-2</v>
      </c>
      <c r="L17" s="47">
        <v>2.0570425582092013E-2</v>
      </c>
      <c r="O17" s="47">
        <f>D17/D$21</f>
        <v>0.45028773890935203</v>
      </c>
      <c r="P17" s="14">
        <f>O17*P$21</f>
        <v>0</v>
      </c>
      <c r="Q17" s="14">
        <f>$O17*Q$21</f>
        <v>4129.7329456141088</v>
      </c>
      <c r="R17" s="14">
        <f>$O17*R$21</f>
        <v>-53641036.513639621</v>
      </c>
      <c r="S17" s="14">
        <f>$O17*S$21</f>
        <v>0</v>
      </c>
    </row>
    <row r="18" spans="1:19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</row>
    <row r="19" spans="1:19" ht="18.95" customHeight="1" x14ac:dyDescent="0.2">
      <c r="A19" s="15">
        <v>3</v>
      </c>
      <c r="B19" s="13" t="s">
        <v>94</v>
      </c>
      <c r="C19" s="16"/>
      <c r="D19" s="20">
        <v>2463215020.74437</v>
      </c>
      <c r="E19" s="48">
        <f>E$15</f>
        <v>0.19650000000000001</v>
      </c>
      <c r="F19" s="20">
        <f>D19*E19</f>
        <v>484021751.57626873</v>
      </c>
      <c r="G19" s="20">
        <f>SUM(P19:S19)</f>
        <v>-63230571.52792874</v>
      </c>
      <c r="H19" s="20">
        <f>SUM(F19:G19)</f>
        <v>420791180.04833996</v>
      </c>
      <c r="I19" s="51">
        <f>H19/H$21</f>
        <v>0.53082761091482689</v>
      </c>
      <c r="J19" s="47">
        <v>0.1042</v>
      </c>
      <c r="K19" s="51">
        <f>I19*J19</f>
        <v>5.5312237057324964E-2</v>
      </c>
      <c r="L19" s="51">
        <v>5.5067773925395608E-2</v>
      </c>
      <c r="O19" s="51">
        <f>D19/D$21</f>
        <v>0.530827610914827</v>
      </c>
      <c r="P19" s="20">
        <f>O19*P$21</f>
        <v>0</v>
      </c>
      <c r="Q19" s="20">
        <f>$O19*Q$21</f>
        <v>4868.3898845353597</v>
      </c>
      <c r="R19" s="20">
        <f>$O19*R$21</f>
        <v>-63235439.917813279</v>
      </c>
      <c r="S19" s="20">
        <f>$O19*S$21</f>
        <v>0</v>
      </c>
    </row>
    <row r="20" spans="1:19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95</v>
      </c>
      <c r="C21" s="16"/>
      <c r="D21" s="21">
        <f>SUM(D15:D19)</f>
        <v>4640329496.9891853</v>
      </c>
      <c r="E21" s="47"/>
      <c r="F21" s="21">
        <f>SUM(F15:F19)</f>
        <v>911824746.15837502</v>
      </c>
      <c r="G21" s="21">
        <f>SUM(G15:G19)</f>
        <v>-119116960.43647265</v>
      </c>
      <c r="H21" s="21">
        <f>SUM(H15:H19)</f>
        <v>792707785.72190237</v>
      </c>
      <c r="I21" s="52">
        <f>SUM(I15:I19)</f>
        <v>0.99999999999999989</v>
      </c>
      <c r="J21" s="47"/>
      <c r="K21" s="52">
        <f>SUM(K15:K19)</f>
        <v>7.6377898395007748E-2</v>
      </c>
      <c r="L21" s="52">
        <f>SUM(L15:L19)</f>
        <v>7.620341124033421E-2</v>
      </c>
      <c r="O21" s="52">
        <f>SUM(O15:O19)</f>
        <v>1</v>
      </c>
      <c r="P21" s="21">
        <v>0</v>
      </c>
      <c r="Q21" s="21">
        <v>9171.3199999999779</v>
      </c>
      <c r="R21" s="21">
        <v>-119126131.75647265</v>
      </c>
      <c r="S21" s="21">
        <v>0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9171.3199999999779</v>
      </c>
      <c r="R22" s="21">
        <f>SUM(R15:R19)</f>
        <v>-119126131.75647265</v>
      </c>
      <c r="S22" s="21">
        <f>SUM(S15:S19)</f>
        <v>0</v>
      </c>
    </row>
    <row r="23" spans="1:19" s="7" customFormat="1" ht="20.100000000000001" customHeight="1" thickTop="1" x14ac:dyDescent="0.2">
      <c r="A23" s="70" t="s">
        <v>103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45"/>
    </row>
    <row r="24" spans="1:19" s="7" customFormat="1" ht="20.100000000000001" customHeight="1" x14ac:dyDescent="0.2">
      <c r="A24" s="70" t="s">
        <v>144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45"/>
    </row>
    <row r="25" spans="1:19" s="7" customFormat="1" ht="20.100000000000001" customHeight="1" x14ac:dyDescent="0.2">
      <c r="A25" s="70" t="s">
        <v>76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45"/>
    </row>
    <row r="26" spans="1:19" s="7" customFormat="1" ht="20.100000000000001" customHeight="1" x14ac:dyDescent="0.2">
      <c r="A26" s="70" t="s">
        <v>130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45"/>
    </row>
    <row r="27" spans="1:19" s="7" customFormat="1" ht="20.100000000000001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9" s="7" customFormat="1" ht="20.100000000000001" customHeight="1" x14ac:dyDescent="0.2">
      <c r="A28" s="8" t="s">
        <v>101</v>
      </c>
      <c r="K28" s="9"/>
    </row>
    <row r="29" spans="1:19" s="7" customFormat="1" ht="20.100000000000001" customHeight="1" x14ac:dyDescent="0.2">
      <c r="A29" s="8" t="s">
        <v>102</v>
      </c>
      <c r="K29" s="9" t="s">
        <v>97</v>
      </c>
    </row>
    <row r="30" spans="1:19" s="7" customFormat="1" ht="20.100000000000001" customHeight="1" x14ac:dyDescent="0.2">
      <c r="A30" s="7" t="s">
        <v>59</v>
      </c>
      <c r="K30" s="9" t="s">
        <v>117</v>
      </c>
    </row>
    <row r="31" spans="1:19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26</v>
      </c>
      <c r="B33" s="19" t="s">
        <v>78</v>
      </c>
      <c r="C33" s="19" t="s">
        <v>79</v>
      </c>
      <c r="D33" s="19" t="s">
        <v>98</v>
      </c>
      <c r="E33" s="19" t="s">
        <v>106</v>
      </c>
      <c r="F33" s="19" t="s">
        <v>107</v>
      </c>
      <c r="G33" s="19" t="s">
        <v>80</v>
      </c>
      <c r="H33" s="19" t="s">
        <v>108</v>
      </c>
      <c r="I33" s="19" t="s">
        <v>81</v>
      </c>
      <c r="J33" s="19" t="s">
        <v>82</v>
      </c>
      <c r="K33" s="19" t="s">
        <v>99</v>
      </c>
      <c r="L33" s="16"/>
    </row>
    <row r="34" spans="1:19" ht="18.95" customHeight="1" x14ac:dyDescent="0.2">
      <c r="A34" s="12"/>
      <c r="B34" s="46" t="s">
        <v>84</v>
      </c>
      <c r="C34" s="46" t="s">
        <v>85</v>
      </c>
      <c r="D34" s="46" t="s">
        <v>86</v>
      </c>
      <c r="E34" s="46" t="s">
        <v>87</v>
      </c>
      <c r="F34" s="46" t="s">
        <v>109</v>
      </c>
      <c r="G34" s="46" t="s">
        <v>88</v>
      </c>
      <c r="H34" s="46" t="s">
        <v>110</v>
      </c>
      <c r="I34" s="46" t="s">
        <v>111</v>
      </c>
      <c r="J34" s="46" t="s">
        <v>112</v>
      </c>
      <c r="K34" s="46" t="s">
        <v>113</v>
      </c>
      <c r="L34" s="46"/>
    </row>
    <row r="35" spans="1:19" ht="18.95" customHeight="1" x14ac:dyDescent="0.2">
      <c r="A35" s="12"/>
      <c r="B35" s="17"/>
      <c r="C35" s="17"/>
      <c r="D35" s="18" t="s">
        <v>27</v>
      </c>
      <c r="E35" s="18" t="s">
        <v>89</v>
      </c>
      <c r="F35" s="18" t="s">
        <v>27</v>
      </c>
      <c r="G35" s="18" t="s">
        <v>27</v>
      </c>
      <c r="H35" s="18" t="s">
        <v>27</v>
      </c>
      <c r="I35" s="18"/>
      <c r="J35" s="18" t="s">
        <v>89</v>
      </c>
      <c r="K35" s="18" t="s">
        <v>89</v>
      </c>
      <c r="L35" s="18"/>
    </row>
    <row r="36" spans="1:19" ht="18.95" customHeight="1" x14ac:dyDescent="0.2">
      <c r="A36" s="15"/>
      <c r="B36" s="13" t="s">
        <v>114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115</v>
      </c>
      <c r="Q36" s="58" t="s">
        <v>116</v>
      </c>
      <c r="R36" s="58" t="s">
        <v>123</v>
      </c>
      <c r="S36" s="58" t="s">
        <v>124</v>
      </c>
    </row>
    <row r="37" spans="1:19" ht="18.95" customHeight="1" x14ac:dyDescent="0.2">
      <c r="A37" s="15">
        <v>1</v>
      </c>
      <c r="B37" s="13" t="s">
        <v>90</v>
      </c>
      <c r="C37" s="16" t="s">
        <v>91</v>
      </c>
      <c r="D37" s="14">
        <v>276669633.93741798</v>
      </c>
      <c r="E37" s="47">
        <v>0.18490000000000001</v>
      </c>
      <c r="F37" s="14">
        <f>D37*E37</f>
        <v>51156215.315028585</v>
      </c>
      <c r="G37" s="14">
        <f>SUM(P37:S37)</f>
        <v>-3935345.8507819595</v>
      </c>
      <c r="H37" s="14">
        <f>SUM(F37:G37)</f>
        <v>47220869.464246623</v>
      </c>
      <c r="I37" s="47">
        <f>H37/H$43</f>
        <v>6.284175853175071E-2</v>
      </c>
      <c r="J37" s="47">
        <v>2.5936299999999999E-2</v>
      </c>
      <c r="K37" s="47">
        <f>I37*J37</f>
        <v>1.6298827018070459E-3</v>
      </c>
      <c r="L37" s="14"/>
      <c r="O37" s="47">
        <f>D37/D$43</f>
        <v>6.2841758531750724E-2</v>
      </c>
      <c r="P37" s="14">
        <f>O37*P$43</f>
        <v>0</v>
      </c>
      <c r="Q37" s="14">
        <f>$O37*Q$43</f>
        <v>770.81701015045439</v>
      </c>
      <c r="R37" s="14">
        <f>$O37*R$43</f>
        <v>-3936116.6677921098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92</v>
      </c>
      <c r="C39" s="16" t="s">
        <v>93</v>
      </c>
      <c r="D39" s="14">
        <v>1792461732.2299998</v>
      </c>
      <c r="E39" s="48">
        <f>E$37</f>
        <v>0.18490000000000001</v>
      </c>
      <c r="F39" s="14">
        <f>D39*E39</f>
        <v>331426174.28932697</v>
      </c>
      <c r="G39" s="14">
        <f>SUM(P39:S39)</f>
        <v>-25495956.0983565</v>
      </c>
      <c r="H39" s="14">
        <f>SUM(F39:G39)</f>
        <v>305930218.19097048</v>
      </c>
      <c r="I39" s="47">
        <f>H39/H$43</f>
        <v>0.40713339498501128</v>
      </c>
      <c r="J39" s="48">
        <v>4.1288456626836223E-2</v>
      </c>
      <c r="K39" s="47">
        <f>I39*J39</f>
        <v>1.6809909520175217E-2</v>
      </c>
      <c r="O39" s="47">
        <f>D39/D$43</f>
        <v>0.40713339498501122</v>
      </c>
      <c r="P39" s="14">
        <f>O39*P$43</f>
        <v>0</v>
      </c>
      <c r="Q39" s="14">
        <f>$O39*Q$43</f>
        <v>4993.8982228861478</v>
      </c>
      <c r="R39" s="14">
        <f>$O39*R$43</f>
        <v>-25500949.996579386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</row>
    <row r="41" spans="1:19" ht="18.95" customHeight="1" x14ac:dyDescent="0.2">
      <c r="A41" s="15">
        <v>3</v>
      </c>
      <c r="B41" s="13" t="s">
        <v>94</v>
      </c>
      <c r="C41" s="16"/>
      <c r="D41" s="20">
        <v>2333508540.8242202</v>
      </c>
      <c r="E41" s="48">
        <f>E$37</f>
        <v>0.18490000000000001</v>
      </c>
      <c r="F41" s="20">
        <f>D41*E41</f>
        <v>431465729.19839835</v>
      </c>
      <c r="G41" s="20">
        <f>SUM(P41:S41)</f>
        <v>-33191799.99339598</v>
      </c>
      <c r="H41" s="20">
        <f>SUM(F41:G41)</f>
        <v>398273929.20500237</v>
      </c>
      <c r="I41" s="51">
        <f>H41/H$43</f>
        <v>0.530024846483238</v>
      </c>
      <c r="J41" s="47">
        <v>0.1042</v>
      </c>
      <c r="K41" s="51">
        <f>I41*J41</f>
        <v>5.5228589003553402E-2</v>
      </c>
      <c r="L41" s="14"/>
      <c r="O41" s="51">
        <f>D41/D$43</f>
        <v>0.530024846483238</v>
      </c>
      <c r="P41" s="20">
        <f>O41*P$43</f>
        <v>0</v>
      </c>
      <c r="Q41" s="20">
        <f>$O41*Q$43</f>
        <v>6501.2847669633975</v>
      </c>
      <c r="R41" s="20">
        <f>$O41*R$43</f>
        <v>-33198301.278162945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95</v>
      </c>
      <c r="C43" s="16"/>
      <c r="D43" s="21">
        <f>SUM(D37:D41)</f>
        <v>4402639906.9916382</v>
      </c>
      <c r="E43" s="47"/>
      <c r="F43" s="21">
        <f>SUM(F37:F41)</f>
        <v>814048118.80275393</v>
      </c>
      <c r="G43" s="21">
        <f>SUM(G37:G41)</f>
        <v>-62623101.942534439</v>
      </c>
      <c r="H43" s="21">
        <f>SUM(H37:H41)</f>
        <v>751425016.86021948</v>
      </c>
      <c r="I43" s="52">
        <f>SUM(I37:I41)</f>
        <v>1</v>
      </c>
      <c r="J43" s="47"/>
      <c r="K43" s="52">
        <f>SUM(K37:K41)</f>
        <v>7.3668381225535665E-2</v>
      </c>
      <c r="L43" s="14"/>
      <c r="O43" s="52">
        <f>SUM(O37:O41)</f>
        <v>1</v>
      </c>
      <c r="P43" s="21">
        <v>0</v>
      </c>
      <c r="Q43" s="21">
        <v>12266</v>
      </c>
      <c r="R43" s="21">
        <v>-62635367.942534447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0</v>
      </c>
      <c r="Q44" s="21">
        <f>SUM(Q37:Q41)</f>
        <v>12266</v>
      </c>
      <c r="R44" s="21">
        <f>SUM(R37:R41)</f>
        <v>-62635367.942534447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6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F9194-3648-4B79-A38D-B196693627B7}">
  <ds:schemaRefs>
    <ds:schemaRef ds:uri="http://www.w3.org/XML/1998/namespace"/>
    <ds:schemaRef ds:uri="http://schemas.microsoft.com/office/infopath/2007/PartnerControls"/>
    <ds:schemaRef ds:uri="http://purl.org/dc/elements/1.1/"/>
    <ds:schemaRef ds:uri="54fcda00-7b58-44a7-b108-8bd10a8a08b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6AE0C9-C030-416B-8544-BD1FA1DC0B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FECD5-B7F2-4753-A052-B390F27CA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C-1'!Print_Area</vt:lpstr>
      <vt:lpstr>'SCH H-1'!Print_Area</vt:lpstr>
      <vt:lpstr>'SCH J-1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2018-09-27T17:03:49Z</dcterms:created>
  <dcterms:modified xsi:type="dcterms:W3CDTF">2018-11-20T16:12:39Z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