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9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420" yWindow="-30" windowWidth="17490" windowHeight="11010" tabRatio="822"/>
  </bookViews>
  <sheets>
    <sheet name="WSS-33" sheetId="1" r:id="rId1"/>
    <sheet name="WSS-34" sheetId="4" r:id="rId2"/>
    <sheet name="WSS-9" sheetId="27" r:id="rId3"/>
    <sheet name="WSS-12" sheetId="29" r:id="rId4"/>
    <sheet name="WSS-10" sheetId="34" r:id="rId5"/>
    <sheet name="WSS-11" sheetId="2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" localSheetId="2">[1]EGSplit!#REF!</definedName>
    <definedName name="\">[1]EGSplit!#REF!</definedName>
    <definedName name="\\" hidden="1">#REF!</definedName>
    <definedName name="\\\" hidden="1">#REF!</definedName>
    <definedName name="\\\\" localSheetId="2" hidden="1">#REF!</definedName>
    <definedName name="\\\\" hidden="1">#REF!</definedName>
    <definedName name="\0">#REF!</definedName>
    <definedName name="\A">#REF!</definedName>
    <definedName name="\C">#REF!</definedName>
    <definedName name="\D">#REF!</definedName>
    <definedName name="\E">#REF!</definedName>
    <definedName name="\M">#REF!</definedName>
    <definedName name="\P" localSheetId="2">[2]dbase!#REF!</definedName>
    <definedName name="\P">[2]dbase!#REF!</definedName>
    <definedName name="\R" localSheetId="2">#REF!</definedName>
    <definedName name="\R">#REF!</definedName>
    <definedName name="\S" localSheetId="2">[2]dbase!#REF!</definedName>
    <definedName name="\S">[2]dbase!#REF!</definedName>
    <definedName name="\T">#REF!</definedName>
    <definedName name="__123Graph_A" hidden="1">#REF!</definedName>
    <definedName name="__123Graph_B" hidden="1">#REF!</definedName>
    <definedName name="__123Graph_C" localSheetId="2" hidden="1">#REF!</definedName>
    <definedName name="__123Graph_C" hidden="1">#REF!</definedName>
    <definedName name="__123Graph_D" hidden="1">#REF!</definedName>
    <definedName name="__123Graph_E" localSheetId="2" hidden="1">#REF!</definedName>
    <definedName name="__123Graph_E" hidden="1">#REF!</definedName>
    <definedName name="__123Graph_F" hidden="1">#REF!</definedName>
    <definedName name="__123Graph_X" hidden="1">#REF!</definedName>
    <definedName name="_1GAS_FINANCING">#REF!</definedName>
    <definedName name="_2NON_UTILITY" localSheetId="2">#REF!</definedName>
    <definedName name="_3NON_UTILITY">#REF!</definedName>
    <definedName name="_xlnm._FilterDatabase" localSheetId="0" hidden="1">'WSS-33'!$C$1:$D$643</definedName>
    <definedName name="_xlnm._FilterDatabase" localSheetId="1" hidden="1">'WSS-34'!$D$2:$E$768</definedName>
    <definedName name="_Order1" hidden="1">0</definedName>
    <definedName name="_Order2" hidden="1">0</definedName>
    <definedName name="_P" localSheetId="2">#REF!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 localSheetId="2">#REF!</definedName>
    <definedName name="Adjust2">#REF!</definedName>
    <definedName name="ADJUSTA">#REF!</definedName>
    <definedName name="ADJUSTAA">#REF!</definedName>
    <definedName name="ADJUSTB" localSheetId="2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 localSheetId="2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 localSheetId="2">'[3]LGE Sales'!#REF!</definedName>
    <definedName name="Annual_Sales_KU">'[3]LGE Sales'!#REF!</definedName>
    <definedName name="assets">#REF!</definedName>
    <definedName name="Billed_Revenues_Dollars">#REF!</definedName>
    <definedName name="Billed_Sales__KWh">#REF!</definedName>
    <definedName name="BudCol01">[4]BudgetDatabase!$J$5:$J$443</definedName>
    <definedName name="BudCol02">[4]BudgetDatabase!$K$5:$K$443</definedName>
    <definedName name="BudCol03">[4]BudgetDatabase!$L$5:$L$443</definedName>
    <definedName name="BudCol04">[4]BudgetDatabase!$M$5:$M$443</definedName>
    <definedName name="BudCol05">[4]BudgetDatabase!$N$5:$N$443</definedName>
    <definedName name="BudCol06">[4]BudgetDatabase!$O$5:$O$443</definedName>
    <definedName name="BudCol07">[4]BudgetDatabase!$P$5:$P$443</definedName>
    <definedName name="BudCol08">[4]BudgetDatabase!$Q$5:$Q$443</definedName>
    <definedName name="BudCol09">[4]BudgetDatabase!$R$5:$R$443</definedName>
    <definedName name="BudCol10">[4]BudgetDatabase!$S$5:$S$443</definedName>
    <definedName name="BudCol11">[4]BudgetDatabase!$T$5:$T$443</definedName>
    <definedName name="BudCol12">[4]BudgetDatabase!$U$5:$U$443</definedName>
    <definedName name="BudCol13">[4]BudgetDatabase!$V$5:$V$443</definedName>
    <definedName name="BudCol14">[4]BudgetDatabase!$W$5:$W$443</definedName>
    <definedName name="BudCol15">[4]BudgetDatabase!$X$5:$X$443</definedName>
    <definedName name="BudCol16">[4]BudgetDatabase!$Y$5:$Y$443</definedName>
    <definedName name="BudCol17">[4]BudgetDatabase!$Z$5:$Z$443</definedName>
    <definedName name="BudCol18">[4]BudgetDatabase!$AA$5:$AA$443</definedName>
    <definedName name="BudCol19">[4]BudgetDatabase!$AB$5:$AB$443</definedName>
    <definedName name="BudCol20">[4]BudgetDatabase!$AC$5:$AC$443</definedName>
    <definedName name="BudCol21">[4]BudgetDatabase!$AD$5:$AD$443</definedName>
    <definedName name="BudCol22">[4]BudgetDatabase!$AE$5:$AE$443</definedName>
    <definedName name="BudCol23">[4]BudgetDatabase!$AF$5:$AF$443</definedName>
    <definedName name="BudCol24">[4]BudgetDatabase!$AG$5:$AG$443</definedName>
    <definedName name="BudCol25">[4]BudgetDatabase!$AH$5:$AH$443</definedName>
    <definedName name="BudColTmp">[4]BudgetDatabase!$AJ$5:$AJ$443</definedName>
    <definedName name="Choices_Wrapper" localSheetId="2">'WSS-9'!Choices_Wrapper</definedName>
    <definedName name="Choices_Wrapper">'WSS-9'!Choices_Wrapper</definedName>
    <definedName name="CM">#REF!</definedName>
    <definedName name="Coal_Annual_KU" localSheetId="2">'[3]LGE Coal'!#REF!</definedName>
    <definedName name="Coal_Annual_KU">'[3]LGE Coal'!#REF!</definedName>
    <definedName name="coal_hide_ku_01" localSheetId="2">'[3]LGE Coal'!#REF!</definedName>
    <definedName name="coal_hide_ku_01">'[3]LGE Coal'!#REF!</definedName>
    <definedName name="coal_hide_lge_01" localSheetId="2">'[3]LGE Coal'!#REF!</definedName>
    <definedName name="coal_hide_lge_01">'[3]LGE Coal'!#REF!</definedName>
    <definedName name="coal_ku_01" localSheetId="2">'[3]LGE Coal'!#REF!</definedName>
    <definedName name="coal_ku_01">'[3]LGE Coal'!#REF!</definedName>
    <definedName name="Comp" localSheetId="2">'WSS-9'!Comp</definedName>
    <definedName name="Comp">'WSS-9'!Comp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[4]Input!$K$19</definedName>
    <definedName name="CurReptgYr">[4]Input!$K$21</definedName>
    <definedName name="data">#REF!</definedName>
    <definedName name="DateTimeNow">[4]Input!$AE$12</definedName>
    <definedName name="DEBIT">#REF!</definedName>
    <definedName name="Detail">#REF!</definedName>
    <definedName name="ELEC_NET_OP_INC" localSheetId="2">#REF!</definedName>
    <definedName name="ELEC_NET_OP_INC">#REF!</definedName>
    <definedName name="ELIMS">#REF!</definedName>
    <definedName name="EXHIB1A" localSheetId="2">'[5]#REF'!#REF!</definedName>
    <definedName name="EXHIB1A">'[5]#REF'!#REF!</definedName>
    <definedName name="EXHIB1B">#REF!</definedName>
    <definedName name="EXHIB1C" localSheetId="2">#REF!</definedName>
    <definedName name="EXHIB1C">#REF!</definedName>
    <definedName name="EXHIB2B" localSheetId="2">'[6]Ex 2'!#REF!</definedName>
    <definedName name="EXHIB2B">'[6]Ex 2'!#REF!</definedName>
    <definedName name="EXHIB3">#REF!</definedName>
    <definedName name="EXHIB6" localSheetId="2">'[6]not used Ex 4'!#REF!</definedName>
    <definedName name="EXHIB6">'[6]not used Ex 4'!#REF!</definedName>
    <definedName name="Fac_2000" localSheetId="2">'[3]LGE Base Fuel &amp; FAC'!#REF!</definedName>
    <definedName name="Fac_2000">'[3]LGE Base Fuel &amp; FAC'!#REF!</definedName>
    <definedName name="fac_annual_ku" localSheetId="2">'[3]LGE Base Fuel &amp; FAC'!#REF!</definedName>
    <definedName name="fac_annual_ku">'[3]LGE Base Fuel &amp; FAC'!#REF!</definedName>
    <definedName name="fac_hide_ku_01" localSheetId="2">'[3]LGE Base Fuel &amp; FAC'!#REF!</definedName>
    <definedName name="fac_hide_ku_01">'[3]LGE Base Fuel &amp; FAC'!#REF!</definedName>
    <definedName name="fac_hide_lge_01" localSheetId="2">'[3]LGE Base Fuel &amp; FAC'!#REF!</definedName>
    <definedName name="fac_hide_lge_01">'[3]LGE Base Fuel &amp; FAC'!#REF!</definedName>
    <definedName name="fac_ku_01" localSheetId="2">'[3]LGE Base Fuel &amp; FAC'!#REF!</definedName>
    <definedName name="fac_ku_01">'[3]LGE Base Fuel &amp; FAC'!#REF!</definedName>
    <definedName name="FOOTER" localSheetId="2">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 localSheetId="2">#REF!</definedName>
    <definedName name="gas_data">#REF!</definedName>
    <definedName name="Gas_Monthly_NetRevenue">#REF!</definedName>
    <definedName name="GAS_NET_OP_INC" localSheetId="2">#REF!</definedName>
    <definedName name="GAS_NET_OP_INC">#REF!</definedName>
    <definedName name="Gas_Sales_Revenues">#REF!</definedName>
    <definedName name="Gccccc" hidden="1">#REF!</definedName>
    <definedName name="GenEx_Annual_KU" localSheetId="2">'[3]LGE Cost of Sales'!#REF!</definedName>
    <definedName name="GenEx_Annual_KU">'[3]LGE Cost of Sales'!#REF!</definedName>
    <definedName name="genex_hide_ku_01" localSheetId="2">'[3]LGE Cost of Sales'!#REF!</definedName>
    <definedName name="genex_hide_ku_01">'[3]LGE Cost of Sales'!#REF!</definedName>
    <definedName name="genex_hide_lge_01" localSheetId="2">'[3]LGE Cost of Sales'!#REF!</definedName>
    <definedName name="genex_hide_lge_01">'[3]LGE Cost of Sales'!#REF!</definedName>
    <definedName name="genex_ku_01" localSheetId="2">'[3]LGE Cost of Sales'!#REF!</definedName>
    <definedName name="genex_ku_01">'[3]LGE Cost of Sales'!#REF!</definedName>
    <definedName name="GGFFS" hidden="1">#REF!</definedName>
    <definedName name="Home_KU">#REF!</definedName>
    <definedName name="IGS" hidden="1">#REF!</definedName>
    <definedName name="INPUT1">#REF!</definedName>
    <definedName name="INPUT2">#REF!</definedName>
    <definedName name="INPUTCOL">#REF!</definedName>
    <definedName name="INPUTROW">#REF!</definedName>
    <definedName name="InputSec01">[4]Input!$M$30</definedName>
    <definedName name="InputSec02">[4]Input!$M$40:$M$75</definedName>
    <definedName name="InputSec03">[4]Input!$K$87:$Q$89</definedName>
    <definedName name="InputSec04">[4]Input!$O$100:$Q$100</definedName>
    <definedName name="InputSec05A">[4]Input!$O$110:$Q$110</definedName>
    <definedName name="InputSec05B">[4]Input!$O$116:$Q$122</definedName>
    <definedName name="InputSec06">[4]Input!$M$133:$O$142</definedName>
    <definedName name="InputSec07">[4]Input!$O$151:$O$181</definedName>
    <definedName name="InputSec08A">[4]Input!$O$259:$O$283</definedName>
    <definedName name="InputSec08B">[4]Input!$G$296:$Q$296</definedName>
    <definedName name="InputSec08C">[4]Input!$I$306:$K$306</definedName>
    <definedName name="InputSec09A">[4]Input!$K$316:$Q$318</definedName>
    <definedName name="InputSec09B">[4]Input!$K$328:$M$330</definedName>
    <definedName name="InputSec10A">[4]Input!$K$345:$O$349</definedName>
    <definedName name="InputSec10B">[4]Input!$K$355:$O$355</definedName>
    <definedName name="InputSec10C">[4]Input!$K$362:$O$364</definedName>
    <definedName name="InputSec10D">[4]Input!$K$370:$O$370</definedName>
    <definedName name="InputSec11">[4]Input!$M$383:$O$391</definedName>
    <definedName name="InputSec12A">[4]Input!$M$406:$M$418</definedName>
    <definedName name="InputSec12B">[4]Input!$M$424</definedName>
    <definedName name="InputSec13">[4]Input!$M$433:$O$433</definedName>
    <definedName name="KUELIMBAL" localSheetId="2">#REF!</definedName>
    <definedName name="KUELIMBAL">#REF!</definedName>
    <definedName name="KUELIMCASH" localSheetId="2">#REF!</definedName>
    <definedName name="KUELIMCASH">#REF!</definedName>
    <definedName name="KUPWRGENIS">#REF!</definedName>
    <definedName name="KWHCol01">[4]KWHDistDatabase!$I$5:$I$425</definedName>
    <definedName name="KWHCol02">[4]KWHDistDatabase!$J$5:$J$425</definedName>
    <definedName name="KWHCol03">[4]KWHDistDatabase!$K$5:$K$425</definedName>
    <definedName name="KWHCol04">[4]KWHDistDatabase!$L$5:$L$425</definedName>
    <definedName name="KWHCol05">[4]KWHDistDatabase!$M$5:$M$425</definedName>
    <definedName name="KWHCol06">[4]KWHDistDatabase!$N$5:$N$425</definedName>
    <definedName name="KWHCol07">[4]KWHDistDatabase!$O$5:$O$425</definedName>
    <definedName name="KWHCol08">[4]KWHDistDatabase!$P$5:$P$425</definedName>
    <definedName name="KWHCol09">[4]KWHDistDatabase!$Q$5:$Q$425</definedName>
    <definedName name="KWHCol10">[4]KWHDistDatabase!$R$5:$R$425</definedName>
    <definedName name="KWHCol11">[4]KWHDistDatabase!$S$5:$S$425</definedName>
    <definedName name="KWHCol12">[4]KWHDistDatabase!$T$5:$T$425</definedName>
    <definedName name="KWHCol13">[4]KWHDistDatabase!$U$5:$U$425</definedName>
    <definedName name="KWHCol14">[4]KWHDistDatabase!$V$5:$V$425</definedName>
    <definedName name="KWHCol15">[4]KWHDistDatabase!$W$5:$W$425</definedName>
    <definedName name="KWHCol16">[4]KWHDistDatabase!$X$5:$X$425</definedName>
    <definedName name="KWHCol17">[4]KWHDistDatabase!$Y$5:$Y$425</definedName>
    <definedName name="KWHCol18">[4]KWHDistDatabase!$Z$5:$Z$425</definedName>
    <definedName name="KWHCol19">[4]KWHDistDatabase!$AA$5:$AA$425</definedName>
    <definedName name="KWHCol20">[4]KWHDistDatabase!$AB$5:$AB$425</definedName>
    <definedName name="KWHCol21">[4]KWHDistDatabase!$AC$5:$AC$425</definedName>
    <definedName name="KWHCol22">[4]KWHDistDatabase!$AD$5:$AD$425</definedName>
    <definedName name="KWHCol23">[4]KWHDistDatabase!$AE$5:$AE$425</definedName>
    <definedName name="KWHCol24">[4]KWHDistDatabase!$AF$5:$AF$425</definedName>
    <definedName name="KWHCol25">[4]KWHDistDatabase!$AG$5:$AG$425</definedName>
    <definedName name="KWHColTmp">[4]KWHDistDatabase!$AI$5:$AI$425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 localSheetId="2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 localSheetId="2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 localSheetId="2">'[3]LGE Gross Margin-Inc.Stmt'!#REF!</definedName>
    <definedName name="netrev_hide_ku_01">'[3]LGE Gross Margin-Inc.Stmt'!#REF!</definedName>
    <definedName name="netrev_hide_lge_01" localSheetId="2">'[3]LGE Gross Margin-Inc.Stmt'!#REF!</definedName>
    <definedName name="netrev_hide_lge_01">'[3]LGE Gross Margin-Inc.Stmt'!#REF!</definedName>
    <definedName name="netrev_ku_01" localSheetId="2">'[3]LGE Gross Margin-Inc.Stmt'!#REF!</definedName>
    <definedName name="netrev_ku_01">'[3]LGE Gross Margin-Inc.Stmt'!#REF!</definedName>
    <definedName name="NetRevenue_Annual_KU" localSheetId="2">'[3]LGE Gross Margin-Inc.Stmt'!#REF!</definedName>
    <definedName name="NetRevenue_Annual_KU">'[3]LGE Gross Margin-Inc.Stmt'!#REF!</definedName>
    <definedName name="NetRevenues">#REF!</definedName>
    <definedName name="NextReptgMo">[4]Input!$AE$19</definedName>
    <definedName name="NextReptgYr">[4]Input!$AE$21</definedName>
    <definedName name="Operating_Revenue_Dollars">#REF!</definedName>
    <definedName name="Operating_Sales__KWh">#REF!</definedName>
    <definedName name="PAGE">#REF!</definedName>
    <definedName name="PAGE10">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4">'WSS-10'!$B$1:$N$44</definedName>
    <definedName name="_xlnm.Print_Area" localSheetId="3">'WSS-12'!$B$1:$N$43</definedName>
    <definedName name="_xlnm.Print_Area" localSheetId="0">'WSS-33'!$A$1:$V$643</definedName>
    <definedName name="_xlnm.Print_Area" localSheetId="1">'WSS-34'!$A$1:$L$646</definedName>
    <definedName name="_xlnm.Print_Area" localSheetId="2">'WSS-9'!$B$1:$N$44</definedName>
    <definedName name="_xlnm.Print_Titles" localSheetId="0">'WSS-33'!$A:$D,'WSS-33'!$1:$3</definedName>
    <definedName name="_xlnm.Print_Titles" localSheetId="1">'WSS-34'!$A:$E,'WSS-34'!$2:$4</definedName>
    <definedName name="PRINT1">#REF!</definedName>
    <definedName name="PWRGENBAL">#REF!</definedName>
    <definedName name="PWRGENCASH">#REF!</definedName>
    <definedName name="QtrbyMonth">#REF!</definedName>
    <definedName name="RangeRptgMo">[7]Main!$K$11</definedName>
    <definedName name="RangeRptgYr">[8]Main!$G$5</definedName>
    <definedName name="REPORT">#REF!</definedName>
    <definedName name="require_hide_ku_01" localSheetId="2">'[3]LGE Require &amp; Source'!#REF!</definedName>
    <definedName name="require_hide_ku_01">'[3]LGE Require &amp; Source'!#REF!</definedName>
    <definedName name="require_hide_lge_01" localSheetId="2">'[3]LGE Require &amp; Source'!#REF!</definedName>
    <definedName name="require_hide_lge_01">'[3]LGE Require &amp; Source'!#REF!</definedName>
    <definedName name="require_ku_01" localSheetId="2">'[3]LGE Require &amp; Source'!#REF!</definedName>
    <definedName name="require_ku_01">'[3]LGE Require &amp; Source'!#REF!</definedName>
    <definedName name="Requirements_Annual_KU" localSheetId="2">'[3]LGE Require &amp; Source'!#REF!</definedName>
    <definedName name="Requirements_Annual_KU">'[3]LGE Require &amp; Source'!#REF!</definedName>
    <definedName name="Requirements_Data" localSheetId="2">'[3]LGE Require &amp; Source'!#REF!</definedName>
    <definedName name="Requirements_Data">'[3]LGE Require &amp; Source'!#REF!</definedName>
    <definedName name="Requirements_KU" localSheetId="2">'[3]LGE Require &amp; Source'!#REF!</definedName>
    <definedName name="Requirements_KU">'[3]LGE Require &amp; Source'!#REF!</definedName>
    <definedName name="RevCol01">#REF!</definedName>
    <definedName name="RevCol01A">#REF!</definedName>
    <definedName name="RevCol01B" localSheetId="2">[9]RevDatabase!#REF!</definedName>
    <definedName name="RevCol01B">[9]RevDatabase!#REF!</definedName>
    <definedName name="RevCol02">#REF!</definedName>
    <definedName name="RevCol02A">#REF!</definedName>
    <definedName name="RevCol02B" localSheetId="2">[9]RevDatabase!#REF!</definedName>
    <definedName name="RevCol02B">[9]RevDatabase!#REF!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 localSheetId="2">[9]RevDatabase!#REF!</definedName>
    <definedName name="RevColTmp">[9]RevDatabase!#REF!</definedName>
    <definedName name="RevColTmpA" localSheetId="2">[9]RevDatabase!#REF!</definedName>
    <definedName name="RevColTmpA">[9]RevDatabase!#REF!</definedName>
    <definedName name="RevColTmpB" localSheetId="2">[9]RevDatabase!#REF!</definedName>
    <definedName name="RevColTmpB">[9]RevDatabase!#REF!</definedName>
    <definedName name="revenues_hide_ku_01" localSheetId="2">'[3]KU Other Electric Revenues'!#REF!</definedName>
    <definedName name="revenues_hide_ku_01">'[3]KU Other Electric Revenues'!#REF!</definedName>
    <definedName name="revenues_ku_01" localSheetId="2">'[3]KU Other Electric Revenues'!#REF!</definedName>
    <definedName name="revenues_ku_01">'[3]KU Other Electric Revenues'!#REF!</definedName>
    <definedName name="RPTCOL">#REF!</definedName>
    <definedName name="RPTROW">#REF!</definedName>
    <definedName name="Sales" localSheetId="2">'[3]LGE Sales'!#REF!</definedName>
    <definedName name="Sales">'[3]LGE Sales'!#REF!</definedName>
    <definedName name="sales_hide_ku_01" localSheetId="2">'[3]LGE Sales'!#REF!</definedName>
    <definedName name="sales_hide_ku_01">'[3]LGE Sales'!#REF!</definedName>
    <definedName name="sales_ku_01" localSheetId="2">'[3]LGE Sales'!#REF!</definedName>
    <definedName name="sales_ku_01">'[3]LGE Sales'!#REF!</definedName>
    <definedName name="sales_title_ku" localSheetId="2">'[3]LGE Sales'!#REF!</definedName>
    <definedName name="sales_title_ku">'[3]LGE Sales'!#REF!</definedName>
    <definedName name="SCHEDZ">#REF!</definedName>
    <definedName name="shoot" localSheetId="2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 localSheetId="2">#REF!</definedName>
    <definedName name="SUPPORT6">#REF!</definedName>
    <definedName name="TAX_RATE" localSheetId="2">'[5]#REF'!#REF!</definedName>
    <definedName name="TAX_RATE">'[5]#REF'!#REF!</definedName>
    <definedName name="TempReptgMo">[4]Input!$AG$19</definedName>
    <definedName name="TempReptgYr">[4]Input!$AG$21</definedName>
    <definedName name="TenyrNIAC">#REF!</definedName>
    <definedName name="TenyrRev">#REF!</definedName>
    <definedName name="test" localSheetId="2">'WSS-9'!test</definedName>
    <definedName name="test">'WSS-9'!test</definedName>
    <definedName name="Title">#REF!</definedName>
    <definedName name="Title_Choice">#REF!</definedName>
    <definedName name="Titles">#REF!</definedName>
    <definedName name="Titles_KU">#REF!</definedName>
    <definedName name="ttt" localSheetId="2">#REF!</definedName>
    <definedName name="ttt">#REF!</definedName>
    <definedName name="UpdateDate">[4]Input!$M$12</definedName>
    <definedName name="UpdateTime">[4]Input!$O$12</definedName>
    <definedName name="Variance">#REF!</definedName>
    <definedName name="VIEW1">#REF!</definedName>
    <definedName name="vol_rev_annual_ku" localSheetId="2">'[3]LGE Retail Margin'!#REF!</definedName>
    <definedName name="vol_rev_annual_ku">'[3]LGE Retail Margin'!#REF!</definedName>
    <definedName name="vol_rev_hide_ku_monthly" localSheetId="2">'[3]LGE Retail Margin'!#REF!</definedName>
    <definedName name="vol_rev_hide_ku_monthly">'[3]LGE Retail Margin'!#REF!</definedName>
    <definedName name="vol_rev_hide_lge_01" localSheetId="2">'[3]LGE Retail Margin'!#REF!</definedName>
    <definedName name="vol_rev_hide_lge_01">'[3]LGE Retail Margin'!#REF!</definedName>
    <definedName name="vol_rev_ku_monthly" localSheetId="2">'[3]LGE Retail Margin'!#REF!</definedName>
    <definedName name="vol_rev_ku_monthly">'[3]LGE Retail Margin'!#REF!</definedName>
    <definedName name="volrev_data" localSheetId="2">'[3]LGE Retail Margin'!#REF!</definedName>
    <definedName name="volrev_data">'[3]LGE Retail Margin'!#REF!</definedName>
    <definedName name="YTD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5" i="1" l="1"/>
  <c r="H561" i="4" l="1"/>
  <c r="G562" i="4" l="1"/>
  <c r="K563" i="4" l="1"/>
  <c r="N563" i="4"/>
  <c r="R563" i="4"/>
  <c r="S563" i="4"/>
  <c r="T563" i="4"/>
  <c r="K609" i="4" l="1"/>
  <c r="K608" i="4" s="1"/>
  <c r="J609" i="4"/>
  <c r="J608" i="4" s="1"/>
  <c r="I609" i="4"/>
  <c r="H609" i="4"/>
  <c r="G609" i="4"/>
  <c r="H606" i="4"/>
  <c r="H607" i="4" s="1"/>
  <c r="I606" i="4"/>
  <c r="I607" i="4" s="1"/>
  <c r="J606" i="4"/>
  <c r="K606" i="4"/>
  <c r="G606" i="4"/>
  <c r="K602" i="4"/>
  <c r="J602" i="4"/>
  <c r="I602" i="4"/>
  <c r="H602" i="4"/>
  <c r="G602" i="4"/>
  <c r="Q609" i="4"/>
  <c r="Q608" i="4" s="1"/>
  <c r="P609" i="4"/>
  <c r="P608" i="4" s="1"/>
  <c r="O609" i="4"/>
  <c r="O608" i="4" s="1"/>
  <c r="M609" i="4"/>
  <c r="M608" i="4" s="1"/>
  <c r="L609" i="4"/>
  <c r="L608" i="4"/>
  <c r="I635" i="4"/>
  <c r="J635" i="4"/>
  <c r="K635" i="4"/>
  <c r="G635" i="4"/>
  <c r="H599" i="4"/>
  <c r="I599" i="4"/>
  <c r="I600" i="4" s="1"/>
  <c r="J599" i="4"/>
  <c r="K599" i="4"/>
  <c r="G599" i="4"/>
  <c r="U598" i="4"/>
  <c r="V598" i="4" s="1"/>
  <c r="U606" i="4" l="1"/>
  <c r="I608" i="4"/>
  <c r="H608" i="4"/>
  <c r="G607" i="4"/>
  <c r="G608" i="4" s="1"/>
  <c r="F606" i="4"/>
  <c r="F607" i="4"/>
  <c r="V606" i="4" l="1"/>
  <c r="U608" i="4"/>
  <c r="U607" i="4"/>
  <c r="V607" i="4" s="1"/>
  <c r="U609" i="4"/>
  <c r="F609" i="4" s="1"/>
  <c r="V609" i="4" l="1"/>
  <c r="F608" i="4"/>
  <c r="V608" i="4" s="1"/>
  <c r="H636" i="4" l="1"/>
  <c r="H635" i="4" s="1"/>
  <c r="I581" i="4" l="1"/>
  <c r="H581" i="4"/>
  <c r="I642" i="4" l="1"/>
  <c r="H642" i="4"/>
  <c r="H639" i="4"/>
  <c r="K41" i="34" l="1"/>
  <c r="F589" i="4"/>
  <c r="I41" i="27"/>
  <c r="L41" i="27"/>
  <c r="I41" i="29"/>
  <c r="L41" i="29"/>
  <c r="L41" i="34" l="1"/>
  <c r="F612" i="4" l="1"/>
  <c r="J41" i="34"/>
  <c r="I41" i="34"/>
  <c r="K474" i="4" l="1"/>
  <c r="N474" i="4"/>
  <c r="E41" i="34" l="1"/>
  <c r="E41" i="29"/>
  <c r="E41" i="27"/>
  <c r="G41" i="34" l="1"/>
  <c r="H41" i="34" s="1"/>
  <c r="F41" i="34"/>
  <c r="J582" i="4" l="1"/>
  <c r="K582" i="4"/>
  <c r="L582" i="4"/>
  <c r="E23" i="26" l="1"/>
  <c r="K41" i="29" l="1"/>
  <c r="J41" i="29"/>
  <c r="K476" i="4"/>
  <c r="N476" i="4"/>
  <c r="T567" i="4" l="1"/>
  <c r="F514" i="1"/>
  <c r="F41" i="27"/>
  <c r="I584" i="4"/>
  <c r="U561" i="4"/>
  <c r="V561" i="4" s="1"/>
  <c r="F515" i="4"/>
  <c r="M602" i="4"/>
  <c r="M601" i="4" s="1"/>
  <c r="L602" i="4"/>
  <c r="L601" i="4" s="1"/>
  <c r="U642" i="4"/>
  <c r="F595" i="4"/>
  <c r="F531" i="4"/>
  <c r="F590" i="4"/>
  <c r="K591" i="4" s="1"/>
  <c r="V189" i="1"/>
  <c r="Q189" i="1"/>
  <c r="K189" i="1"/>
  <c r="F462" i="1"/>
  <c r="F215" i="1"/>
  <c r="U189" i="1"/>
  <c r="T189" i="1"/>
  <c r="F61" i="1"/>
  <c r="I8" i="1"/>
  <c r="G7" i="1"/>
  <c r="G592" i="4"/>
  <c r="H592" i="4"/>
  <c r="I592" i="4"/>
  <c r="J592" i="4"/>
  <c r="K592" i="4"/>
  <c r="L592" i="4"/>
  <c r="M592" i="4"/>
  <c r="G593" i="4"/>
  <c r="G594" i="4" s="1"/>
  <c r="M41" i="27" s="1"/>
  <c r="H593" i="4"/>
  <c r="H594" i="4" s="1"/>
  <c r="M41" i="29" s="1"/>
  <c r="I593" i="4"/>
  <c r="I594" i="4" s="1"/>
  <c r="J593" i="4"/>
  <c r="J594" i="4" s="1"/>
  <c r="K594" i="4"/>
  <c r="M41" i="34" s="1"/>
  <c r="L593" i="4"/>
  <c r="L594" i="4" s="1"/>
  <c r="M593" i="4"/>
  <c r="M594" i="4" s="1"/>
  <c r="G600" i="4"/>
  <c r="K586" i="4"/>
  <c r="M585" i="4"/>
  <c r="M586" i="4" s="1"/>
  <c r="U643" i="4"/>
  <c r="F544" i="1"/>
  <c r="E2" i="4"/>
  <c r="F2" i="4" s="1"/>
  <c r="G2" i="4" s="1"/>
  <c r="G563" i="4" s="1"/>
  <c r="I13" i="1"/>
  <c r="I625" i="1" s="1"/>
  <c r="I16" i="1"/>
  <c r="I17" i="1"/>
  <c r="I18" i="1"/>
  <c r="I19" i="1"/>
  <c r="I20" i="1"/>
  <c r="I21" i="1"/>
  <c r="I22" i="1"/>
  <c r="I23" i="1"/>
  <c r="I24" i="1"/>
  <c r="I25" i="1"/>
  <c r="I26" i="1"/>
  <c r="I27" i="1"/>
  <c r="D28" i="1"/>
  <c r="H28" i="1" s="1"/>
  <c r="D29" i="1"/>
  <c r="I29" i="1" s="1"/>
  <c r="I36" i="1"/>
  <c r="I55" i="1"/>
  <c r="I56" i="1"/>
  <c r="I57" i="1"/>
  <c r="I103" i="1"/>
  <c r="F637" i="1"/>
  <c r="I123" i="1"/>
  <c r="I316" i="1"/>
  <c r="I149" i="1"/>
  <c r="I150" i="1"/>
  <c r="I151" i="1"/>
  <c r="I152" i="1"/>
  <c r="I153" i="1"/>
  <c r="I154" i="1"/>
  <c r="I155" i="1"/>
  <c r="I156" i="1"/>
  <c r="I157" i="1"/>
  <c r="I158" i="1"/>
  <c r="I159" i="1"/>
  <c r="F635" i="1"/>
  <c r="I321" i="1"/>
  <c r="I322" i="1"/>
  <c r="I323" i="1"/>
  <c r="I324" i="1"/>
  <c r="I325" i="1"/>
  <c r="I326" i="1"/>
  <c r="I327" i="1"/>
  <c r="I328" i="1"/>
  <c r="I329" i="1"/>
  <c r="I330" i="1"/>
  <c r="I331" i="1"/>
  <c r="I168" i="1"/>
  <c r="I169" i="1"/>
  <c r="I170" i="1"/>
  <c r="I171" i="1"/>
  <c r="I172" i="1"/>
  <c r="I173" i="1"/>
  <c r="I174" i="1"/>
  <c r="F636" i="1"/>
  <c r="I340" i="1"/>
  <c r="I341" i="1"/>
  <c r="I342" i="1"/>
  <c r="I343" i="1"/>
  <c r="I344" i="1"/>
  <c r="I345" i="1"/>
  <c r="I346" i="1"/>
  <c r="I361" i="1"/>
  <c r="I194" i="1"/>
  <c r="I195" i="1"/>
  <c r="I196" i="1"/>
  <c r="I198" i="1"/>
  <c r="I199" i="1"/>
  <c r="I201" i="1"/>
  <c r="I202" i="1"/>
  <c r="I203" i="1"/>
  <c r="I204" i="1"/>
  <c r="I205" i="1"/>
  <c r="I206" i="1"/>
  <c r="I207" i="1"/>
  <c r="I208" i="1"/>
  <c r="I209" i="1"/>
  <c r="I210" i="1"/>
  <c r="I211" i="1"/>
  <c r="F639" i="1"/>
  <c r="I366" i="1"/>
  <c r="I367" i="1"/>
  <c r="I368" i="1"/>
  <c r="I370" i="1"/>
  <c r="I371" i="1"/>
  <c r="I373" i="1"/>
  <c r="I374" i="1"/>
  <c r="I375" i="1"/>
  <c r="I376" i="1"/>
  <c r="I377" i="1"/>
  <c r="I378" i="1"/>
  <c r="I379" i="1"/>
  <c r="I380" i="1"/>
  <c r="I381" i="1"/>
  <c r="I382" i="1"/>
  <c r="I383" i="1"/>
  <c r="I234" i="1"/>
  <c r="I235" i="1"/>
  <c r="I236" i="1"/>
  <c r="I237" i="1"/>
  <c r="I238" i="1"/>
  <c r="I239" i="1"/>
  <c r="I240" i="1"/>
  <c r="I241" i="1"/>
  <c r="F640" i="1"/>
  <c r="I406" i="1"/>
  <c r="I407" i="1"/>
  <c r="I408" i="1"/>
  <c r="I409" i="1"/>
  <c r="I410" i="1"/>
  <c r="I411" i="1"/>
  <c r="I412" i="1"/>
  <c r="I413" i="1"/>
  <c r="I422" i="1"/>
  <c r="I423" i="1"/>
  <c r="I424" i="1"/>
  <c r="I425" i="1"/>
  <c r="I426" i="1"/>
  <c r="I431" i="1"/>
  <c r="I434" i="1"/>
  <c r="I144" i="1"/>
  <c r="I250" i="1"/>
  <c r="I251" i="1"/>
  <c r="I252" i="1"/>
  <c r="I253" i="1"/>
  <c r="I254" i="1"/>
  <c r="I259" i="1"/>
  <c r="I262" i="1"/>
  <c r="F161" i="1"/>
  <c r="F176" i="1"/>
  <c r="F244" i="1"/>
  <c r="F246" i="1" s="1"/>
  <c r="F256" i="1"/>
  <c r="F333" i="1"/>
  <c r="F348" i="1"/>
  <c r="F387" i="1"/>
  <c r="F389" i="1" s="1"/>
  <c r="F416" i="1"/>
  <c r="F428" i="1"/>
  <c r="Q8" i="1"/>
  <c r="Q13" i="1"/>
  <c r="Q625" i="1" s="1"/>
  <c r="Q16" i="1"/>
  <c r="Q17" i="1"/>
  <c r="Q18" i="1"/>
  <c r="Q19" i="1"/>
  <c r="Q20" i="1"/>
  <c r="Q21" i="1"/>
  <c r="Q22" i="1"/>
  <c r="Q23" i="1"/>
  <c r="Q24" i="1"/>
  <c r="Q25" i="1"/>
  <c r="Q26" i="1"/>
  <c r="Q27" i="1"/>
  <c r="Q29" i="1"/>
  <c r="Q36" i="1"/>
  <c r="Q55" i="1"/>
  <c r="Q56" i="1"/>
  <c r="Q57" i="1"/>
  <c r="Q103" i="1"/>
  <c r="Q123" i="1"/>
  <c r="Q316" i="1"/>
  <c r="Q149" i="1"/>
  <c r="Q150" i="1"/>
  <c r="Q151" i="1"/>
  <c r="Q152" i="1"/>
  <c r="Q153" i="1"/>
  <c r="Q154" i="1"/>
  <c r="Q155" i="1"/>
  <c r="Q156" i="1"/>
  <c r="Q157" i="1"/>
  <c r="Q158" i="1"/>
  <c r="Q159" i="1"/>
  <c r="Q321" i="1"/>
  <c r="Q322" i="1"/>
  <c r="Q323" i="1"/>
  <c r="Q324" i="1"/>
  <c r="Q325" i="1"/>
  <c r="Q326" i="1"/>
  <c r="Q327" i="1"/>
  <c r="Q328" i="1"/>
  <c r="Q329" i="1"/>
  <c r="Q330" i="1"/>
  <c r="Q331" i="1"/>
  <c r="Q168" i="1"/>
  <c r="Q169" i="1"/>
  <c r="Q170" i="1"/>
  <c r="Q171" i="1"/>
  <c r="Q172" i="1"/>
  <c r="Q173" i="1"/>
  <c r="Q174" i="1"/>
  <c r="Q340" i="1"/>
  <c r="Q341" i="1"/>
  <c r="Q342" i="1"/>
  <c r="Q343" i="1"/>
  <c r="Q344" i="1"/>
  <c r="Q345" i="1"/>
  <c r="Q346" i="1"/>
  <c r="Q361" i="1"/>
  <c r="Q194" i="1"/>
  <c r="Q195" i="1"/>
  <c r="Q196" i="1"/>
  <c r="Q198" i="1"/>
  <c r="Q199" i="1"/>
  <c r="Q201" i="1"/>
  <c r="Q202" i="1"/>
  <c r="Q203" i="1"/>
  <c r="Q204" i="1"/>
  <c r="Q205" i="1"/>
  <c r="Q206" i="1"/>
  <c r="Q207" i="1"/>
  <c r="Q208" i="1"/>
  <c r="Q209" i="1"/>
  <c r="Q210" i="1"/>
  <c r="Q211" i="1"/>
  <c r="Q366" i="1"/>
  <c r="Q367" i="1"/>
  <c r="Q368" i="1"/>
  <c r="Q370" i="1"/>
  <c r="Q371" i="1"/>
  <c r="Q373" i="1"/>
  <c r="Q374" i="1"/>
  <c r="Q375" i="1"/>
  <c r="Q376" i="1"/>
  <c r="Q377" i="1"/>
  <c r="Q378" i="1"/>
  <c r="Q379" i="1"/>
  <c r="Q380" i="1"/>
  <c r="Q381" i="1"/>
  <c r="Q382" i="1"/>
  <c r="Q383" i="1"/>
  <c r="Q234" i="1"/>
  <c r="Q235" i="1"/>
  <c r="Q236" i="1"/>
  <c r="Q237" i="1"/>
  <c r="Q238" i="1"/>
  <c r="Q239" i="1"/>
  <c r="Q240" i="1"/>
  <c r="Q241" i="1"/>
  <c r="Q406" i="1"/>
  <c r="Q407" i="1"/>
  <c r="Q408" i="1"/>
  <c r="Q409" i="1"/>
  <c r="Q410" i="1"/>
  <c r="Q411" i="1"/>
  <c r="Q412" i="1"/>
  <c r="Q413" i="1"/>
  <c r="Q422" i="1"/>
  <c r="Q423" i="1"/>
  <c r="Q424" i="1"/>
  <c r="Q425" i="1"/>
  <c r="Q426" i="1"/>
  <c r="Q431" i="1"/>
  <c r="Q434" i="1"/>
  <c r="Q144" i="1"/>
  <c r="Q250" i="1"/>
  <c r="Q251" i="1"/>
  <c r="Q252" i="1"/>
  <c r="Q253" i="1"/>
  <c r="Q254" i="1"/>
  <c r="Q259" i="1"/>
  <c r="Q262" i="1"/>
  <c r="R8" i="1"/>
  <c r="R13" i="1"/>
  <c r="R625" i="1" s="1"/>
  <c r="R16" i="1"/>
  <c r="R17" i="1"/>
  <c r="R18" i="1"/>
  <c r="R19" i="1"/>
  <c r="R20" i="1"/>
  <c r="R21" i="1"/>
  <c r="R22" i="1"/>
  <c r="R23" i="1"/>
  <c r="R24" i="1"/>
  <c r="R25" i="1"/>
  <c r="R26" i="1"/>
  <c r="R27" i="1"/>
  <c r="R29" i="1"/>
  <c r="R36" i="1"/>
  <c r="R55" i="1"/>
  <c r="R56" i="1"/>
  <c r="R57" i="1"/>
  <c r="R103" i="1"/>
  <c r="R123" i="1"/>
  <c r="R316" i="1"/>
  <c r="R149" i="1"/>
  <c r="R150" i="1"/>
  <c r="R151" i="1"/>
  <c r="R152" i="1"/>
  <c r="R153" i="1"/>
  <c r="R154" i="1"/>
  <c r="R155" i="1"/>
  <c r="R156" i="1"/>
  <c r="R157" i="1"/>
  <c r="R158" i="1"/>
  <c r="R159" i="1"/>
  <c r="R321" i="1"/>
  <c r="R322" i="1"/>
  <c r="R323" i="1"/>
  <c r="R324" i="1"/>
  <c r="R325" i="1"/>
  <c r="R326" i="1"/>
  <c r="R327" i="1"/>
  <c r="R328" i="1"/>
  <c r="R329" i="1"/>
  <c r="R330" i="1"/>
  <c r="R331" i="1"/>
  <c r="R168" i="1"/>
  <c r="R169" i="1"/>
  <c r="R170" i="1"/>
  <c r="R171" i="1"/>
  <c r="R172" i="1"/>
  <c r="R173" i="1"/>
  <c r="R174" i="1"/>
  <c r="R340" i="1"/>
  <c r="R341" i="1"/>
  <c r="R342" i="1"/>
  <c r="R343" i="1"/>
  <c r="R344" i="1"/>
  <c r="R345" i="1"/>
  <c r="R346" i="1"/>
  <c r="R361" i="1"/>
  <c r="R194" i="1"/>
  <c r="R195" i="1"/>
  <c r="R196" i="1"/>
  <c r="R198" i="1"/>
  <c r="R199" i="1"/>
  <c r="R201" i="1"/>
  <c r="R202" i="1"/>
  <c r="R203" i="1"/>
  <c r="R204" i="1"/>
  <c r="R205" i="1"/>
  <c r="R206" i="1"/>
  <c r="R207" i="1"/>
  <c r="R208" i="1"/>
  <c r="R209" i="1"/>
  <c r="R210" i="1"/>
  <c r="R211" i="1"/>
  <c r="R366" i="1"/>
  <c r="R367" i="1"/>
  <c r="R368" i="1"/>
  <c r="R370" i="1"/>
  <c r="R371" i="1"/>
  <c r="R373" i="1"/>
  <c r="R374" i="1"/>
  <c r="R375" i="1"/>
  <c r="R376" i="1"/>
  <c r="R377" i="1"/>
  <c r="R378" i="1"/>
  <c r="R379" i="1"/>
  <c r="R380" i="1"/>
  <c r="R381" i="1"/>
  <c r="R382" i="1"/>
  <c r="R383" i="1"/>
  <c r="R234" i="1"/>
  <c r="R235" i="1"/>
  <c r="R236" i="1"/>
  <c r="R237" i="1"/>
  <c r="R238" i="1"/>
  <c r="R239" i="1"/>
  <c r="R240" i="1"/>
  <c r="R241" i="1"/>
  <c r="R406" i="1"/>
  <c r="R407" i="1"/>
  <c r="R408" i="1"/>
  <c r="R409" i="1"/>
  <c r="R410" i="1"/>
  <c r="R411" i="1"/>
  <c r="R412" i="1"/>
  <c r="R413" i="1"/>
  <c r="R422" i="1"/>
  <c r="R423" i="1"/>
  <c r="R424" i="1"/>
  <c r="R425" i="1"/>
  <c r="R426" i="1"/>
  <c r="R431" i="1"/>
  <c r="R434" i="1"/>
  <c r="R144" i="1"/>
  <c r="R250" i="1"/>
  <c r="R251" i="1"/>
  <c r="R252" i="1"/>
  <c r="R253" i="1"/>
  <c r="R254" i="1"/>
  <c r="R259" i="1"/>
  <c r="R262" i="1"/>
  <c r="G149" i="1"/>
  <c r="G150" i="1"/>
  <c r="G151" i="1"/>
  <c r="G152" i="1"/>
  <c r="G153" i="1"/>
  <c r="G154" i="1"/>
  <c r="G155" i="1"/>
  <c r="G156" i="1"/>
  <c r="G157" i="1"/>
  <c r="G158" i="1"/>
  <c r="G159" i="1"/>
  <c r="G321" i="1"/>
  <c r="G322" i="1"/>
  <c r="G323" i="1"/>
  <c r="G324" i="1"/>
  <c r="G325" i="1"/>
  <c r="G326" i="1"/>
  <c r="G327" i="1"/>
  <c r="G328" i="1"/>
  <c r="G329" i="1"/>
  <c r="G330" i="1"/>
  <c r="G331" i="1"/>
  <c r="G168" i="1"/>
  <c r="G169" i="1"/>
  <c r="G170" i="1"/>
  <c r="G171" i="1"/>
  <c r="G172" i="1"/>
  <c r="G173" i="1"/>
  <c r="G174" i="1"/>
  <c r="G340" i="1"/>
  <c r="G341" i="1"/>
  <c r="G342" i="1"/>
  <c r="G343" i="1"/>
  <c r="G344" i="1"/>
  <c r="G345" i="1"/>
  <c r="G346" i="1"/>
  <c r="G361" i="1"/>
  <c r="G194" i="1"/>
  <c r="G195" i="1"/>
  <c r="G196" i="1"/>
  <c r="G18" i="1"/>
  <c r="G21" i="1"/>
  <c r="G198" i="1"/>
  <c r="G199" i="1"/>
  <c r="G201" i="1"/>
  <c r="G202" i="1"/>
  <c r="G203" i="1"/>
  <c r="G204" i="1"/>
  <c r="G205" i="1"/>
  <c r="G206" i="1"/>
  <c r="G207" i="1"/>
  <c r="G208" i="1"/>
  <c r="G209" i="1"/>
  <c r="G210" i="1"/>
  <c r="G211" i="1"/>
  <c r="G16" i="1"/>
  <c r="G17" i="1"/>
  <c r="G19" i="1"/>
  <c r="G20" i="1"/>
  <c r="G22" i="1"/>
  <c r="G23" i="1"/>
  <c r="G24" i="1"/>
  <c r="G25" i="1"/>
  <c r="G26" i="1"/>
  <c r="G27" i="1"/>
  <c r="G29" i="1"/>
  <c r="G366" i="1"/>
  <c r="G367" i="1"/>
  <c r="G368" i="1"/>
  <c r="G370" i="1"/>
  <c r="G371" i="1"/>
  <c r="G373" i="1"/>
  <c r="G374" i="1"/>
  <c r="G375" i="1"/>
  <c r="G376" i="1"/>
  <c r="G377" i="1"/>
  <c r="G378" i="1"/>
  <c r="G379" i="1"/>
  <c r="G380" i="1"/>
  <c r="G381" i="1"/>
  <c r="G382" i="1"/>
  <c r="G383" i="1"/>
  <c r="G234" i="1"/>
  <c r="G235" i="1"/>
  <c r="G236" i="1"/>
  <c r="G237" i="1"/>
  <c r="G238" i="1"/>
  <c r="G239" i="1"/>
  <c r="G240" i="1"/>
  <c r="G241" i="1"/>
  <c r="G406" i="1"/>
  <c r="G407" i="1"/>
  <c r="G408" i="1"/>
  <c r="G409" i="1"/>
  <c r="G410" i="1"/>
  <c r="G411" i="1"/>
  <c r="G412" i="1"/>
  <c r="G413" i="1"/>
  <c r="G422" i="1"/>
  <c r="G423" i="1"/>
  <c r="G424" i="1"/>
  <c r="G425" i="1"/>
  <c r="G426" i="1"/>
  <c r="G431" i="1"/>
  <c r="G434" i="1"/>
  <c r="G250" i="1"/>
  <c r="G251" i="1"/>
  <c r="G252" i="1"/>
  <c r="G253" i="1"/>
  <c r="G254" i="1"/>
  <c r="G259" i="1"/>
  <c r="G262" i="1"/>
  <c r="G8" i="1"/>
  <c r="G13" i="1"/>
  <c r="G625" i="1" s="1"/>
  <c r="G36" i="1"/>
  <c r="G55" i="1"/>
  <c r="G56" i="1"/>
  <c r="G57" i="1"/>
  <c r="J585" i="4"/>
  <c r="J586" i="4" s="1"/>
  <c r="H149" i="1"/>
  <c r="H150" i="1"/>
  <c r="H151" i="1"/>
  <c r="H152" i="1"/>
  <c r="H153" i="1"/>
  <c r="H154" i="1"/>
  <c r="H155" i="1"/>
  <c r="H156" i="1"/>
  <c r="H157" i="1"/>
  <c r="H158" i="1"/>
  <c r="H159" i="1"/>
  <c r="H321" i="1"/>
  <c r="H322" i="1"/>
  <c r="H323" i="1"/>
  <c r="H324" i="1"/>
  <c r="H325" i="1"/>
  <c r="H326" i="1"/>
  <c r="H327" i="1"/>
  <c r="H328" i="1"/>
  <c r="H329" i="1"/>
  <c r="H330" i="1"/>
  <c r="H331" i="1"/>
  <c r="H168" i="1"/>
  <c r="H169" i="1"/>
  <c r="H170" i="1"/>
  <c r="H171" i="1"/>
  <c r="H172" i="1"/>
  <c r="H173" i="1"/>
  <c r="H174" i="1"/>
  <c r="H340" i="1"/>
  <c r="H341" i="1"/>
  <c r="H342" i="1"/>
  <c r="H343" i="1"/>
  <c r="H344" i="1"/>
  <c r="H345" i="1"/>
  <c r="H346" i="1"/>
  <c r="H361" i="1"/>
  <c r="H194" i="1"/>
  <c r="H195" i="1"/>
  <c r="H196" i="1"/>
  <c r="H18" i="1"/>
  <c r="H21" i="1"/>
  <c r="H198" i="1"/>
  <c r="H199" i="1"/>
  <c r="H201" i="1"/>
  <c r="H202" i="1"/>
  <c r="H203" i="1"/>
  <c r="H204" i="1"/>
  <c r="H205" i="1"/>
  <c r="H206" i="1"/>
  <c r="H207" i="1"/>
  <c r="H208" i="1"/>
  <c r="H209" i="1"/>
  <c r="H210" i="1"/>
  <c r="H211" i="1"/>
  <c r="H16" i="1"/>
  <c r="H17" i="1"/>
  <c r="H19" i="1"/>
  <c r="H20" i="1"/>
  <c r="H22" i="1"/>
  <c r="H23" i="1"/>
  <c r="H24" i="1"/>
  <c r="H25" i="1"/>
  <c r="H26" i="1"/>
  <c r="H27" i="1"/>
  <c r="H29" i="1"/>
  <c r="H366" i="1"/>
  <c r="H367" i="1"/>
  <c r="H368" i="1"/>
  <c r="H370" i="1"/>
  <c r="H371" i="1"/>
  <c r="H373" i="1"/>
  <c r="H374" i="1"/>
  <c r="H375" i="1"/>
  <c r="H376" i="1"/>
  <c r="H377" i="1"/>
  <c r="H378" i="1"/>
  <c r="H379" i="1"/>
  <c r="H380" i="1"/>
  <c r="H381" i="1"/>
  <c r="H382" i="1"/>
  <c r="H383" i="1"/>
  <c r="H234" i="1"/>
  <c r="H235" i="1"/>
  <c r="H236" i="1"/>
  <c r="H237" i="1"/>
  <c r="H238" i="1"/>
  <c r="H239" i="1"/>
  <c r="H240" i="1"/>
  <c r="H241" i="1"/>
  <c r="H406" i="1"/>
  <c r="H407" i="1"/>
  <c r="H408" i="1"/>
  <c r="H409" i="1"/>
  <c r="H410" i="1"/>
  <c r="H411" i="1"/>
  <c r="H412" i="1"/>
  <c r="H413" i="1"/>
  <c r="H422" i="1"/>
  <c r="H423" i="1"/>
  <c r="H424" i="1"/>
  <c r="H425" i="1"/>
  <c r="H426" i="1"/>
  <c r="H431" i="1"/>
  <c r="H434" i="1"/>
  <c r="H250" i="1"/>
  <c r="H251" i="1"/>
  <c r="H252" i="1"/>
  <c r="H253" i="1"/>
  <c r="H254" i="1"/>
  <c r="H259" i="1"/>
  <c r="H262" i="1"/>
  <c r="H7" i="1"/>
  <c r="H8" i="1"/>
  <c r="H13" i="1"/>
  <c r="H625" i="1" s="1"/>
  <c r="H36" i="1"/>
  <c r="H55" i="1"/>
  <c r="H56" i="1"/>
  <c r="H57" i="1"/>
  <c r="J316" i="1"/>
  <c r="J149" i="1"/>
  <c r="J150" i="1"/>
  <c r="J151" i="1"/>
  <c r="J152" i="1"/>
  <c r="J153" i="1"/>
  <c r="J154" i="1"/>
  <c r="J155" i="1"/>
  <c r="J156" i="1"/>
  <c r="J157" i="1"/>
  <c r="J158" i="1"/>
  <c r="J159" i="1"/>
  <c r="J321" i="1"/>
  <c r="J322" i="1"/>
  <c r="J323" i="1"/>
  <c r="J324" i="1"/>
  <c r="J325" i="1"/>
  <c r="J326" i="1"/>
  <c r="J327" i="1"/>
  <c r="J328" i="1"/>
  <c r="J329" i="1"/>
  <c r="J330" i="1"/>
  <c r="J331" i="1"/>
  <c r="J168" i="1"/>
  <c r="J169" i="1"/>
  <c r="J170" i="1"/>
  <c r="J171" i="1"/>
  <c r="J172" i="1"/>
  <c r="J173" i="1"/>
  <c r="J174" i="1"/>
  <c r="J340" i="1"/>
  <c r="J341" i="1"/>
  <c r="J342" i="1"/>
  <c r="J343" i="1"/>
  <c r="J344" i="1"/>
  <c r="J345" i="1"/>
  <c r="J346" i="1"/>
  <c r="J361" i="1"/>
  <c r="J194" i="1"/>
  <c r="J195" i="1"/>
  <c r="J196" i="1"/>
  <c r="J18" i="1"/>
  <c r="J21" i="1"/>
  <c r="J198" i="1"/>
  <c r="J199" i="1"/>
  <c r="J201" i="1"/>
  <c r="J202" i="1"/>
  <c r="J203" i="1"/>
  <c r="J204" i="1"/>
  <c r="J205" i="1"/>
  <c r="J206" i="1"/>
  <c r="J207" i="1"/>
  <c r="J208" i="1"/>
  <c r="J209" i="1"/>
  <c r="J210" i="1"/>
  <c r="J211" i="1"/>
  <c r="J16" i="1"/>
  <c r="J17" i="1"/>
  <c r="J19" i="1"/>
  <c r="J20" i="1"/>
  <c r="J22" i="1"/>
  <c r="J23" i="1"/>
  <c r="J24" i="1"/>
  <c r="J25" i="1"/>
  <c r="J26" i="1"/>
  <c r="J27" i="1"/>
  <c r="J29" i="1"/>
  <c r="J366" i="1"/>
  <c r="J367" i="1"/>
  <c r="J368" i="1"/>
  <c r="J370" i="1"/>
  <c r="J371" i="1"/>
  <c r="J373" i="1"/>
  <c r="J374" i="1"/>
  <c r="J375" i="1"/>
  <c r="J376" i="1"/>
  <c r="J377" i="1"/>
  <c r="J378" i="1"/>
  <c r="J379" i="1"/>
  <c r="J380" i="1"/>
  <c r="J381" i="1"/>
  <c r="J382" i="1"/>
  <c r="J383" i="1"/>
  <c r="J234" i="1"/>
  <c r="J235" i="1"/>
  <c r="J236" i="1"/>
  <c r="J237" i="1"/>
  <c r="J238" i="1"/>
  <c r="J239" i="1"/>
  <c r="J240" i="1"/>
  <c r="J241" i="1"/>
  <c r="J406" i="1"/>
  <c r="J407" i="1"/>
  <c r="J408" i="1"/>
  <c r="J409" i="1"/>
  <c r="J410" i="1"/>
  <c r="J411" i="1"/>
  <c r="J412" i="1"/>
  <c r="J413" i="1"/>
  <c r="J422" i="1"/>
  <c r="J423" i="1"/>
  <c r="J424" i="1"/>
  <c r="J425" i="1"/>
  <c r="J426" i="1"/>
  <c r="J431" i="1"/>
  <c r="J434" i="1"/>
  <c r="J144" i="1"/>
  <c r="J250" i="1"/>
  <c r="J251" i="1"/>
  <c r="J252" i="1"/>
  <c r="J253" i="1"/>
  <c r="J254" i="1"/>
  <c r="J259" i="1"/>
  <c r="J262" i="1"/>
  <c r="J7" i="1"/>
  <c r="J8" i="1"/>
  <c r="J13" i="1"/>
  <c r="J625" i="1" s="1"/>
  <c r="J36" i="1"/>
  <c r="J55" i="1"/>
  <c r="J56" i="1"/>
  <c r="J57" i="1"/>
  <c r="K316" i="1"/>
  <c r="K149" i="1"/>
  <c r="K150" i="1"/>
  <c r="K151" i="1"/>
  <c r="K152" i="1"/>
  <c r="K153" i="1"/>
  <c r="K154" i="1"/>
  <c r="K155" i="1"/>
  <c r="K156" i="1"/>
  <c r="K157" i="1"/>
  <c r="K158" i="1"/>
  <c r="K159" i="1"/>
  <c r="K321" i="1"/>
  <c r="K322" i="1"/>
  <c r="K323" i="1"/>
  <c r="K324" i="1"/>
  <c r="K325" i="1"/>
  <c r="K326" i="1"/>
  <c r="K327" i="1"/>
  <c r="K328" i="1"/>
  <c r="K329" i="1"/>
  <c r="K330" i="1"/>
  <c r="K331" i="1"/>
  <c r="K168" i="1"/>
  <c r="K169" i="1"/>
  <c r="K170" i="1"/>
  <c r="K171" i="1"/>
  <c r="K172" i="1"/>
  <c r="K173" i="1"/>
  <c r="K174" i="1"/>
  <c r="K340" i="1"/>
  <c r="K341" i="1"/>
  <c r="K342" i="1"/>
  <c r="K343" i="1"/>
  <c r="K344" i="1"/>
  <c r="K345" i="1"/>
  <c r="K346" i="1"/>
  <c r="K361" i="1"/>
  <c r="K194" i="1"/>
  <c r="K195" i="1"/>
  <c r="K196" i="1"/>
  <c r="K18" i="1"/>
  <c r="K21" i="1"/>
  <c r="K198" i="1"/>
  <c r="K199" i="1"/>
  <c r="K201" i="1"/>
  <c r="K202" i="1"/>
  <c r="K203" i="1"/>
  <c r="K204" i="1"/>
  <c r="K205" i="1"/>
  <c r="K206" i="1"/>
  <c r="K207" i="1"/>
  <c r="K208" i="1"/>
  <c r="K209" i="1"/>
  <c r="K210" i="1"/>
  <c r="K211" i="1"/>
  <c r="K16" i="1"/>
  <c r="K17" i="1"/>
  <c r="K19" i="1"/>
  <c r="K20" i="1"/>
  <c r="K22" i="1"/>
  <c r="K23" i="1"/>
  <c r="K24" i="1"/>
  <c r="K25" i="1"/>
  <c r="K26" i="1"/>
  <c r="K27" i="1"/>
  <c r="K29" i="1"/>
  <c r="K366" i="1"/>
  <c r="K367" i="1"/>
  <c r="K368" i="1"/>
  <c r="K370" i="1"/>
  <c r="K371" i="1"/>
  <c r="K373" i="1"/>
  <c r="K374" i="1"/>
  <c r="K375" i="1"/>
  <c r="K376" i="1"/>
  <c r="K377" i="1"/>
  <c r="K378" i="1"/>
  <c r="K379" i="1"/>
  <c r="K380" i="1"/>
  <c r="K381" i="1"/>
  <c r="K382" i="1"/>
  <c r="K383" i="1"/>
  <c r="K234" i="1"/>
  <c r="K235" i="1"/>
  <c r="K236" i="1"/>
  <c r="K237" i="1"/>
  <c r="K238" i="1"/>
  <c r="K239" i="1"/>
  <c r="K240" i="1"/>
  <c r="K241" i="1"/>
  <c r="K406" i="1"/>
  <c r="K407" i="1"/>
  <c r="K408" i="1"/>
  <c r="K409" i="1"/>
  <c r="K410" i="1"/>
  <c r="K411" i="1"/>
  <c r="K412" i="1"/>
  <c r="K413" i="1"/>
  <c r="K422" i="1"/>
  <c r="K423" i="1"/>
  <c r="K424" i="1"/>
  <c r="K425" i="1"/>
  <c r="K426" i="1"/>
  <c r="K431" i="1"/>
  <c r="K434" i="1"/>
  <c r="K144" i="1"/>
  <c r="K250" i="1"/>
  <c r="K251" i="1"/>
  <c r="K252" i="1"/>
  <c r="K253" i="1"/>
  <c r="K254" i="1"/>
  <c r="K259" i="1"/>
  <c r="K262" i="1"/>
  <c r="K7" i="1"/>
  <c r="K8" i="1"/>
  <c r="K13" i="1"/>
  <c r="K625" i="1" s="1"/>
  <c r="K36" i="1"/>
  <c r="K55" i="1"/>
  <c r="K56" i="1"/>
  <c r="K57" i="1"/>
  <c r="L316" i="1"/>
  <c r="L149" i="1"/>
  <c r="L150" i="1"/>
  <c r="L151" i="1"/>
  <c r="L152" i="1"/>
  <c r="L153" i="1"/>
  <c r="L154" i="1"/>
  <c r="L155" i="1"/>
  <c r="L156" i="1"/>
  <c r="L157" i="1"/>
  <c r="L158" i="1"/>
  <c r="L159" i="1"/>
  <c r="L321" i="1"/>
  <c r="L322" i="1"/>
  <c r="L323" i="1"/>
  <c r="L324" i="1"/>
  <c r="L325" i="1"/>
  <c r="L326" i="1"/>
  <c r="L327" i="1"/>
  <c r="L328" i="1"/>
  <c r="L329" i="1"/>
  <c r="L330" i="1"/>
  <c r="L331" i="1"/>
  <c r="L168" i="1"/>
  <c r="L169" i="1"/>
  <c r="L170" i="1"/>
  <c r="L171" i="1"/>
  <c r="L172" i="1"/>
  <c r="L173" i="1"/>
  <c r="L174" i="1"/>
  <c r="L340" i="1"/>
  <c r="L341" i="1"/>
  <c r="L342" i="1"/>
  <c r="L343" i="1"/>
  <c r="L344" i="1"/>
  <c r="L345" i="1"/>
  <c r="L346" i="1"/>
  <c r="L361" i="1"/>
  <c r="L194" i="1"/>
  <c r="L195" i="1"/>
  <c r="L196" i="1"/>
  <c r="L18" i="1"/>
  <c r="L21" i="1"/>
  <c r="L198" i="1"/>
  <c r="L199" i="1"/>
  <c r="L201" i="1"/>
  <c r="L202" i="1"/>
  <c r="L203" i="1"/>
  <c r="L204" i="1"/>
  <c r="L205" i="1"/>
  <c r="L206" i="1"/>
  <c r="L207" i="1"/>
  <c r="L208" i="1"/>
  <c r="L209" i="1"/>
  <c r="L210" i="1"/>
  <c r="L211" i="1"/>
  <c r="L16" i="1"/>
  <c r="L17" i="1"/>
  <c r="L19" i="1"/>
  <c r="L20" i="1"/>
  <c r="L22" i="1"/>
  <c r="L23" i="1"/>
  <c r="L24" i="1"/>
  <c r="L25" i="1"/>
  <c r="L26" i="1"/>
  <c r="L27" i="1"/>
  <c r="L29" i="1"/>
  <c r="L366" i="1"/>
  <c r="L367" i="1"/>
  <c r="L368" i="1"/>
  <c r="L370" i="1"/>
  <c r="L371" i="1"/>
  <c r="L373" i="1"/>
  <c r="L374" i="1"/>
  <c r="L375" i="1"/>
  <c r="L376" i="1"/>
  <c r="L377" i="1"/>
  <c r="L378" i="1"/>
  <c r="L379" i="1"/>
  <c r="L380" i="1"/>
  <c r="L381" i="1"/>
  <c r="L382" i="1"/>
  <c r="L383" i="1"/>
  <c r="L234" i="1"/>
  <c r="L235" i="1"/>
  <c r="L236" i="1"/>
  <c r="L237" i="1"/>
  <c r="L238" i="1"/>
  <c r="L239" i="1"/>
  <c r="L240" i="1"/>
  <c r="L241" i="1"/>
  <c r="L406" i="1"/>
  <c r="L407" i="1"/>
  <c r="L408" i="1"/>
  <c r="L409" i="1"/>
  <c r="L410" i="1"/>
  <c r="L411" i="1"/>
  <c r="L412" i="1"/>
  <c r="L413" i="1"/>
  <c r="L422" i="1"/>
  <c r="L423" i="1"/>
  <c r="L424" i="1"/>
  <c r="L425" i="1"/>
  <c r="L426" i="1"/>
  <c r="L431" i="1"/>
  <c r="L434" i="1"/>
  <c r="L144" i="1"/>
  <c r="L250" i="1"/>
  <c r="L251" i="1"/>
  <c r="L252" i="1"/>
  <c r="L253" i="1"/>
  <c r="L254" i="1"/>
  <c r="L259" i="1"/>
  <c r="L262" i="1"/>
  <c r="L8" i="1"/>
  <c r="L13" i="1"/>
  <c r="L625" i="1" s="1"/>
  <c r="L36" i="1"/>
  <c r="L55" i="1"/>
  <c r="L56" i="1"/>
  <c r="L57" i="1"/>
  <c r="M316" i="1"/>
  <c r="M149" i="1"/>
  <c r="M150" i="1"/>
  <c r="M151" i="1"/>
  <c r="M152" i="1"/>
  <c r="M153" i="1"/>
  <c r="M154" i="1"/>
  <c r="M155" i="1"/>
  <c r="M156" i="1"/>
  <c r="M157" i="1"/>
  <c r="M158" i="1"/>
  <c r="M159" i="1"/>
  <c r="M321" i="1"/>
  <c r="M322" i="1"/>
  <c r="M323" i="1"/>
  <c r="M324" i="1"/>
  <c r="M325" i="1"/>
  <c r="M326" i="1"/>
  <c r="M327" i="1"/>
  <c r="M328" i="1"/>
  <c r="M329" i="1"/>
  <c r="M330" i="1"/>
  <c r="M331" i="1"/>
  <c r="M168" i="1"/>
  <c r="M169" i="1"/>
  <c r="M170" i="1"/>
  <c r="M171" i="1"/>
  <c r="M172" i="1"/>
  <c r="M173" i="1"/>
  <c r="M174" i="1"/>
  <c r="M340" i="1"/>
  <c r="M341" i="1"/>
  <c r="M342" i="1"/>
  <c r="M343" i="1"/>
  <c r="M344" i="1"/>
  <c r="M345" i="1"/>
  <c r="M346" i="1"/>
  <c r="M361" i="1"/>
  <c r="M194" i="1"/>
  <c r="M195" i="1"/>
  <c r="M196" i="1"/>
  <c r="M18" i="1"/>
  <c r="M21" i="1"/>
  <c r="M198" i="1"/>
  <c r="M199" i="1"/>
  <c r="M201" i="1"/>
  <c r="M202" i="1"/>
  <c r="M203" i="1"/>
  <c r="M204" i="1"/>
  <c r="M205" i="1"/>
  <c r="M206" i="1"/>
  <c r="M207" i="1"/>
  <c r="M208" i="1"/>
  <c r="M209" i="1"/>
  <c r="M210" i="1"/>
  <c r="M211" i="1"/>
  <c r="M16" i="1"/>
  <c r="M17" i="1"/>
  <c r="M19" i="1"/>
  <c r="M20" i="1"/>
  <c r="M22" i="1"/>
  <c r="M23" i="1"/>
  <c r="M24" i="1"/>
  <c r="M25" i="1"/>
  <c r="M26" i="1"/>
  <c r="M27" i="1"/>
  <c r="M29" i="1"/>
  <c r="M366" i="1"/>
  <c r="M367" i="1"/>
  <c r="M368" i="1"/>
  <c r="M370" i="1"/>
  <c r="M371" i="1"/>
  <c r="M373" i="1"/>
  <c r="M374" i="1"/>
  <c r="M375" i="1"/>
  <c r="M376" i="1"/>
  <c r="M377" i="1"/>
  <c r="M378" i="1"/>
  <c r="M379" i="1"/>
  <c r="M380" i="1"/>
  <c r="M381" i="1"/>
  <c r="M382" i="1"/>
  <c r="M383" i="1"/>
  <c r="M234" i="1"/>
  <c r="M235" i="1"/>
  <c r="M236" i="1"/>
  <c r="M237" i="1"/>
  <c r="M238" i="1"/>
  <c r="M239" i="1"/>
  <c r="M240" i="1"/>
  <c r="M241" i="1"/>
  <c r="M406" i="1"/>
  <c r="M407" i="1"/>
  <c r="M408" i="1"/>
  <c r="M409" i="1"/>
  <c r="M410" i="1"/>
  <c r="M411" i="1"/>
  <c r="M412" i="1"/>
  <c r="M413" i="1"/>
  <c r="M422" i="1"/>
  <c r="M423" i="1"/>
  <c r="M424" i="1"/>
  <c r="M425" i="1"/>
  <c r="M426" i="1"/>
  <c r="M431" i="1"/>
  <c r="M434" i="1"/>
  <c r="M144" i="1"/>
  <c r="M250" i="1"/>
  <c r="M251" i="1"/>
  <c r="M252" i="1"/>
  <c r="M253" i="1"/>
  <c r="M254" i="1"/>
  <c r="M259" i="1"/>
  <c r="M262" i="1"/>
  <c r="M8" i="1"/>
  <c r="M13" i="1"/>
  <c r="M625" i="1" s="1"/>
  <c r="M36" i="1"/>
  <c r="M55" i="1"/>
  <c r="M56" i="1"/>
  <c r="M57" i="1"/>
  <c r="N316" i="1"/>
  <c r="N149" i="1"/>
  <c r="N150" i="1"/>
  <c r="N151" i="1"/>
  <c r="N152" i="1"/>
  <c r="N153" i="1"/>
  <c r="N154" i="1"/>
  <c r="N155" i="1"/>
  <c r="N156" i="1"/>
  <c r="N157" i="1"/>
  <c r="N158" i="1"/>
  <c r="N159" i="1"/>
  <c r="N321" i="1"/>
  <c r="N322" i="1"/>
  <c r="N323" i="1"/>
  <c r="N324" i="1"/>
  <c r="N325" i="1"/>
  <c r="N326" i="1"/>
  <c r="N327" i="1"/>
  <c r="N328" i="1"/>
  <c r="N329" i="1"/>
  <c r="N330" i="1"/>
  <c r="N331" i="1"/>
  <c r="N168" i="1"/>
  <c r="N169" i="1"/>
  <c r="N170" i="1"/>
  <c r="N171" i="1"/>
  <c r="N172" i="1"/>
  <c r="N173" i="1"/>
  <c r="N174" i="1"/>
  <c r="N340" i="1"/>
  <c r="N341" i="1"/>
  <c r="N342" i="1"/>
  <c r="N343" i="1"/>
  <c r="N344" i="1"/>
  <c r="N345" i="1"/>
  <c r="N346" i="1"/>
  <c r="N361" i="1"/>
  <c r="N194" i="1"/>
  <c r="N195" i="1"/>
  <c r="N196" i="1"/>
  <c r="N18" i="1"/>
  <c r="N21" i="1"/>
  <c r="N198" i="1"/>
  <c r="N199" i="1"/>
  <c r="N201" i="1"/>
  <c r="N202" i="1"/>
  <c r="N203" i="1"/>
  <c r="N204" i="1"/>
  <c r="N205" i="1"/>
  <c r="N206" i="1"/>
  <c r="N207" i="1"/>
  <c r="N208" i="1"/>
  <c r="N209" i="1"/>
  <c r="N210" i="1"/>
  <c r="N211" i="1"/>
  <c r="N16" i="1"/>
  <c r="N17" i="1"/>
  <c r="N19" i="1"/>
  <c r="N20" i="1"/>
  <c r="N22" i="1"/>
  <c r="N23" i="1"/>
  <c r="N24" i="1"/>
  <c r="N25" i="1"/>
  <c r="N26" i="1"/>
  <c r="N27" i="1"/>
  <c r="N29" i="1"/>
  <c r="N366" i="1"/>
  <c r="N367" i="1"/>
  <c r="N368" i="1"/>
  <c r="N370" i="1"/>
  <c r="N371" i="1"/>
  <c r="N373" i="1"/>
  <c r="N374" i="1"/>
  <c r="N375" i="1"/>
  <c r="N376" i="1"/>
  <c r="N377" i="1"/>
  <c r="N378" i="1"/>
  <c r="N379" i="1"/>
  <c r="N380" i="1"/>
  <c r="N381" i="1"/>
  <c r="N382" i="1"/>
  <c r="N383" i="1"/>
  <c r="N234" i="1"/>
  <c r="N235" i="1"/>
  <c r="N236" i="1"/>
  <c r="N237" i="1"/>
  <c r="N238" i="1"/>
  <c r="N239" i="1"/>
  <c r="N240" i="1"/>
  <c r="N241" i="1"/>
  <c r="N406" i="1"/>
  <c r="N407" i="1"/>
  <c r="N408" i="1"/>
  <c r="N409" i="1"/>
  <c r="N410" i="1"/>
  <c r="N411" i="1"/>
  <c r="N412" i="1"/>
  <c r="N413" i="1"/>
  <c r="N422" i="1"/>
  <c r="N423" i="1"/>
  <c r="N424" i="1"/>
  <c r="N425" i="1"/>
  <c r="N426" i="1"/>
  <c r="N431" i="1"/>
  <c r="N434" i="1"/>
  <c r="N144" i="1"/>
  <c r="N250" i="1"/>
  <c r="N251" i="1"/>
  <c r="N252" i="1"/>
  <c r="N253" i="1"/>
  <c r="N254" i="1"/>
  <c r="N259" i="1"/>
  <c r="N262" i="1"/>
  <c r="N7" i="1"/>
  <c r="N8" i="1"/>
  <c r="N13" i="1"/>
  <c r="N625" i="1" s="1"/>
  <c r="N36" i="1"/>
  <c r="N55" i="1"/>
  <c r="N56" i="1"/>
  <c r="N57" i="1"/>
  <c r="O316" i="1"/>
  <c r="O149" i="1"/>
  <c r="O150" i="1"/>
  <c r="O151" i="1"/>
  <c r="O152" i="1"/>
  <c r="O153" i="1"/>
  <c r="O154" i="1"/>
  <c r="O155" i="1"/>
  <c r="O156" i="1"/>
  <c r="O157" i="1"/>
  <c r="O158" i="1"/>
  <c r="O159" i="1"/>
  <c r="O321" i="1"/>
  <c r="O322" i="1"/>
  <c r="O323" i="1"/>
  <c r="O324" i="1"/>
  <c r="O325" i="1"/>
  <c r="O326" i="1"/>
  <c r="O327" i="1"/>
  <c r="O328" i="1"/>
  <c r="O329" i="1"/>
  <c r="O330" i="1"/>
  <c r="O331" i="1"/>
  <c r="O168" i="1"/>
  <c r="O169" i="1"/>
  <c r="O170" i="1"/>
  <c r="O171" i="1"/>
  <c r="O172" i="1"/>
  <c r="O173" i="1"/>
  <c r="O174" i="1"/>
  <c r="O340" i="1"/>
  <c r="O341" i="1"/>
  <c r="O342" i="1"/>
  <c r="O343" i="1"/>
  <c r="O344" i="1"/>
  <c r="O345" i="1"/>
  <c r="O346" i="1"/>
  <c r="O361" i="1"/>
  <c r="O194" i="1"/>
  <c r="O195" i="1"/>
  <c r="O196" i="1"/>
  <c r="O18" i="1"/>
  <c r="O21" i="1"/>
  <c r="O198" i="1"/>
  <c r="O199" i="1"/>
  <c r="O201" i="1"/>
  <c r="O202" i="1"/>
  <c r="O203" i="1"/>
  <c r="O204" i="1"/>
  <c r="O205" i="1"/>
  <c r="O206" i="1"/>
  <c r="O207" i="1"/>
  <c r="O208" i="1"/>
  <c r="O209" i="1"/>
  <c r="O210" i="1"/>
  <c r="O211" i="1"/>
  <c r="O16" i="1"/>
  <c r="O17" i="1"/>
  <c r="O19" i="1"/>
  <c r="O20" i="1"/>
  <c r="O22" i="1"/>
  <c r="O23" i="1"/>
  <c r="O24" i="1"/>
  <c r="O25" i="1"/>
  <c r="O26" i="1"/>
  <c r="O27" i="1"/>
  <c r="O29" i="1"/>
  <c r="O366" i="1"/>
  <c r="O367" i="1"/>
  <c r="O368" i="1"/>
  <c r="O370" i="1"/>
  <c r="O371" i="1"/>
  <c r="O373" i="1"/>
  <c r="O374" i="1"/>
  <c r="O375" i="1"/>
  <c r="O376" i="1"/>
  <c r="O377" i="1"/>
  <c r="O378" i="1"/>
  <c r="O379" i="1"/>
  <c r="O380" i="1"/>
  <c r="O381" i="1"/>
  <c r="O382" i="1"/>
  <c r="O383" i="1"/>
  <c r="O234" i="1"/>
  <c r="O235" i="1"/>
  <c r="O236" i="1"/>
  <c r="O237" i="1"/>
  <c r="O238" i="1"/>
  <c r="O239" i="1"/>
  <c r="O240" i="1"/>
  <c r="O241" i="1"/>
  <c r="O406" i="1"/>
  <c r="O407" i="1"/>
  <c r="O408" i="1"/>
  <c r="O409" i="1"/>
  <c r="O410" i="1"/>
  <c r="O411" i="1"/>
  <c r="O412" i="1"/>
  <c r="O413" i="1"/>
  <c r="O422" i="1"/>
  <c r="O423" i="1"/>
  <c r="O424" i="1"/>
  <c r="O425" i="1"/>
  <c r="O426" i="1"/>
  <c r="O431" i="1"/>
  <c r="O434" i="1"/>
  <c r="O144" i="1"/>
  <c r="O250" i="1"/>
  <c r="O251" i="1"/>
  <c r="O252" i="1"/>
  <c r="O253" i="1"/>
  <c r="O254" i="1"/>
  <c r="O259" i="1"/>
  <c r="O262" i="1"/>
  <c r="O7" i="1"/>
  <c r="O8" i="1"/>
  <c r="O13" i="1"/>
  <c r="O625" i="1" s="1"/>
  <c r="O36" i="1"/>
  <c r="O55" i="1"/>
  <c r="O56" i="1"/>
  <c r="O57" i="1"/>
  <c r="P316" i="1"/>
  <c r="P149" i="1"/>
  <c r="P150" i="1"/>
  <c r="P151" i="1"/>
  <c r="P152" i="1"/>
  <c r="P153" i="1"/>
  <c r="P154" i="1"/>
  <c r="P155" i="1"/>
  <c r="P156" i="1"/>
  <c r="P157" i="1"/>
  <c r="P158" i="1"/>
  <c r="P159" i="1"/>
  <c r="P321" i="1"/>
  <c r="P322" i="1"/>
  <c r="P323" i="1"/>
  <c r="P324" i="1"/>
  <c r="P325" i="1"/>
  <c r="P326" i="1"/>
  <c r="P327" i="1"/>
  <c r="P328" i="1"/>
  <c r="P329" i="1"/>
  <c r="P330" i="1"/>
  <c r="P331" i="1"/>
  <c r="P168" i="1"/>
  <c r="P169" i="1"/>
  <c r="P170" i="1"/>
  <c r="P171" i="1"/>
  <c r="P172" i="1"/>
  <c r="P173" i="1"/>
  <c r="P174" i="1"/>
  <c r="P340" i="1"/>
  <c r="P341" i="1"/>
  <c r="P342" i="1"/>
  <c r="P343" i="1"/>
  <c r="P344" i="1"/>
  <c r="P345" i="1"/>
  <c r="P346" i="1"/>
  <c r="P361" i="1"/>
  <c r="P194" i="1"/>
  <c r="P195" i="1"/>
  <c r="P196" i="1"/>
  <c r="P18" i="1"/>
  <c r="P21" i="1"/>
  <c r="P198" i="1"/>
  <c r="P199" i="1"/>
  <c r="P201" i="1"/>
  <c r="P202" i="1"/>
  <c r="P203" i="1"/>
  <c r="P204" i="1"/>
  <c r="P205" i="1"/>
  <c r="P206" i="1"/>
  <c r="P207" i="1"/>
  <c r="P208" i="1"/>
  <c r="P209" i="1"/>
  <c r="P210" i="1"/>
  <c r="P211" i="1"/>
  <c r="P16" i="1"/>
  <c r="P17" i="1"/>
  <c r="P19" i="1"/>
  <c r="P20" i="1"/>
  <c r="P22" i="1"/>
  <c r="P23" i="1"/>
  <c r="P24" i="1"/>
  <c r="P25" i="1"/>
  <c r="P26" i="1"/>
  <c r="P27" i="1"/>
  <c r="P29" i="1"/>
  <c r="P366" i="1"/>
  <c r="P367" i="1"/>
  <c r="P368" i="1"/>
  <c r="P370" i="1"/>
  <c r="P371" i="1"/>
  <c r="P373" i="1"/>
  <c r="P374" i="1"/>
  <c r="P375" i="1"/>
  <c r="P376" i="1"/>
  <c r="P377" i="1"/>
  <c r="P378" i="1"/>
  <c r="P379" i="1"/>
  <c r="P380" i="1"/>
  <c r="P381" i="1"/>
  <c r="P382" i="1"/>
  <c r="P383" i="1"/>
  <c r="P234" i="1"/>
  <c r="P235" i="1"/>
  <c r="P236" i="1"/>
  <c r="P237" i="1"/>
  <c r="P238" i="1"/>
  <c r="P239" i="1"/>
  <c r="P240" i="1"/>
  <c r="P241" i="1"/>
  <c r="P406" i="1"/>
  <c r="P407" i="1"/>
  <c r="P408" i="1"/>
  <c r="P409" i="1"/>
  <c r="P410" i="1"/>
  <c r="P411" i="1"/>
  <c r="P412" i="1"/>
  <c r="P413" i="1"/>
  <c r="P422" i="1"/>
  <c r="P423" i="1"/>
  <c r="P424" i="1"/>
  <c r="P425" i="1"/>
  <c r="P426" i="1"/>
  <c r="P431" i="1"/>
  <c r="P434" i="1"/>
  <c r="P144" i="1"/>
  <c r="P250" i="1"/>
  <c r="P251" i="1"/>
  <c r="P252" i="1"/>
  <c r="P253" i="1"/>
  <c r="P254" i="1"/>
  <c r="P259" i="1"/>
  <c r="P262" i="1"/>
  <c r="P7" i="1"/>
  <c r="P8" i="1"/>
  <c r="P13" i="1"/>
  <c r="P625" i="1" s="1"/>
  <c r="P36" i="1"/>
  <c r="P55" i="1"/>
  <c r="P56" i="1"/>
  <c r="P57" i="1"/>
  <c r="S7" i="1"/>
  <c r="S8" i="1"/>
  <c r="S13" i="1"/>
  <c r="S625" i="1" s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6" i="1"/>
  <c r="S316" i="1"/>
  <c r="S149" i="1"/>
  <c r="S150" i="1"/>
  <c r="S151" i="1"/>
  <c r="S152" i="1"/>
  <c r="S153" i="1"/>
  <c r="S154" i="1"/>
  <c r="S155" i="1"/>
  <c r="S156" i="1"/>
  <c r="S157" i="1"/>
  <c r="S158" i="1"/>
  <c r="S159" i="1"/>
  <c r="S321" i="1"/>
  <c r="S322" i="1"/>
  <c r="S323" i="1"/>
  <c r="S324" i="1"/>
  <c r="S325" i="1"/>
  <c r="S326" i="1"/>
  <c r="S327" i="1"/>
  <c r="S328" i="1"/>
  <c r="S329" i="1"/>
  <c r="S330" i="1"/>
  <c r="S331" i="1"/>
  <c r="S168" i="1"/>
  <c r="S169" i="1"/>
  <c r="S170" i="1"/>
  <c r="S171" i="1"/>
  <c r="S172" i="1"/>
  <c r="S173" i="1"/>
  <c r="S174" i="1"/>
  <c r="S340" i="1"/>
  <c r="S341" i="1"/>
  <c r="S342" i="1"/>
  <c r="S343" i="1"/>
  <c r="S344" i="1"/>
  <c r="S345" i="1"/>
  <c r="S346" i="1"/>
  <c r="S361" i="1"/>
  <c r="S194" i="1"/>
  <c r="S195" i="1"/>
  <c r="S196" i="1"/>
  <c r="S198" i="1"/>
  <c r="S199" i="1"/>
  <c r="S201" i="1"/>
  <c r="S202" i="1"/>
  <c r="S203" i="1"/>
  <c r="S204" i="1"/>
  <c r="S205" i="1"/>
  <c r="S206" i="1"/>
  <c r="S207" i="1"/>
  <c r="S208" i="1"/>
  <c r="S209" i="1"/>
  <c r="S210" i="1"/>
  <c r="S211" i="1"/>
  <c r="S366" i="1"/>
  <c r="S367" i="1"/>
  <c r="S368" i="1"/>
  <c r="S370" i="1"/>
  <c r="S371" i="1"/>
  <c r="S373" i="1"/>
  <c r="S374" i="1"/>
  <c r="S375" i="1"/>
  <c r="S376" i="1"/>
  <c r="S377" i="1"/>
  <c r="S378" i="1"/>
  <c r="S379" i="1"/>
  <c r="S380" i="1"/>
  <c r="S381" i="1"/>
  <c r="S382" i="1"/>
  <c r="S383" i="1"/>
  <c r="S234" i="1"/>
  <c r="S235" i="1"/>
  <c r="S236" i="1"/>
  <c r="S237" i="1"/>
  <c r="S238" i="1"/>
  <c r="S239" i="1"/>
  <c r="S240" i="1"/>
  <c r="S241" i="1"/>
  <c r="S406" i="1"/>
  <c r="S407" i="1"/>
  <c r="S408" i="1"/>
  <c r="S409" i="1"/>
  <c r="S410" i="1"/>
  <c r="S411" i="1"/>
  <c r="S412" i="1"/>
  <c r="S413" i="1"/>
  <c r="S422" i="1"/>
  <c r="S423" i="1"/>
  <c r="S424" i="1"/>
  <c r="S425" i="1"/>
  <c r="S426" i="1"/>
  <c r="S431" i="1"/>
  <c r="S434" i="1"/>
  <c r="S144" i="1"/>
  <c r="S250" i="1"/>
  <c r="S251" i="1"/>
  <c r="S252" i="1"/>
  <c r="S253" i="1"/>
  <c r="S254" i="1"/>
  <c r="S259" i="1"/>
  <c r="S262" i="1"/>
  <c r="S55" i="1"/>
  <c r="S56" i="1"/>
  <c r="S57" i="1"/>
  <c r="T7" i="1"/>
  <c r="T8" i="1"/>
  <c r="T13" i="1"/>
  <c r="T16" i="1"/>
  <c r="T17" i="1"/>
  <c r="T18" i="1"/>
  <c r="T19" i="1"/>
  <c r="T20" i="1"/>
  <c r="T21" i="1"/>
  <c r="T22" i="1"/>
  <c r="T23" i="1"/>
  <c r="T24" i="1"/>
  <c r="T25" i="1"/>
  <c r="T26" i="1"/>
  <c r="T27" i="1"/>
  <c r="T29" i="1"/>
  <c r="T36" i="1"/>
  <c r="T316" i="1"/>
  <c r="T149" i="1"/>
  <c r="T150" i="1"/>
  <c r="T151" i="1"/>
  <c r="T152" i="1"/>
  <c r="T153" i="1"/>
  <c r="T154" i="1"/>
  <c r="T155" i="1"/>
  <c r="T156" i="1"/>
  <c r="T157" i="1"/>
  <c r="T158" i="1"/>
  <c r="T159" i="1"/>
  <c r="T321" i="1"/>
  <c r="T322" i="1"/>
  <c r="T323" i="1"/>
  <c r="T324" i="1"/>
  <c r="T325" i="1"/>
  <c r="T326" i="1"/>
  <c r="T327" i="1"/>
  <c r="T328" i="1"/>
  <c r="T329" i="1"/>
  <c r="T330" i="1"/>
  <c r="T331" i="1"/>
  <c r="T168" i="1"/>
  <c r="T169" i="1"/>
  <c r="T170" i="1"/>
  <c r="T171" i="1"/>
  <c r="T172" i="1"/>
  <c r="T173" i="1"/>
  <c r="T174" i="1"/>
  <c r="T340" i="1"/>
  <c r="T341" i="1"/>
  <c r="T342" i="1"/>
  <c r="T343" i="1"/>
  <c r="T344" i="1"/>
  <c r="T345" i="1"/>
  <c r="T346" i="1"/>
  <c r="T361" i="1"/>
  <c r="T194" i="1"/>
  <c r="T195" i="1"/>
  <c r="T196" i="1"/>
  <c r="T198" i="1"/>
  <c r="T199" i="1"/>
  <c r="T201" i="1"/>
  <c r="T202" i="1"/>
  <c r="T203" i="1"/>
  <c r="T204" i="1"/>
  <c r="T205" i="1"/>
  <c r="T206" i="1"/>
  <c r="T207" i="1"/>
  <c r="T208" i="1"/>
  <c r="T209" i="1"/>
  <c r="T210" i="1"/>
  <c r="T211" i="1"/>
  <c r="T366" i="1"/>
  <c r="T367" i="1"/>
  <c r="T368" i="1"/>
  <c r="T370" i="1"/>
  <c r="T371" i="1"/>
  <c r="T373" i="1"/>
  <c r="T374" i="1"/>
  <c r="T375" i="1"/>
  <c r="T376" i="1"/>
  <c r="T377" i="1"/>
  <c r="T378" i="1"/>
  <c r="T379" i="1"/>
  <c r="T380" i="1"/>
  <c r="T381" i="1"/>
  <c r="T382" i="1"/>
  <c r="T383" i="1"/>
  <c r="T234" i="1"/>
  <c r="T235" i="1"/>
  <c r="T236" i="1"/>
  <c r="T237" i="1"/>
  <c r="T238" i="1"/>
  <c r="T239" i="1"/>
  <c r="T240" i="1"/>
  <c r="T241" i="1"/>
  <c r="T406" i="1"/>
  <c r="T407" i="1"/>
  <c r="T408" i="1"/>
  <c r="T409" i="1"/>
  <c r="T410" i="1"/>
  <c r="T411" i="1"/>
  <c r="T412" i="1"/>
  <c r="T413" i="1"/>
  <c r="T422" i="1"/>
  <c r="T423" i="1"/>
  <c r="T424" i="1"/>
  <c r="T425" i="1"/>
  <c r="T426" i="1"/>
  <c r="T431" i="1"/>
  <c r="T434" i="1"/>
  <c r="T144" i="1"/>
  <c r="T250" i="1"/>
  <c r="T251" i="1"/>
  <c r="T252" i="1"/>
  <c r="T253" i="1"/>
  <c r="T254" i="1"/>
  <c r="T259" i="1"/>
  <c r="T262" i="1"/>
  <c r="T55" i="1"/>
  <c r="T56" i="1"/>
  <c r="T57" i="1"/>
  <c r="U316" i="1"/>
  <c r="U149" i="1"/>
  <c r="U150" i="1"/>
  <c r="U151" i="1"/>
  <c r="U152" i="1"/>
  <c r="U153" i="1"/>
  <c r="U154" i="1"/>
  <c r="U155" i="1"/>
  <c r="U156" i="1"/>
  <c r="U157" i="1"/>
  <c r="U158" i="1"/>
  <c r="U159" i="1"/>
  <c r="U321" i="1"/>
  <c r="U322" i="1"/>
  <c r="U323" i="1"/>
  <c r="U324" i="1"/>
  <c r="U325" i="1"/>
  <c r="U326" i="1"/>
  <c r="U327" i="1"/>
  <c r="U328" i="1"/>
  <c r="U329" i="1"/>
  <c r="U330" i="1"/>
  <c r="U331" i="1"/>
  <c r="U168" i="1"/>
  <c r="U169" i="1"/>
  <c r="U170" i="1"/>
  <c r="U171" i="1"/>
  <c r="U172" i="1"/>
  <c r="U173" i="1"/>
  <c r="U174" i="1"/>
  <c r="U340" i="1"/>
  <c r="U341" i="1"/>
  <c r="U342" i="1"/>
  <c r="U343" i="1"/>
  <c r="U344" i="1"/>
  <c r="U345" i="1"/>
  <c r="U346" i="1"/>
  <c r="U361" i="1"/>
  <c r="U194" i="1"/>
  <c r="U195" i="1"/>
  <c r="U196" i="1"/>
  <c r="U18" i="1"/>
  <c r="U21" i="1"/>
  <c r="U198" i="1"/>
  <c r="U199" i="1"/>
  <c r="U201" i="1"/>
  <c r="U202" i="1"/>
  <c r="U203" i="1"/>
  <c r="U204" i="1"/>
  <c r="U205" i="1"/>
  <c r="U206" i="1"/>
  <c r="U207" i="1"/>
  <c r="U208" i="1"/>
  <c r="U209" i="1"/>
  <c r="U210" i="1"/>
  <c r="U211" i="1"/>
  <c r="U16" i="1"/>
  <c r="U17" i="1"/>
  <c r="U19" i="1"/>
  <c r="U20" i="1"/>
  <c r="U22" i="1"/>
  <c r="U23" i="1"/>
  <c r="U24" i="1"/>
  <c r="U25" i="1"/>
  <c r="U26" i="1"/>
  <c r="U27" i="1"/>
  <c r="U29" i="1"/>
  <c r="U366" i="1"/>
  <c r="U367" i="1"/>
  <c r="U368" i="1"/>
  <c r="U370" i="1"/>
  <c r="U371" i="1"/>
  <c r="U373" i="1"/>
  <c r="U374" i="1"/>
  <c r="U375" i="1"/>
  <c r="U376" i="1"/>
  <c r="U377" i="1"/>
  <c r="U378" i="1"/>
  <c r="U379" i="1"/>
  <c r="U380" i="1"/>
  <c r="U381" i="1"/>
  <c r="U382" i="1"/>
  <c r="U383" i="1"/>
  <c r="U234" i="1"/>
  <c r="U235" i="1"/>
  <c r="U236" i="1"/>
  <c r="U237" i="1"/>
  <c r="U238" i="1"/>
  <c r="U239" i="1"/>
  <c r="U240" i="1"/>
  <c r="U241" i="1"/>
  <c r="U406" i="1"/>
  <c r="U407" i="1"/>
  <c r="U408" i="1"/>
  <c r="U409" i="1"/>
  <c r="U410" i="1"/>
  <c r="U411" i="1"/>
  <c r="U412" i="1"/>
  <c r="U413" i="1"/>
  <c r="U422" i="1"/>
  <c r="U423" i="1"/>
  <c r="U424" i="1"/>
  <c r="U425" i="1"/>
  <c r="U426" i="1"/>
  <c r="U431" i="1"/>
  <c r="U434" i="1"/>
  <c r="U144" i="1"/>
  <c r="U250" i="1"/>
  <c r="U251" i="1"/>
  <c r="U252" i="1"/>
  <c r="U253" i="1"/>
  <c r="U254" i="1"/>
  <c r="U259" i="1"/>
  <c r="U262" i="1"/>
  <c r="U7" i="1"/>
  <c r="U8" i="1"/>
  <c r="U13" i="1"/>
  <c r="U625" i="1" s="1"/>
  <c r="U36" i="1"/>
  <c r="U55" i="1"/>
  <c r="U56" i="1"/>
  <c r="U57" i="1"/>
  <c r="V316" i="1"/>
  <c r="V149" i="1"/>
  <c r="V150" i="1"/>
  <c r="V151" i="1"/>
  <c r="V152" i="1"/>
  <c r="V153" i="1"/>
  <c r="V154" i="1"/>
  <c r="V155" i="1"/>
  <c r="V156" i="1"/>
  <c r="V157" i="1"/>
  <c r="V158" i="1"/>
  <c r="V159" i="1"/>
  <c r="V321" i="1"/>
  <c r="V322" i="1"/>
  <c r="V323" i="1"/>
  <c r="V324" i="1"/>
  <c r="V325" i="1"/>
  <c r="V326" i="1"/>
  <c r="V327" i="1"/>
  <c r="V328" i="1"/>
  <c r="V329" i="1"/>
  <c r="V330" i="1"/>
  <c r="V331" i="1"/>
  <c r="V168" i="1"/>
  <c r="V169" i="1"/>
  <c r="V170" i="1"/>
  <c r="V171" i="1"/>
  <c r="V172" i="1"/>
  <c r="V173" i="1"/>
  <c r="V174" i="1"/>
  <c r="V340" i="1"/>
  <c r="V341" i="1"/>
  <c r="V342" i="1"/>
  <c r="V343" i="1"/>
  <c r="V344" i="1"/>
  <c r="V345" i="1"/>
  <c r="V346" i="1"/>
  <c r="V361" i="1"/>
  <c r="V194" i="1"/>
  <c r="V195" i="1"/>
  <c r="V196" i="1"/>
  <c r="V18" i="1"/>
  <c r="V21" i="1"/>
  <c r="V198" i="1"/>
  <c r="V199" i="1"/>
  <c r="V201" i="1"/>
  <c r="V202" i="1"/>
  <c r="V203" i="1"/>
  <c r="V204" i="1"/>
  <c r="V205" i="1"/>
  <c r="V206" i="1"/>
  <c r="V207" i="1"/>
  <c r="V208" i="1"/>
  <c r="V209" i="1"/>
  <c r="V210" i="1"/>
  <c r="V211" i="1"/>
  <c r="V16" i="1"/>
  <c r="V17" i="1"/>
  <c r="V19" i="1"/>
  <c r="V20" i="1"/>
  <c r="V22" i="1"/>
  <c r="V23" i="1"/>
  <c r="V24" i="1"/>
  <c r="V25" i="1"/>
  <c r="V26" i="1"/>
  <c r="V27" i="1"/>
  <c r="V28" i="1"/>
  <c r="V29" i="1"/>
  <c r="V366" i="1"/>
  <c r="V367" i="1"/>
  <c r="V368" i="1"/>
  <c r="V370" i="1"/>
  <c r="V371" i="1"/>
  <c r="V373" i="1"/>
  <c r="V374" i="1"/>
  <c r="V375" i="1"/>
  <c r="V376" i="1"/>
  <c r="V377" i="1"/>
  <c r="V378" i="1"/>
  <c r="V379" i="1"/>
  <c r="V380" i="1"/>
  <c r="V381" i="1"/>
  <c r="V382" i="1"/>
  <c r="V383" i="1"/>
  <c r="V234" i="1"/>
  <c r="V235" i="1"/>
  <c r="V236" i="1"/>
  <c r="V237" i="1"/>
  <c r="V238" i="1"/>
  <c r="V239" i="1"/>
  <c r="V240" i="1"/>
  <c r="V241" i="1"/>
  <c r="V406" i="1"/>
  <c r="V407" i="1"/>
  <c r="V408" i="1"/>
  <c r="V409" i="1"/>
  <c r="V410" i="1"/>
  <c r="V411" i="1"/>
  <c r="V412" i="1"/>
  <c r="V413" i="1"/>
  <c r="V422" i="1"/>
  <c r="V423" i="1"/>
  <c r="V424" i="1"/>
  <c r="V425" i="1"/>
  <c r="V426" i="1"/>
  <c r="V431" i="1"/>
  <c r="V434" i="1"/>
  <c r="V144" i="1"/>
  <c r="V250" i="1"/>
  <c r="V251" i="1"/>
  <c r="V252" i="1"/>
  <c r="V253" i="1"/>
  <c r="V254" i="1"/>
  <c r="V259" i="1"/>
  <c r="V262" i="1"/>
  <c r="V7" i="1"/>
  <c r="V8" i="1"/>
  <c r="V13" i="1"/>
  <c r="V625" i="1" s="1"/>
  <c r="V36" i="1"/>
  <c r="V55" i="1"/>
  <c r="V56" i="1"/>
  <c r="V57" i="1"/>
  <c r="G490" i="1"/>
  <c r="G491" i="1"/>
  <c r="G496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6" i="1"/>
  <c r="H490" i="1"/>
  <c r="H491" i="1"/>
  <c r="H496" i="1"/>
  <c r="H499" i="1"/>
  <c r="H501" i="1"/>
  <c r="H502" i="1"/>
  <c r="H503" i="1"/>
  <c r="H504" i="1"/>
  <c r="H505" i="1"/>
  <c r="H506" i="1"/>
  <c r="H507" i="1"/>
  <c r="H508" i="1"/>
  <c r="H509" i="1"/>
  <c r="H510" i="1"/>
  <c r="H511" i="1"/>
  <c r="H516" i="1"/>
  <c r="I490" i="1"/>
  <c r="I491" i="1"/>
  <c r="I496" i="1"/>
  <c r="I499" i="1"/>
  <c r="I502" i="1"/>
  <c r="I503" i="1"/>
  <c r="I504" i="1"/>
  <c r="I505" i="1"/>
  <c r="I506" i="1"/>
  <c r="I507" i="1"/>
  <c r="I508" i="1"/>
  <c r="I509" i="1"/>
  <c r="I510" i="1"/>
  <c r="I511" i="1"/>
  <c r="I512" i="1"/>
  <c r="I516" i="1"/>
  <c r="J490" i="1"/>
  <c r="J491" i="1"/>
  <c r="J496" i="1"/>
  <c r="J499" i="1"/>
  <c r="J502" i="1"/>
  <c r="J503" i="1"/>
  <c r="J504" i="1"/>
  <c r="J505" i="1"/>
  <c r="J506" i="1"/>
  <c r="J507" i="1"/>
  <c r="J508" i="1"/>
  <c r="J509" i="1"/>
  <c r="J510" i="1"/>
  <c r="J511" i="1"/>
  <c r="J512" i="1"/>
  <c r="J516" i="1"/>
  <c r="K490" i="1"/>
  <c r="K491" i="1"/>
  <c r="K496" i="1"/>
  <c r="K499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6" i="1"/>
  <c r="L490" i="1"/>
  <c r="L491" i="1"/>
  <c r="L496" i="1"/>
  <c r="L499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6" i="1"/>
  <c r="M490" i="1"/>
  <c r="M491" i="1"/>
  <c r="M496" i="1"/>
  <c r="M499" i="1"/>
  <c r="M502" i="1"/>
  <c r="M503" i="1"/>
  <c r="M504" i="1"/>
  <c r="M505" i="1"/>
  <c r="M506" i="1"/>
  <c r="M507" i="1"/>
  <c r="M508" i="1"/>
  <c r="M509" i="1"/>
  <c r="M510" i="1"/>
  <c r="M511" i="1"/>
  <c r="M512" i="1"/>
  <c r="M516" i="1"/>
  <c r="N490" i="1"/>
  <c r="N491" i="1"/>
  <c r="N496" i="1"/>
  <c r="N499" i="1"/>
  <c r="N502" i="1"/>
  <c r="N503" i="1"/>
  <c r="N504" i="1"/>
  <c r="N505" i="1"/>
  <c r="N506" i="1"/>
  <c r="N507" i="1"/>
  <c r="N508" i="1"/>
  <c r="N509" i="1"/>
  <c r="N510" i="1"/>
  <c r="N511" i="1"/>
  <c r="N512" i="1"/>
  <c r="N516" i="1"/>
  <c r="O490" i="1"/>
  <c r="O491" i="1"/>
  <c r="O496" i="1"/>
  <c r="O499" i="1"/>
  <c r="O502" i="1"/>
  <c r="O503" i="1"/>
  <c r="O504" i="1"/>
  <c r="O505" i="1"/>
  <c r="O506" i="1"/>
  <c r="O507" i="1"/>
  <c r="O508" i="1"/>
  <c r="O509" i="1"/>
  <c r="O510" i="1"/>
  <c r="O511" i="1"/>
  <c r="O512" i="1"/>
  <c r="O516" i="1"/>
  <c r="P490" i="1"/>
  <c r="P491" i="1"/>
  <c r="P496" i="1"/>
  <c r="P499" i="1"/>
  <c r="P502" i="1"/>
  <c r="P503" i="1"/>
  <c r="P504" i="1"/>
  <c r="P505" i="1"/>
  <c r="P506" i="1"/>
  <c r="P507" i="1"/>
  <c r="P508" i="1"/>
  <c r="P509" i="1"/>
  <c r="P510" i="1"/>
  <c r="P511" i="1"/>
  <c r="P512" i="1"/>
  <c r="P516" i="1"/>
  <c r="Q490" i="1"/>
  <c r="Q491" i="1"/>
  <c r="Q496" i="1"/>
  <c r="Q499" i="1"/>
  <c r="Q502" i="1"/>
  <c r="Q503" i="1"/>
  <c r="Q504" i="1"/>
  <c r="Q505" i="1"/>
  <c r="Q506" i="1"/>
  <c r="Q507" i="1"/>
  <c r="Q508" i="1"/>
  <c r="Q509" i="1"/>
  <c r="Q510" i="1"/>
  <c r="Q511" i="1"/>
  <c r="Q512" i="1"/>
  <c r="Q516" i="1"/>
  <c r="R490" i="1"/>
  <c r="R491" i="1"/>
  <c r="R496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6" i="1"/>
  <c r="S490" i="1"/>
  <c r="S491" i="1"/>
  <c r="S496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6" i="1"/>
  <c r="T490" i="1"/>
  <c r="T491" i="1"/>
  <c r="T496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6" i="1"/>
  <c r="U490" i="1"/>
  <c r="U491" i="1"/>
  <c r="U496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6" i="1"/>
  <c r="V490" i="1"/>
  <c r="V491" i="1"/>
  <c r="V496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6" i="1"/>
  <c r="F290" i="1"/>
  <c r="G103" i="1"/>
  <c r="G104" i="1"/>
  <c r="G123" i="1"/>
  <c r="H103" i="1"/>
  <c r="H123" i="1"/>
  <c r="J103" i="1"/>
  <c r="J104" i="1"/>
  <c r="J123" i="1"/>
  <c r="K103" i="1"/>
  <c r="K123" i="1"/>
  <c r="L103" i="1"/>
  <c r="L104" i="1"/>
  <c r="L123" i="1"/>
  <c r="M103" i="1"/>
  <c r="M123" i="1"/>
  <c r="N103" i="1"/>
  <c r="N123" i="1"/>
  <c r="O103" i="1"/>
  <c r="O123" i="1"/>
  <c r="P103" i="1"/>
  <c r="P123" i="1"/>
  <c r="S103" i="1"/>
  <c r="S123" i="1"/>
  <c r="T103" i="1"/>
  <c r="T123" i="1"/>
  <c r="U103" i="1"/>
  <c r="U123" i="1"/>
  <c r="V103" i="1"/>
  <c r="V123" i="1"/>
  <c r="K584" i="4"/>
  <c r="O585" i="4"/>
  <c r="O584" i="4"/>
  <c r="O592" i="4"/>
  <c r="O593" i="4"/>
  <c r="O594" i="4" s="1"/>
  <c r="O636" i="4"/>
  <c r="O602" i="4"/>
  <c r="O601" i="4" s="1"/>
  <c r="P585" i="4"/>
  <c r="P584" i="4"/>
  <c r="P592" i="4"/>
  <c r="P593" i="4"/>
  <c r="P594" i="4" s="1"/>
  <c r="P636" i="4"/>
  <c r="P602" i="4"/>
  <c r="P601" i="4" s="1"/>
  <c r="Q585" i="4"/>
  <c r="Q584" i="4"/>
  <c r="Q592" i="4"/>
  <c r="Q593" i="4"/>
  <c r="Q636" i="4"/>
  <c r="Q602" i="4"/>
  <c r="Q601" i="4" s="1"/>
  <c r="N477" i="4"/>
  <c r="N592" i="4"/>
  <c r="N584" i="4"/>
  <c r="N585" i="4"/>
  <c r="N495" i="4"/>
  <c r="R633" i="4"/>
  <c r="R635" i="4" s="1"/>
  <c r="R612" i="4" s="1"/>
  <c r="S633" i="4"/>
  <c r="S635" i="4" s="1"/>
  <c r="S612" i="4" s="1"/>
  <c r="T633" i="4"/>
  <c r="T635" i="4" s="1"/>
  <c r="T612" i="4" s="1"/>
  <c r="K468" i="4"/>
  <c r="K477" i="4"/>
  <c r="K495" i="4"/>
  <c r="R485" i="4"/>
  <c r="R495" i="4"/>
  <c r="R478" i="4"/>
  <c r="S485" i="4"/>
  <c r="S495" i="4"/>
  <c r="S478" i="4"/>
  <c r="T485" i="4"/>
  <c r="T495" i="4"/>
  <c r="T478" i="4"/>
  <c r="F593" i="1"/>
  <c r="U25" i="4"/>
  <c r="U26" i="4"/>
  <c r="U589" i="4"/>
  <c r="U590" i="4"/>
  <c r="V590" i="4" s="1"/>
  <c r="U595" i="4"/>
  <c r="U599" i="4"/>
  <c r="U605" i="4"/>
  <c r="V605" i="4" s="1"/>
  <c r="G633" i="4"/>
  <c r="H633" i="4"/>
  <c r="I633" i="4"/>
  <c r="J633" i="4"/>
  <c r="K633" i="4"/>
  <c r="L633" i="4"/>
  <c r="M633" i="4"/>
  <c r="N633" i="4"/>
  <c r="O633" i="4"/>
  <c r="P633" i="4"/>
  <c r="Q633" i="4"/>
  <c r="U636" i="4"/>
  <c r="U639" i="4"/>
  <c r="V639" i="4" s="1"/>
  <c r="U641" i="4"/>
  <c r="V641" i="4" s="1"/>
  <c r="F493" i="1"/>
  <c r="W580" i="1"/>
  <c r="X580" i="1"/>
  <c r="W581" i="1"/>
  <c r="X581" i="1" s="1"/>
  <c r="W582" i="1"/>
  <c r="X582" i="1" s="1"/>
  <c r="W583" i="1"/>
  <c r="X583" i="1" s="1"/>
  <c r="W584" i="1"/>
  <c r="X584" i="1" s="1"/>
  <c r="W585" i="1"/>
  <c r="X585" i="1" s="1"/>
  <c r="W586" i="1"/>
  <c r="X586" i="1" s="1"/>
  <c r="W587" i="1"/>
  <c r="X587" i="1" s="1"/>
  <c r="W588" i="1"/>
  <c r="X588" i="1" s="1"/>
  <c r="W589" i="1"/>
  <c r="X589" i="1" s="1"/>
  <c r="W590" i="1"/>
  <c r="X590" i="1" s="1"/>
  <c r="W591" i="1"/>
  <c r="X591" i="1" s="1"/>
  <c r="U640" i="4"/>
  <c r="V640" i="4" s="1"/>
  <c r="H512" i="1"/>
  <c r="F31" i="1"/>
  <c r="U638" i="4"/>
  <c r="V638" i="4" s="1"/>
  <c r="Q501" i="1"/>
  <c r="Q500" i="1"/>
  <c r="P501" i="1"/>
  <c r="P500" i="1"/>
  <c r="O501" i="1"/>
  <c r="O500" i="1"/>
  <c r="N501" i="1"/>
  <c r="N500" i="1"/>
  <c r="M501" i="1"/>
  <c r="M500" i="1"/>
  <c r="L500" i="1"/>
  <c r="K500" i="1"/>
  <c r="J501" i="1"/>
  <c r="J500" i="1"/>
  <c r="I501" i="1"/>
  <c r="I500" i="1"/>
  <c r="H500" i="1"/>
  <c r="J584" i="4"/>
  <c r="L584" i="4"/>
  <c r="M584" i="4"/>
  <c r="U613" i="4"/>
  <c r="V613" i="4" s="1"/>
  <c r="F418" i="1"/>
  <c r="O28" i="1"/>
  <c r="M7" i="1"/>
  <c r="R7" i="1"/>
  <c r="Q7" i="1"/>
  <c r="F10" i="1"/>
  <c r="I28" i="1"/>
  <c r="I7" i="1"/>
  <c r="F108" i="1"/>
  <c r="L7" i="1"/>
  <c r="F179" i="1"/>
  <c r="I531" i="4"/>
  <c r="G585" i="4"/>
  <c r="G586" i="4" s="1"/>
  <c r="J41" i="27"/>
  <c r="G531" i="4"/>
  <c r="F471" i="4"/>
  <c r="F592" i="4"/>
  <c r="H591" i="4"/>
  <c r="G591" i="4"/>
  <c r="H585" i="4"/>
  <c r="H586" i="4" s="1"/>
  <c r="H531" i="4"/>
  <c r="K467" i="4"/>
  <c r="K504" i="4"/>
  <c r="N504" i="4"/>
  <c r="T504" i="4"/>
  <c r="J531" i="4"/>
  <c r="I585" i="4"/>
  <c r="I586" i="4" s="1"/>
  <c r="M531" i="4"/>
  <c r="I104" i="1"/>
  <c r="N475" i="4"/>
  <c r="K41" i="27"/>
  <c r="G189" i="1"/>
  <c r="L189" i="1"/>
  <c r="P189" i="1"/>
  <c r="G584" i="4"/>
  <c r="F478" i="4"/>
  <c r="F644" i="4" s="1"/>
  <c r="R509" i="4" s="1"/>
  <c r="K466" i="4"/>
  <c r="H316" i="1"/>
  <c r="M104" i="1"/>
  <c r="H104" i="1"/>
  <c r="K104" i="1"/>
  <c r="L531" i="4"/>
  <c r="H189" i="1"/>
  <c r="M189" i="1"/>
  <c r="R189" i="1"/>
  <c r="I189" i="1"/>
  <c r="N189" i="1"/>
  <c r="S189" i="1"/>
  <c r="F217" i="1"/>
  <c r="J189" i="1"/>
  <c r="O189" i="1"/>
  <c r="F529" i="4"/>
  <c r="I582" i="4"/>
  <c r="G582" i="4"/>
  <c r="H582" i="4"/>
  <c r="T469" i="4"/>
  <c r="T471" i="4" s="1"/>
  <c r="K469" i="4"/>
  <c r="S469" i="4"/>
  <c r="S471" i="4" s="1"/>
  <c r="R469" i="4"/>
  <c r="R471" i="4" s="1"/>
  <c r="R480" i="4" s="1"/>
  <c r="R562" i="4" s="1"/>
  <c r="R565" i="4" s="1"/>
  <c r="N469" i="4"/>
  <c r="N471" i="4" s="1"/>
  <c r="G601" i="4"/>
  <c r="U581" i="4"/>
  <c r="V581" i="4" s="1"/>
  <c r="L586" i="4"/>
  <c r="U583" i="4"/>
  <c r="F583" i="4"/>
  <c r="H584" i="4"/>
  <c r="S104" i="1"/>
  <c r="R104" i="1"/>
  <c r="N104" i="1"/>
  <c r="T104" i="1"/>
  <c r="P104" i="1"/>
  <c r="O104" i="1"/>
  <c r="V104" i="1"/>
  <c r="Q104" i="1"/>
  <c r="U104" i="1"/>
  <c r="G316" i="1"/>
  <c r="W638" i="1"/>
  <c r="X638" i="1" s="1"/>
  <c r="G144" i="1"/>
  <c r="W643" i="1"/>
  <c r="X643" i="1" s="1"/>
  <c r="K475" i="4"/>
  <c r="S504" i="4"/>
  <c r="R504" i="4"/>
  <c r="H144" i="1"/>
  <c r="U28" i="1" l="1"/>
  <c r="T28" i="1"/>
  <c r="T31" i="1" s="1"/>
  <c r="T414" i="1" s="1"/>
  <c r="M28" i="1"/>
  <c r="P28" i="1"/>
  <c r="P31" i="1" s="1"/>
  <c r="P384" i="1" s="1"/>
  <c r="G28" i="1"/>
  <c r="R28" i="1"/>
  <c r="N28" i="1"/>
  <c r="N31" i="1" s="1"/>
  <c r="N414" i="1" s="1"/>
  <c r="J28" i="1"/>
  <c r="J31" i="1" s="1"/>
  <c r="J58" i="1" s="1"/>
  <c r="L28" i="1"/>
  <c r="L31" i="1" s="1"/>
  <c r="L622" i="1" s="1"/>
  <c r="K28" i="1"/>
  <c r="K31" i="1" s="1"/>
  <c r="K213" i="1" s="1"/>
  <c r="Q28" i="1"/>
  <c r="Q31" i="1" s="1"/>
  <c r="Q213" i="1" s="1"/>
  <c r="G566" i="4"/>
  <c r="G567" i="4"/>
  <c r="T480" i="4"/>
  <c r="F524" i="1"/>
  <c r="F522" i="1"/>
  <c r="I591" i="4"/>
  <c r="U592" i="4"/>
  <c r="I637" i="1"/>
  <c r="I110" i="1" s="1"/>
  <c r="F351" i="1"/>
  <c r="F642" i="1" s="1"/>
  <c r="R10" i="1"/>
  <c r="R624" i="1" s="1"/>
  <c r="U602" i="4"/>
  <c r="F602" i="4" s="1"/>
  <c r="V602" i="4" s="1"/>
  <c r="H601" i="4"/>
  <c r="G476" i="4"/>
  <c r="G474" i="4"/>
  <c r="G477" i="4"/>
  <c r="J601" i="4"/>
  <c r="K601" i="4"/>
  <c r="I601" i="4"/>
  <c r="F480" i="4"/>
  <c r="G41" i="27"/>
  <c r="H41" i="27" s="1"/>
  <c r="V595" i="4"/>
  <c r="V589" i="4"/>
  <c r="U593" i="4"/>
  <c r="S593" i="1"/>
  <c r="S634" i="1" s="1"/>
  <c r="N428" i="1"/>
  <c r="Q10" i="1"/>
  <c r="Q624" i="1" s="1"/>
  <c r="I593" i="1"/>
  <c r="I634" i="1" s="1"/>
  <c r="T637" i="1"/>
  <c r="T197" i="1" s="1"/>
  <c r="P593" i="1"/>
  <c r="P634" i="1" s="1"/>
  <c r="N256" i="1"/>
  <c r="L428" i="1"/>
  <c r="V637" i="1"/>
  <c r="V369" i="1" s="1"/>
  <c r="U10" i="1"/>
  <c r="U102" i="1" s="1"/>
  <c r="N10" i="1"/>
  <c r="N624" i="1" s="1"/>
  <c r="N637" i="1"/>
  <c r="N110" i="1" s="1"/>
  <c r="M637" i="1"/>
  <c r="M369" i="1" s="1"/>
  <c r="P637" i="1"/>
  <c r="P369" i="1" s="1"/>
  <c r="G10" i="1"/>
  <c r="G624" i="1" s="1"/>
  <c r="O10" i="1"/>
  <c r="O102" i="1" s="1"/>
  <c r="G493" i="1"/>
  <c r="T493" i="1"/>
  <c r="K637" i="1"/>
  <c r="K372" i="1" s="1"/>
  <c r="S493" i="1"/>
  <c r="U637" i="1"/>
  <c r="U200" i="1" s="1"/>
  <c r="R593" i="1"/>
  <c r="R634" i="1" s="1"/>
  <c r="Q637" i="1"/>
  <c r="Q372" i="1" s="1"/>
  <c r="R493" i="1"/>
  <c r="S256" i="1"/>
  <c r="J10" i="1"/>
  <c r="J102" i="1" s="1"/>
  <c r="G637" i="1"/>
  <c r="G372" i="1" s="1"/>
  <c r="Q256" i="1"/>
  <c r="Q428" i="1"/>
  <c r="I493" i="1"/>
  <c r="L636" i="1"/>
  <c r="L339" i="1" s="1"/>
  <c r="L348" i="1" s="1"/>
  <c r="K256" i="1"/>
  <c r="K428" i="1"/>
  <c r="G428" i="1"/>
  <c r="G636" i="1"/>
  <c r="G339" i="1" s="1"/>
  <c r="R636" i="1"/>
  <c r="R339" i="1" s="1"/>
  <c r="R348" i="1" s="1"/>
  <c r="R635" i="1"/>
  <c r="R148" i="1" s="1"/>
  <c r="R161" i="1" s="1"/>
  <c r="Q636" i="1"/>
  <c r="Q339" i="1" s="1"/>
  <c r="Q348" i="1" s="1"/>
  <c r="I256" i="1"/>
  <c r="I428" i="1"/>
  <c r="I636" i="1"/>
  <c r="I167" i="1" s="1"/>
  <c r="I176" i="1" s="1"/>
  <c r="G593" i="1"/>
  <c r="G634" i="1" s="1"/>
  <c r="R637" i="1"/>
  <c r="R200" i="1" s="1"/>
  <c r="W250" i="1"/>
  <c r="X250" i="1" s="1"/>
  <c r="K10" i="1"/>
  <c r="K102" i="1" s="1"/>
  <c r="U493" i="1"/>
  <c r="S10" i="1"/>
  <c r="S102" i="1" s="1"/>
  <c r="J493" i="1"/>
  <c r="H493" i="1"/>
  <c r="P10" i="1"/>
  <c r="P102" i="1" s="1"/>
  <c r="K493" i="1"/>
  <c r="V10" i="1"/>
  <c r="V102" i="1" s="1"/>
  <c r="U256" i="1"/>
  <c r="U428" i="1"/>
  <c r="W377" i="1"/>
  <c r="X377" i="1" s="1"/>
  <c r="W22" i="1"/>
  <c r="X22" i="1" s="1"/>
  <c r="Q635" i="1"/>
  <c r="Q148" i="1" s="1"/>
  <c r="Q161" i="1" s="1"/>
  <c r="W490" i="1"/>
  <c r="X490" i="1" s="1"/>
  <c r="U593" i="1"/>
  <c r="U634" i="1" s="1"/>
  <c r="S637" i="1"/>
  <c r="S369" i="1" s="1"/>
  <c r="N593" i="1"/>
  <c r="N634" i="1" s="1"/>
  <c r="M593" i="1"/>
  <c r="M634" i="1" s="1"/>
  <c r="W422" i="1"/>
  <c r="X422" i="1" s="1"/>
  <c r="W406" i="1"/>
  <c r="X406" i="1" s="1"/>
  <c r="W376" i="1"/>
  <c r="X376" i="1" s="1"/>
  <c r="I635" i="1"/>
  <c r="I320" i="1" s="1"/>
  <c r="I333" i="1" s="1"/>
  <c r="R31" i="1"/>
  <c r="R58" i="1" s="1"/>
  <c r="W379" i="1"/>
  <c r="X379" i="1" s="1"/>
  <c r="W55" i="1"/>
  <c r="X55" i="1" s="1"/>
  <c r="J593" i="1"/>
  <c r="J634" i="1" s="1"/>
  <c r="J637" i="1"/>
  <c r="J110" i="1" s="1"/>
  <c r="H637" i="1"/>
  <c r="H110" i="1" s="1"/>
  <c r="I10" i="1"/>
  <c r="I624" i="1" s="1"/>
  <c r="Q593" i="1"/>
  <c r="Q634" i="1" s="1"/>
  <c r="P493" i="1"/>
  <c r="O493" i="1"/>
  <c r="V256" i="1"/>
  <c r="T593" i="1"/>
  <c r="T634" i="1" s="1"/>
  <c r="O256" i="1"/>
  <c r="L637" i="1"/>
  <c r="L110" i="1" s="1"/>
  <c r="W382" i="1"/>
  <c r="X382" i="1" s="1"/>
  <c r="W375" i="1"/>
  <c r="X375" i="1" s="1"/>
  <c r="W326" i="1"/>
  <c r="X326" i="1" s="1"/>
  <c r="W499" i="1"/>
  <c r="X499" i="1" s="1"/>
  <c r="W208" i="1"/>
  <c r="X208" i="1" s="1"/>
  <c r="W199" i="1"/>
  <c r="X199" i="1" s="1"/>
  <c r="W378" i="1"/>
  <c r="X378" i="1" s="1"/>
  <c r="W194" i="1"/>
  <c r="X194" i="1" s="1"/>
  <c r="W211" i="1"/>
  <c r="X211" i="1" s="1"/>
  <c r="W324" i="1"/>
  <c r="X324" i="1" s="1"/>
  <c r="W259" i="1"/>
  <c r="X259" i="1" s="1"/>
  <c r="L635" i="1"/>
  <c r="L320" i="1" s="1"/>
  <c r="L333" i="1" s="1"/>
  <c r="W251" i="1"/>
  <c r="X251" i="1" s="1"/>
  <c r="W234" i="1"/>
  <c r="X234" i="1" s="1"/>
  <c r="W366" i="1"/>
  <c r="X366" i="1" s="1"/>
  <c r="W123" i="1"/>
  <c r="X123" i="1" s="1"/>
  <c r="V493" i="1"/>
  <c r="S514" i="1"/>
  <c r="Q493" i="1"/>
  <c r="N493" i="1"/>
  <c r="M493" i="1"/>
  <c r="L493" i="1"/>
  <c r="W496" i="1"/>
  <c r="X496" i="1" s="1"/>
  <c r="V428" i="1"/>
  <c r="T10" i="1"/>
  <c r="T624" i="1" s="1"/>
  <c r="S428" i="1"/>
  <c r="W423" i="1"/>
  <c r="X423" i="1" s="1"/>
  <c r="W361" i="1"/>
  <c r="X361" i="1" s="1"/>
  <c r="W174" i="1"/>
  <c r="X174" i="1" s="1"/>
  <c r="W322" i="1"/>
  <c r="X322" i="1" s="1"/>
  <c r="W153" i="1"/>
  <c r="X153" i="1" s="1"/>
  <c r="W425" i="1"/>
  <c r="X425" i="1" s="1"/>
  <c r="W409" i="1"/>
  <c r="X409" i="1" s="1"/>
  <c r="W237" i="1"/>
  <c r="X237" i="1" s="1"/>
  <c r="W370" i="1"/>
  <c r="X370" i="1" s="1"/>
  <c r="W340" i="1"/>
  <c r="X340" i="1" s="1"/>
  <c r="W331" i="1"/>
  <c r="X331" i="1" s="1"/>
  <c r="W323" i="1"/>
  <c r="X323" i="1" s="1"/>
  <c r="W154" i="1"/>
  <c r="X154" i="1" s="1"/>
  <c r="M256" i="1"/>
  <c r="M428" i="1"/>
  <c r="W203" i="1"/>
  <c r="X203" i="1" s="1"/>
  <c r="W195" i="1"/>
  <c r="X195" i="1" s="1"/>
  <c r="W341" i="1"/>
  <c r="X341" i="1" s="1"/>
  <c r="W168" i="1"/>
  <c r="X168" i="1" s="1"/>
  <c r="W155" i="1"/>
  <c r="X155" i="1" s="1"/>
  <c r="L256" i="1"/>
  <c r="J636" i="1"/>
  <c r="J167" i="1" s="1"/>
  <c r="J176" i="1" s="1"/>
  <c r="J635" i="1"/>
  <c r="J320" i="1" s="1"/>
  <c r="J333" i="1" s="1"/>
  <c r="W8" i="1"/>
  <c r="X8" i="1" s="1"/>
  <c r="W19" i="1"/>
  <c r="X19" i="1" s="1"/>
  <c r="W205" i="1"/>
  <c r="X205" i="1" s="1"/>
  <c r="L514" i="1"/>
  <c r="W103" i="1"/>
  <c r="X103" i="1" s="1"/>
  <c r="U514" i="1"/>
  <c r="T514" i="1"/>
  <c r="W516" i="1"/>
  <c r="X516" i="1" s="1"/>
  <c r="R514" i="1"/>
  <c r="P514" i="1"/>
  <c r="O514" i="1"/>
  <c r="N514" i="1"/>
  <c r="J514" i="1"/>
  <c r="W510" i="1"/>
  <c r="X510" i="1" s="1"/>
  <c r="G514" i="1"/>
  <c r="W57" i="1"/>
  <c r="X57" i="1" s="1"/>
  <c r="W431" i="1"/>
  <c r="X431" i="1" s="1"/>
  <c r="W411" i="1"/>
  <c r="X411" i="1" s="1"/>
  <c r="W239" i="1"/>
  <c r="X239" i="1" s="1"/>
  <c r="W381" i="1"/>
  <c r="X381" i="1" s="1"/>
  <c r="W373" i="1"/>
  <c r="X373" i="1" s="1"/>
  <c r="W27" i="1"/>
  <c r="X27" i="1" s="1"/>
  <c r="V31" i="1"/>
  <c r="V627" i="1" s="1"/>
  <c r="H10" i="1"/>
  <c r="L593" i="1"/>
  <c r="L634" i="1" s="1"/>
  <c r="P428" i="1"/>
  <c r="T625" i="1"/>
  <c r="W625" i="1" s="1"/>
  <c r="X625" i="1" s="1"/>
  <c r="O428" i="1"/>
  <c r="H593" i="1"/>
  <c r="H634" i="1" s="1"/>
  <c r="W508" i="1"/>
  <c r="X508" i="1" s="1"/>
  <c r="W504" i="1"/>
  <c r="X504" i="1" s="1"/>
  <c r="V636" i="1"/>
  <c r="V167" i="1" s="1"/>
  <c r="V176" i="1" s="1"/>
  <c r="V635" i="1"/>
  <c r="V148" i="1" s="1"/>
  <c r="V161" i="1" s="1"/>
  <c r="U636" i="1"/>
  <c r="U167" i="1" s="1"/>
  <c r="U176" i="1" s="1"/>
  <c r="U635" i="1"/>
  <c r="U320" i="1" s="1"/>
  <c r="U333" i="1" s="1"/>
  <c r="T256" i="1"/>
  <c r="T428" i="1"/>
  <c r="T636" i="1"/>
  <c r="T339" i="1" s="1"/>
  <c r="T348" i="1" s="1"/>
  <c r="W150" i="1"/>
  <c r="X150" i="1" s="1"/>
  <c r="W25" i="1"/>
  <c r="X25" i="1" s="1"/>
  <c r="W17" i="1"/>
  <c r="X17" i="1" s="1"/>
  <c r="W210" i="1"/>
  <c r="X210" i="1" s="1"/>
  <c r="W202" i="1"/>
  <c r="X202" i="1" s="1"/>
  <c r="W346" i="1"/>
  <c r="X346" i="1" s="1"/>
  <c r="S636" i="1"/>
  <c r="S167" i="1" s="1"/>
  <c r="S176" i="1" s="1"/>
  <c r="S635" i="1"/>
  <c r="S148" i="1" s="1"/>
  <c r="S161" i="1" s="1"/>
  <c r="S31" i="1"/>
  <c r="S622" i="1" s="1"/>
  <c r="W56" i="1"/>
  <c r="X56" i="1" s="1"/>
  <c r="W254" i="1"/>
  <c r="X254" i="1" s="1"/>
  <c r="W426" i="1"/>
  <c r="X426" i="1" s="1"/>
  <c r="W410" i="1"/>
  <c r="X410" i="1" s="1"/>
  <c r="W238" i="1"/>
  <c r="X238" i="1" s="1"/>
  <c r="W380" i="1"/>
  <c r="X380" i="1" s="1"/>
  <c r="W371" i="1"/>
  <c r="X371" i="1" s="1"/>
  <c r="W26" i="1"/>
  <c r="X26" i="1" s="1"/>
  <c r="W16" i="1"/>
  <c r="X16" i="1" s="1"/>
  <c r="W204" i="1"/>
  <c r="X204" i="1" s="1"/>
  <c r="W196" i="1"/>
  <c r="X196" i="1" s="1"/>
  <c r="W342" i="1"/>
  <c r="X342" i="1" s="1"/>
  <c r="P636" i="1"/>
  <c r="P339" i="1" s="1"/>
  <c r="P348" i="1" s="1"/>
  <c r="W325" i="1"/>
  <c r="X325" i="1" s="1"/>
  <c r="P635" i="1"/>
  <c r="P320" i="1" s="1"/>
  <c r="P333" i="1" s="1"/>
  <c r="W262" i="1"/>
  <c r="X262" i="1" s="1"/>
  <c r="W434" i="1"/>
  <c r="X434" i="1" s="1"/>
  <c r="W412" i="1"/>
  <c r="X412" i="1" s="1"/>
  <c r="W240" i="1"/>
  <c r="X240" i="1" s="1"/>
  <c r="W374" i="1"/>
  <c r="X374" i="1" s="1"/>
  <c r="W18" i="1"/>
  <c r="W343" i="1"/>
  <c r="X343" i="1" s="1"/>
  <c r="O636" i="1"/>
  <c r="O339" i="1" s="1"/>
  <c r="O348" i="1" s="1"/>
  <c r="W157" i="1"/>
  <c r="X157" i="1" s="1"/>
  <c r="O635" i="1"/>
  <c r="O148" i="1" s="1"/>
  <c r="O161" i="1" s="1"/>
  <c r="N636" i="1"/>
  <c r="N339" i="1" s="1"/>
  <c r="N348" i="1" s="1"/>
  <c r="N635" i="1"/>
  <c r="N148" i="1" s="1"/>
  <c r="N161" i="1" s="1"/>
  <c r="W206" i="1"/>
  <c r="X206" i="1" s="1"/>
  <c r="W21" i="1"/>
  <c r="X21" i="1" s="1"/>
  <c r="W344" i="1"/>
  <c r="X344" i="1" s="1"/>
  <c r="W171" i="1"/>
  <c r="X171" i="1" s="1"/>
  <c r="W327" i="1"/>
  <c r="X327" i="1" s="1"/>
  <c r="M635" i="1"/>
  <c r="M320" i="1" s="1"/>
  <c r="M333" i="1" s="1"/>
  <c r="W413" i="1"/>
  <c r="X413" i="1" s="1"/>
  <c r="W241" i="1"/>
  <c r="X241" i="1" s="1"/>
  <c r="W383" i="1"/>
  <c r="X383" i="1" s="1"/>
  <c r="W20" i="1"/>
  <c r="X20" i="1" s="1"/>
  <c r="W207" i="1"/>
  <c r="X207" i="1" s="1"/>
  <c r="W198" i="1"/>
  <c r="X198" i="1" s="1"/>
  <c r="W345" i="1"/>
  <c r="X345" i="1" s="1"/>
  <c r="W172" i="1"/>
  <c r="X172" i="1" s="1"/>
  <c r="W328" i="1"/>
  <c r="X328" i="1" s="1"/>
  <c r="W159" i="1"/>
  <c r="X159" i="1" s="1"/>
  <c r="W151" i="1"/>
  <c r="X151" i="1" s="1"/>
  <c r="K636" i="1"/>
  <c r="K167" i="1" s="1"/>
  <c r="K176" i="1" s="1"/>
  <c r="K635" i="1"/>
  <c r="K148" i="1" s="1"/>
  <c r="K161" i="1" s="1"/>
  <c r="W36" i="1"/>
  <c r="X36" i="1" s="1"/>
  <c r="J256" i="1"/>
  <c r="J428" i="1"/>
  <c r="H256" i="1"/>
  <c r="H428" i="1"/>
  <c r="W408" i="1"/>
  <c r="X408" i="1" s="1"/>
  <c r="W236" i="1"/>
  <c r="X236" i="1" s="1"/>
  <c r="W368" i="1"/>
  <c r="X368" i="1" s="1"/>
  <c r="W23" i="1"/>
  <c r="X23" i="1" s="1"/>
  <c r="W209" i="1"/>
  <c r="X209" i="1" s="1"/>
  <c r="W201" i="1"/>
  <c r="X201" i="1" s="1"/>
  <c r="H636" i="1"/>
  <c r="H339" i="1" s="1"/>
  <c r="H348" i="1" s="1"/>
  <c r="W330" i="1"/>
  <c r="X330" i="1" s="1"/>
  <c r="H635" i="1"/>
  <c r="H148" i="1" s="1"/>
  <c r="H161" i="1" s="1"/>
  <c r="W252" i="1"/>
  <c r="X252" i="1" s="1"/>
  <c r="W407" i="1"/>
  <c r="X407" i="1" s="1"/>
  <c r="W367" i="1"/>
  <c r="X367" i="1" s="1"/>
  <c r="W173" i="1"/>
  <c r="X173" i="1" s="1"/>
  <c r="W329" i="1"/>
  <c r="X329" i="1" s="1"/>
  <c r="W321" i="1"/>
  <c r="X321" i="1" s="1"/>
  <c r="G635" i="1"/>
  <c r="G320" i="1" s="1"/>
  <c r="R256" i="1"/>
  <c r="R428" i="1"/>
  <c r="V593" i="1"/>
  <c r="V634" i="1" s="1"/>
  <c r="W170" i="1"/>
  <c r="X170" i="1" s="1"/>
  <c r="O593" i="1"/>
  <c r="W500" i="1"/>
  <c r="X500" i="1" s="1"/>
  <c r="W503" i="1"/>
  <c r="X503" i="1" s="1"/>
  <c r="O637" i="1"/>
  <c r="O372" i="1" s="1"/>
  <c r="W149" i="1"/>
  <c r="X149" i="1" s="1"/>
  <c r="O31" i="1"/>
  <c r="O213" i="1" s="1"/>
  <c r="W491" i="1"/>
  <c r="X491" i="1" s="1"/>
  <c r="M636" i="1"/>
  <c r="M339" i="1" s="1"/>
  <c r="M348" i="1" s="1"/>
  <c r="G256" i="1"/>
  <c r="M10" i="1"/>
  <c r="M624" i="1" s="1"/>
  <c r="N478" i="4"/>
  <c r="N480" i="4" s="1"/>
  <c r="N562" i="4" s="1"/>
  <c r="N565" i="4" s="1"/>
  <c r="P256" i="1"/>
  <c r="U31" i="1"/>
  <c r="U414" i="1" s="1"/>
  <c r="W253" i="1"/>
  <c r="X253" i="1" s="1"/>
  <c r="M31" i="1"/>
  <c r="M414" i="1" s="1"/>
  <c r="W424" i="1"/>
  <c r="X424" i="1" s="1"/>
  <c r="W13" i="1"/>
  <c r="X13" i="1" s="1"/>
  <c r="W156" i="1"/>
  <c r="X156" i="1" s="1"/>
  <c r="W169" i="1"/>
  <c r="X169" i="1" s="1"/>
  <c r="K593" i="1"/>
  <c r="K634" i="1" s="1"/>
  <c r="T635" i="1"/>
  <c r="T148" i="1" s="1"/>
  <c r="T161" i="1" s="1"/>
  <c r="L10" i="1"/>
  <c r="L624" i="1" s="1"/>
  <c r="G31" i="1"/>
  <c r="K514" i="1"/>
  <c r="W501" i="1"/>
  <c r="X501" i="1" s="1"/>
  <c r="W502" i="1"/>
  <c r="X502" i="1" s="1"/>
  <c r="F599" i="4"/>
  <c r="V599" i="4" s="1"/>
  <c r="W507" i="1"/>
  <c r="X507" i="1" s="1"/>
  <c r="W506" i="1"/>
  <c r="X506" i="1" s="1"/>
  <c r="U585" i="4"/>
  <c r="I514" i="1"/>
  <c r="W7" i="1"/>
  <c r="X7" i="1" s="1"/>
  <c r="S509" i="4"/>
  <c r="S480" i="4"/>
  <c r="V592" i="4"/>
  <c r="F641" i="1"/>
  <c r="W512" i="1"/>
  <c r="X512" i="1" s="1"/>
  <c r="H31" i="1"/>
  <c r="H384" i="1" s="1"/>
  <c r="U584" i="4"/>
  <c r="H600" i="4"/>
  <c r="F292" i="1"/>
  <c r="F464" i="1"/>
  <c r="V583" i="4"/>
  <c r="U633" i="4"/>
  <c r="W29" i="1"/>
  <c r="X29" i="1" s="1"/>
  <c r="F584" i="4"/>
  <c r="G504" i="4"/>
  <c r="G475" i="4"/>
  <c r="G466" i="4"/>
  <c r="G467" i="4"/>
  <c r="H2" i="4"/>
  <c r="H563" i="4" s="1"/>
  <c r="G468" i="4"/>
  <c r="G495" i="4"/>
  <c r="G469" i="4"/>
  <c r="U594" i="4"/>
  <c r="V594" i="4" s="1"/>
  <c r="F601" i="4"/>
  <c r="U586" i="4"/>
  <c r="V586" i="4" s="1"/>
  <c r="T509" i="4"/>
  <c r="V585" i="4"/>
  <c r="S562" i="4"/>
  <c r="S565" i="4" s="1"/>
  <c r="T562" i="4"/>
  <c r="T565" i="4" s="1"/>
  <c r="I31" i="1"/>
  <c r="K478" i="4"/>
  <c r="W144" i="1"/>
  <c r="X144" i="1" s="1"/>
  <c r="W316" i="1"/>
  <c r="X316" i="1" s="1"/>
  <c r="M514" i="1"/>
  <c r="W24" i="1"/>
  <c r="X24" i="1" s="1"/>
  <c r="W158" i="1"/>
  <c r="X158" i="1" s="1"/>
  <c r="W152" i="1"/>
  <c r="X152" i="1" s="1"/>
  <c r="I369" i="1"/>
  <c r="K471" i="4"/>
  <c r="W235" i="1"/>
  <c r="X235" i="1" s="1"/>
  <c r="W189" i="1"/>
  <c r="X189" i="1" s="1"/>
  <c r="W104" i="1"/>
  <c r="X104" i="1" s="1"/>
  <c r="V514" i="1"/>
  <c r="I197" i="1"/>
  <c r="H514" i="1"/>
  <c r="Q514" i="1"/>
  <c r="W509" i="1"/>
  <c r="X509" i="1" s="1"/>
  <c r="W505" i="1"/>
  <c r="W511" i="1"/>
  <c r="X511" i="1" s="1"/>
  <c r="F33" i="1"/>
  <c r="R102" i="1"/>
  <c r="I372" i="1" l="1"/>
  <c r="I200" i="1"/>
  <c r="M200" i="1"/>
  <c r="W28" i="1"/>
  <c r="X28" i="1" s="1"/>
  <c r="H566" i="4"/>
  <c r="H567" i="4"/>
  <c r="U601" i="4"/>
  <c r="V601" i="4" s="1"/>
  <c r="V197" i="1"/>
  <c r="N102" i="1"/>
  <c r="V110" i="1"/>
  <c r="S624" i="1"/>
  <c r="V200" i="1"/>
  <c r="V372" i="1"/>
  <c r="K110" i="1"/>
  <c r="U624" i="1"/>
  <c r="J624" i="1"/>
  <c r="K369" i="1"/>
  <c r="I339" i="1"/>
  <c r="I348" i="1" s="1"/>
  <c r="I351" i="1" s="1"/>
  <c r="K197" i="1"/>
  <c r="K200" i="1"/>
  <c r="G197" i="1"/>
  <c r="G200" i="1"/>
  <c r="V593" i="4"/>
  <c r="V584" i="4"/>
  <c r="H476" i="4"/>
  <c r="H474" i="4"/>
  <c r="H477" i="4"/>
  <c r="G529" i="4"/>
  <c r="F633" i="4"/>
  <c r="V633" i="4" s="1"/>
  <c r="F600" i="4"/>
  <c r="Q102" i="1"/>
  <c r="U369" i="1"/>
  <c r="M372" i="1"/>
  <c r="U197" i="1"/>
  <c r="U110" i="1"/>
  <c r="M197" i="1"/>
  <c r="T372" i="1"/>
  <c r="T200" i="1"/>
  <c r="T110" i="1"/>
  <c r="M385" i="1"/>
  <c r="G369" i="1"/>
  <c r="T369" i="1"/>
  <c r="M110" i="1"/>
  <c r="U372" i="1"/>
  <c r="Q200" i="1"/>
  <c r="S110" i="1"/>
  <c r="P200" i="1"/>
  <c r="N197" i="1"/>
  <c r="V212" i="1"/>
  <c r="P197" i="1"/>
  <c r="P372" i="1"/>
  <c r="P110" i="1"/>
  <c r="R110" i="1"/>
  <c r="G33" i="1"/>
  <c r="G518" i="1" s="1"/>
  <c r="G102" i="1"/>
  <c r="Q369" i="1"/>
  <c r="S372" i="1"/>
  <c r="K58" i="1"/>
  <c r="V58" i="1"/>
  <c r="V385" i="1"/>
  <c r="V242" i="1"/>
  <c r="V640" i="1" s="1"/>
  <c r="V233" i="1" s="1"/>
  <c r="V244" i="1" s="1"/>
  <c r="V622" i="1"/>
  <c r="Q320" i="1"/>
  <c r="Q333" i="1" s="1"/>
  <c r="Q351" i="1" s="1"/>
  <c r="P351" i="1"/>
  <c r="S320" i="1"/>
  <c r="S333" i="1" s="1"/>
  <c r="P148" i="1"/>
  <c r="P161" i="1" s="1"/>
  <c r="J622" i="1"/>
  <c r="G110" i="1"/>
  <c r="J212" i="1"/>
  <c r="P624" i="1"/>
  <c r="G167" i="1"/>
  <c r="G176" i="1" s="1"/>
  <c r="V384" i="1"/>
  <c r="N200" i="1"/>
  <c r="M384" i="1"/>
  <c r="T320" i="1"/>
  <c r="T333" i="1" s="1"/>
  <c r="T351" i="1" s="1"/>
  <c r="N369" i="1"/>
  <c r="N372" i="1"/>
  <c r="S179" i="1"/>
  <c r="J213" i="1"/>
  <c r="K179" i="1"/>
  <c r="J385" i="1"/>
  <c r="J242" i="1"/>
  <c r="J640" i="1" s="1"/>
  <c r="J405" i="1" s="1"/>
  <c r="S339" i="1"/>
  <c r="S348" i="1" s="1"/>
  <c r="K320" i="1"/>
  <c r="K333" i="1" s="1"/>
  <c r="J414" i="1"/>
  <c r="J627" i="1"/>
  <c r="O624" i="1"/>
  <c r="Q385" i="1"/>
  <c r="V414" i="1"/>
  <c r="Q414" i="1"/>
  <c r="V213" i="1"/>
  <c r="Q627" i="1"/>
  <c r="Q622" i="1"/>
  <c r="L167" i="1"/>
  <c r="L176" i="1" s="1"/>
  <c r="K212" i="1"/>
  <c r="Q384" i="1"/>
  <c r="Q33" i="1"/>
  <c r="Q529" i="1" s="1"/>
  <c r="F309" i="4" s="1"/>
  <c r="Q212" i="1"/>
  <c r="U213" i="1"/>
  <c r="J148" i="1"/>
  <c r="J161" i="1" s="1"/>
  <c r="J179" i="1" s="1"/>
  <c r="L148" i="1"/>
  <c r="L161" i="1" s="1"/>
  <c r="Q242" i="1"/>
  <c r="Q640" i="1" s="1"/>
  <c r="Q233" i="1" s="1"/>
  <c r="Q244" i="1" s="1"/>
  <c r="T242" i="1"/>
  <c r="T640" i="1" s="1"/>
  <c r="T233" i="1" s="1"/>
  <c r="T244" i="1" s="1"/>
  <c r="Q197" i="1"/>
  <c r="Q110" i="1"/>
  <c r="S200" i="1"/>
  <c r="Q58" i="1"/>
  <c r="S197" i="1"/>
  <c r="M167" i="1"/>
  <c r="M176" i="1" s="1"/>
  <c r="T384" i="1"/>
  <c r="R414" i="1"/>
  <c r="R627" i="1"/>
  <c r="R33" i="1"/>
  <c r="R529" i="1" s="1"/>
  <c r="F310" i="4" s="1"/>
  <c r="R384" i="1"/>
  <c r="R622" i="1"/>
  <c r="R320" i="1"/>
  <c r="R333" i="1" s="1"/>
  <c r="R351" i="1" s="1"/>
  <c r="R213" i="1"/>
  <c r="R212" i="1"/>
  <c r="R242" i="1"/>
  <c r="R640" i="1" s="1"/>
  <c r="R233" i="1" s="1"/>
  <c r="R244" i="1" s="1"/>
  <c r="R385" i="1"/>
  <c r="T167" i="1"/>
  <c r="T176" i="1" s="1"/>
  <c r="T179" i="1" s="1"/>
  <c r="J197" i="1"/>
  <c r="G242" i="1"/>
  <c r="G640" i="1" s="1"/>
  <c r="P33" i="1"/>
  <c r="P527" i="1" s="1"/>
  <c r="F264" i="4" s="1"/>
  <c r="P414" i="1"/>
  <c r="J369" i="1"/>
  <c r="J372" i="1"/>
  <c r="J200" i="1"/>
  <c r="J33" i="1"/>
  <c r="J517" i="1" s="1"/>
  <c r="G627" i="1"/>
  <c r="T58" i="1"/>
  <c r="K339" i="1"/>
  <c r="K348" i="1" s="1"/>
  <c r="K351" i="1" s="1"/>
  <c r="O167" i="1"/>
  <c r="O176" i="1" s="1"/>
  <c r="O179" i="1" s="1"/>
  <c r="T213" i="1"/>
  <c r="J384" i="1"/>
  <c r="M242" i="1"/>
  <c r="M640" i="1" s="1"/>
  <c r="M233" i="1" s="1"/>
  <c r="M244" i="1" s="1"/>
  <c r="T627" i="1"/>
  <c r="P167" i="1"/>
  <c r="P176" i="1" s="1"/>
  <c r="M58" i="1"/>
  <c r="T212" i="1"/>
  <c r="M213" i="1"/>
  <c r="T385" i="1"/>
  <c r="T622" i="1"/>
  <c r="G213" i="1"/>
  <c r="R167" i="1"/>
  <c r="R176" i="1" s="1"/>
  <c r="R179" i="1" s="1"/>
  <c r="I102" i="1"/>
  <c r="O320" i="1"/>
  <c r="O333" i="1" s="1"/>
  <c r="O351" i="1" s="1"/>
  <c r="V339" i="1"/>
  <c r="V348" i="1" s="1"/>
  <c r="G212" i="1"/>
  <c r="G414" i="1"/>
  <c r="G384" i="1"/>
  <c r="O385" i="1"/>
  <c r="G622" i="1"/>
  <c r="S212" i="1"/>
  <c r="S33" i="1"/>
  <c r="S520" i="1" s="1"/>
  <c r="R369" i="1"/>
  <c r="L351" i="1"/>
  <c r="R197" i="1"/>
  <c r="R372" i="1"/>
  <c r="H200" i="1"/>
  <c r="K385" i="1"/>
  <c r="K627" i="1"/>
  <c r="H197" i="1"/>
  <c r="K622" i="1"/>
  <c r="K242" i="1"/>
  <c r="K640" i="1" s="1"/>
  <c r="K405" i="1" s="1"/>
  <c r="K624" i="1"/>
  <c r="H372" i="1"/>
  <c r="Q167" i="1"/>
  <c r="Q176" i="1" s="1"/>
  <c r="Q179" i="1" s="1"/>
  <c r="K414" i="1"/>
  <c r="H369" i="1"/>
  <c r="K384" i="1"/>
  <c r="V624" i="1"/>
  <c r="K33" i="1"/>
  <c r="K112" i="1" s="1"/>
  <c r="V33" i="1"/>
  <c r="V631" i="1" s="1"/>
  <c r="S242" i="1"/>
  <c r="S640" i="1" s="1"/>
  <c r="S405" i="1" s="1"/>
  <c r="O197" i="1"/>
  <c r="S414" i="1"/>
  <c r="S58" i="1"/>
  <c r="O200" i="1"/>
  <c r="S384" i="1"/>
  <c r="S627" i="1"/>
  <c r="O110" i="1"/>
  <c r="T102" i="1"/>
  <c r="J339" i="1"/>
  <c r="J348" i="1" s="1"/>
  <c r="J351" i="1" s="1"/>
  <c r="T33" i="1"/>
  <c r="T38" i="1" s="1"/>
  <c r="S385" i="1"/>
  <c r="O369" i="1"/>
  <c r="S213" i="1"/>
  <c r="P213" i="1"/>
  <c r="G58" i="1"/>
  <c r="P242" i="1"/>
  <c r="P640" i="1" s="1"/>
  <c r="P233" i="1" s="1"/>
  <c r="P244" i="1" s="1"/>
  <c r="O627" i="1"/>
  <c r="P622" i="1"/>
  <c r="G385" i="1"/>
  <c r="P58" i="1"/>
  <c r="P212" i="1"/>
  <c r="G148" i="1"/>
  <c r="G161" i="1" s="1"/>
  <c r="P385" i="1"/>
  <c r="P627" i="1"/>
  <c r="W493" i="1"/>
  <c r="X493" i="1" s="1"/>
  <c r="H385" i="1"/>
  <c r="N213" i="1"/>
  <c r="H320" i="1"/>
  <c r="H333" i="1" s="1"/>
  <c r="H351" i="1" s="1"/>
  <c r="N33" i="1"/>
  <c r="N527" i="1" s="1"/>
  <c r="F260" i="4" s="1"/>
  <c r="O58" i="1"/>
  <c r="I148" i="1"/>
  <c r="I161" i="1" s="1"/>
  <c r="I179" i="1" s="1"/>
  <c r="U148" i="1"/>
  <c r="U161" i="1" s="1"/>
  <c r="U179" i="1" s="1"/>
  <c r="W428" i="1"/>
  <c r="X428" i="1" s="1"/>
  <c r="U339" i="1"/>
  <c r="U348" i="1" s="1"/>
  <c r="U351" i="1" s="1"/>
  <c r="L372" i="1"/>
  <c r="L369" i="1"/>
  <c r="L197" i="1"/>
  <c r="L102" i="1"/>
  <c r="L200" i="1"/>
  <c r="W637" i="1"/>
  <c r="Y637" i="1" s="1"/>
  <c r="N320" i="1"/>
  <c r="N333" i="1" s="1"/>
  <c r="N351" i="1" s="1"/>
  <c r="L33" i="1"/>
  <c r="L117" i="1" s="1"/>
  <c r="M622" i="1"/>
  <c r="M148" i="1"/>
  <c r="M161" i="1" s="1"/>
  <c r="G478" i="4"/>
  <c r="V179" i="1"/>
  <c r="X18" i="1"/>
  <c r="W256" i="1"/>
  <c r="X256" i="1" s="1"/>
  <c r="N622" i="1"/>
  <c r="V320" i="1"/>
  <c r="V333" i="1" s="1"/>
  <c r="M351" i="1"/>
  <c r="W593" i="1"/>
  <c r="X593" i="1" s="1"/>
  <c r="N385" i="1"/>
  <c r="N627" i="1"/>
  <c r="H102" i="1"/>
  <c r="H624" i="1"/>
  <c r="W10" i="1"/>
  <c r="X10" i="1" s="1"/>
  <c r="N384" i="1"/>
  <c r="L627" i="1"/>
  <c r="N212" i="1"/>
  <c r="O33" i="1"/>
  <c r="O529" i="1" s="1"/>
  <c r="F307" i="4" s="1"/>
  <c r="O384" i="1"/>
  <c r="N242" i="1"/>
  <c r="N640" i="1" s="1"/>
  <c r="N405" i="1" s="1"/>
  <c r="N416" i="1" s="1"/>
  <c r="H167" i="1"/>
  <c r="H176" i="1" s="1"/>
  <c r="H179" i="1" s="1"/>
  <c r="L385" i="1"/>
  <c r="N58" i="1"/>
  <c r="N167" i="1"/>
  <c r="N176" i="1" s="1"/>
  <c r="N179" i="1" s="1"/>
  <c r="G471" i="4"/>
  <c r="W635" i="1"/>
  <c r="X635" i="1" s="1"/>
  <c r="O634" i="1"/>
  <c r="W634" i="1" s="1"/>
  <c r="X634" i="1" s="1"/>
  <c r="U242" i="1"/>
  <c r="U640" i="1" s="1"/>
  <c r="U627" i="1"/>
  <c r="U58" i="1"/>
  <c r="U384" i="1"/>
  <c r="U385" i="1"/>
  <c r="U622" i="1"/>
  <c r="U212" i="1"/>
  <c r="H622" i="1"/>
  <c r="L384" i="1"/>
  <c r="L212" i="1"/>
  <c r="L213" i="1"/>
  <c r="L414" i="1"/>
  <c r="L242" i="1"/>
  <c r="L640" i="1" s="1"/>
  <c r="L58" i="1"/>
  <c r="H58" i="1"/>
  <c r="O414" i="1"/>
  <c r="O242" i="1"/>
  <c r="O640" i="1" s="1"/>
  <c r="O622" i="1"/>
  <c r="O212" i="1"/>
  <c r="W636" i="1"/>
  <c r="X636" i="1" s="1"/>
  <c r="H627" i="1"/>
  <c r="H242" i="1"/>
  <c r="H640" i="1" s="1"/>
  <c r="H233" i="1" s="1"/>
  <c r="H244" i="1" s="1"/>
  <c r="U33" i="1"/>
  <c r="U39" i="1" s="1"/>
  <c r="U106" i="1" s="1"/>
  <c r="W31" i="1"/>
  <c r="X31" i="1" s="1"/>
  <c r="M102" i="1"/>
  <c r="M33" i="1"/>
  <c r="M128" i="1" s="1"/>
  <c r="M627" i="1"/>
  <c r="M212" i="1"/>
  <c r="K480" i="4"/>
  <c r="H414" i="1"/>
  <c r="U600" i="4"/>
  <c r="H213" i="1"/>
  <c r="H212" i="1"/>
  <c r="H33" i="1"/>
  <c r="H520" i="1" s="1"/>
  <c r="F41" i="29"/>
  <c r="G41" i="29"/>
  <c r="H41" i="29" s="1"/>
  <c r="I384" i="1"/>
  <c r="I242" i="1"/>
  <c r="I640" i="1" s="1"/>
  <c r="I212" i="1"/>
  <c r="I213" i="1"/>
  <c r="I33" i="1"/>
  <c r="I39" i="1" s="1"/>
  <c r="I106" i="1" s="1"/>
  <c r="I414" i="1"/>
  <c r="I385" i="1"/>
  <c r="I627" i="1"/>
  <c r="I58" i="1"/>
  <c r="I622" i="1"/>
  <c r="T566" i="4"/>
  <c r="U587" i="4"/>
  <c r="H495" i="4"/>
  <c r="H504" i="4"/>
  <c r="I2" i="4"/>
  <c r="I563" i="4" s="1"/>
  <c r="H469" i="4"/>
  <c r="H467" i="4"/>
  <c r="H466" i="4"/>
  <c r="H468" i="4"/>
  <c r="H475" i="4"/>
  <c r="X505" i="1"/>
  <c r="W514" i="1"/>
  <c r="X514" i="1" s="1"/>
  <c r="K562" i="4"/>
  <c r="K567" i="4" s="1"/>
  <c r="G348" i="1"/>
  <c r="G333" i="1"/>
  <c r="F41" i="1"/>
  <c r="I566" i="4" l="1"/>
  <c r="I567" i="4"/>
  <c r="K566" i="4"/>
  <c r="K565" i="4"/>
  <c r="N37" i="27"/>
  <c r="G565" i="4"/>
  <c r="Q39" i="1"/>
  <c r="Q106" i="1" s="1"/>
  <c r="K639" i="1"/>
  <c r="K365" i="1" s="1"/>
  <c r="K387" i="1" s="1"/>
  <c r="K389" i="1" s="1"/>
  <c r="Q405" i="1"/>
  <c r="I476" i="4"/>
  <c r="I474" i="4"/>
  <c r="I477" i="4"/>
  <c r="N37" i="34"/>
  <c r="Q531" i="1"/>
  <c r="F353" i="4" s="1"/>
  <c r="G353" i="4" s="1"/>
  <c r="Q128" i="1"/>
  <c r="R520" i="1"/>
  <c r="V600" i="4"/>
  <c r="M405" i="1"/>
  <c r="M416" i="1" s="1"/>
  <c r="Q111" i="1"/>
  <c r="R39" i="1"/>
  <c r="R106" i="1" s="1"/>
  <c r="V60" i="1"/>
  <c r="G531" i="1"/>
  <c r="F330" i="4" s="1"/>
  <c r="G122" i="1"/>
  <c r="V112" i="1"/>
  <c r="G517" i="1"/>
  <c r="G112" i="1"/>
  <c r="G529" i="1"/>
  <c r="F286" i="4" s="1"/>
  <c r="G121" i="1"/>
  <c r="G111" i="1"/>
  <c r="G129" i="1"/>
  <c r="G527" i="1"/>
  <c r="F242" i="4" s="1"/>
  <c r="G519" i="1"/>
  <c r="G37" i="1"/>
  <c r="G520" i="1"/>
  <c r="G623" i="1"/>
  <c r="G38" i="1"/>
  <c r="G626" i="1" s="1"/>
  <c r="G39" i="1"/>
  <c r="G106" i="1" s="1"/>
  <c r="G130" i="1"/>
  <c r="G128" i="1"/>
  <c r="G631" i="1"/>
  <c r="G60" i="1"/>
  <c r="G59" i="1"/>
  <c r="G117" i="1"/>
  <c r="G131" i="1"/>
  <c r="V520" i="1"/>
  <c r="V639" i="1"/>
  <c r="V365" i="1" s="1"/>
  <c r="V387" i="1" s="1"/>
  <c r="V389" i="1" s="1"/>
  <c r="Q520" i="1"/>
  <c r="Q122" i="1"/>
  <c r="J117" i="1"/>
  <c r="J129" i="1"/>
  <c r="Q38" i="1"/>
  <c r="Q460" i="1" s="1"/>
  <c r="Q131" i="1"/>
  <c r="J519" i="1"/>
  <c r="J527" i="1"/>
  <c r="F248" i="4" s="1"/>
  <c r="S248" i="4" s="1"/>
  <c r="Q517" i="1"/>
  <c r="R122" i="1"/>
  <c r="V405" i="1"/>
  <c r="V416" i="1" s="1"/>
  <c r="T130" i="1"/>
  <c r="K59" i="1"/>
  <c r="K130" i="1"/>
  <c r="K623" i="1"/>
  <c r="K122" i="1"/>
  <c r="K527" i="1"/>
  <c r="F252" i="4" s="1"/>
  <c r="T252" i="4" s="1"/>
  <c r="K131" i="1"/>
  <c r="K39" i="1"/>
  <c r="K106" i="1" s="1"/>
  <c r="K128" i="1"/>
  <c r="K531" i="1"/>
  <c r="F340" i="4" s="1"/>
  <c r="K340" i="4" s="1"/>
  <c r="K38" i="1"/>
  <c r="K626" i="1" s="1"/>
  <c r="K517" i="1"/>
  <c r="K111" i="1"/>
  <c r="J233" i="1"/>
  <c r="J244" i="1" s="1"/>
  <c r="P179" i="1"/>
  <c r="W110" i="1"/>
  <c r="X110" i="1" s="1"/>
  <c r="U129" i="1"/>
  <c r="U623" i="1"/>
  <c r="U529" i="1"/>
  <c r="F320" i="4" s="1"/>
  <c r="N320" i="4" s="1"/>
  <c r="V517" i="1"/>
  <c r="Q60" i="1"/>
  <c r="Q117" i="1"/>
  <c r="Q130" i="1"/>
  <c r="R517" i="1"/>
  <c r="R129" i="1"/>
  <c r="R60" i="1"/>
  <c r="J60" i="1"/>
  <c r="Q631" i="1"/>
  <c r="Q37" i="1"/>
  <c r="Q518" i="1"/>
  <c r="V111" i="1"/>
  <c r="J520" i="1"/>
  <c r="J38" i="1"/>
  <c r="J105" i="1" s="1"/>
  <c r="R128" i="1"/>
  <c r="R59" i="1"/>
  <c r="R131" i="1"/>
  <c r="J623" i="1"/>
  <c r="J111" i="1"/>
  <c r="R38" i="1"/>
  <c r="R105" i="1" s="1"/>
  <c r="R37" i="1"/>
  <c r="J531" i="1"/>
  <c r="F336" i="4" s="1"/>
  <c r="N336" i="4" s="1"/>
  <c r="Q527" i="1"/>
  <c r="F265" i="4" s="1"/>
  <c r="H265" i="4" s="1"/>
  <c r="Q112" i="1"/>
  <c r="Q129" i="1"/>
  <c r="J631" i="1"/>
  <c r="J59" i="1"/>
  <c r="J130" i="1"/>
  <c r="J37" i="1"/>
  <c r="J39" i="1"/>
  <c r="J106" i="1" s="1"/>
  <c r="R121" i="1"/>
  <c r="R518" i="1"/>
  <c r="R531" i="1"/>
  <c r="F354" i="4" s="1"/>
  <c r="S351" i="1"/>
  <c r="J518" i="1"/>
  <c r="R527" i="1"/>
  <c r="F266" i="4" s="1"/>
  <c r="N266" i="4" s="1"/>
  <c r="V527" i="1"/>
  <c r="F279" i="4" s="1"/>
  <c r="G279" i="4" s="1"/>
  <c r="Q59" i="1"/>
  <c r="Q623" i="1"/>
  <c r="Q519" i="1"/>
  <c r="J121" i="1"/>
  <c r="J131" i="1"/>
  <c r="J529" i="1"/>
  <c r="F292" i="4" s="1"/>
  <c r="R130" i="1"/>
  <c r="R117" i="1"/>
  <c r="R111" i="1"/>
  <c r="V529" i="1"/>
  <c r="F323" i="4" s="1"/>
  <c r="H323" i="4" s="1"/>
  <c r="Q121" i="1"/>
  <c r="J128" i="1"/>
  <c r="J122" i="1"/>
  <c r="J112" i="1"/>
  <c r="R519" i="1"/>
  <c r="R631" i="1"/>
  <c r="R112" i="1"/>
  <c r="R623" i="1"/>
  <c r="L112" i="1"/>
  <c r="L527" i="1"/>
  <c r="F253" i="4" s="1"/>
  <c r="L129" i="1"/>
  <c r="L131" i="1"/>
  <c r="L38" i="1"/>
  <c r="L105" i="1" s="1"/>
  <c r="L128" i="1"/>
  <c r="L60" i="1"/>
  <c r="L37" i="1"/>
  <c r="L529" i="1"/>
  <c r="F297" i="4" s="1"/>
  <c r="G297" i="4" s="1"/>
  <c r="L121" i="1"/>
  <c r="T405" i="1"/>
  <c r="T416" i="1" s="1"/>
  <c r="M639" i="1"/>
  <c r="M365" i="1" s="1"/>
  <c r="M387" i="1" s="1"/>
  <c r="M389" i="1" s="1"/>
  <c r="R405" i="1"/>
  <c r="R416" i="1" s="1"/>
  <c r="L631" i="1"/>
  <c r="K529" i="1"/>
  <c r="F296" i="4" s="1"/>
  <c r="H296" i="4" s="1"/>
  <c r="K129" i="1"/>
  <c r="K233" i="1"/>
  <c r="K244" i="1" s="1"/>
  <c r="K631" i="1"/>
  <c r="K520" i="1"/>
  <c r="K117" i="1"/>
  <c r="L520" i="1"/>
  <c r="K519" i="1"/>
  <c r="K37" i="1"/>
  <c r="K121" i="1"/>
  <c r="L519" i="1"/>
  <c r="L111" i="1"/>
  <c r="K60" i="1"/>
  <c r="K518" i="1"/>
  <c r="Q639" i="1"/>
  <c r="Q365" i="1" s="1"/>
  <c r="Q387" i="1" s="1"/>
  <c r="Q416" i="1"/>
  <c r="W200" i="1"/>
  <c r="X200" i="1" s="1"/>
  <c r="K416" i="1"/>
  <c r="J416" i="1"/>
  <c r="S518" i="1"/>
  <c r="S60" i="1"/>
  <c r="M179" i="1"/>
  <c r="S128" i="1"/>
  <c r="S519" i="1"/>
  <c r="L517" i="1"/>
  <c r="L39" i="1"/>
  <c r="L106" i="1" s="1"/>
  <c r="U639" i="1"/>
  <c r="U365" i="1" s="1"/>
  <c r="U387" i="1" s="1"/>
  <c r="U389" i="1" s="1"/>
  <c r="I531" i="1"/>
  <c r="F335" i="4" s="1"/>
  <c r="L623" i="1"/>
  <c r="L531" i="1"/>
  <c r="F341" i="4" s="1"/>
  <c r="L518" i="1"/>
  <c r="L122" i="1"/>
  <c r="R639" i="1"/>
  <c r="R365" i="1" s="1"/>
  <c r="R387" i="1" s="1"/>
  <c r="R389" i="1" s="1"/>
  <c r="L179" i="1"/>
  <c r="L130" i="1"/>
  <c r="L59" i="1"/>
  <c r="S111" i="1"/>
  <c r="S112" i="1"/>
  <c r="S531" i="1"/>
  <c r="F358" i="4" s="1"/>
  <c r="S122" i="1"/>
  <c r="S131" i="1"/>
  <c r="S527" i="1"/>
  <c r="F270" i="4" s="1"/>
  <c r="S121" i="1"/>
  <c r="S59" i="1"/>
  <c r="S37" i="1"/>
  <c r="S117" i="1"/>
  <c r="S130" i="1"/>
  <c r="S623" i="1"/>
  <c r="S631" i="1"/>
  <c r="S38" i="1"/>
  <c r="S105" i="1" s="1"/>
  <c r="S529" i="1"/>
  <c r="F314" i="4" s="1"/>
  <c r="S517" i="1"/>
  <c r="S129" i="1"/>
  <c r="V351" i="1"/>
  <c r="I520" i="1"/>
  <c r="O112" i="1"/>
  <c r="O128" i="1"/>
  <c r="O37" i="1"/>
  <c r="N517" i="1"/>
  <c r="O38" i="1"/>
  <c r="O460" i="1" s="1"/>
  <c r="N623" i="1"/>
  <c r="O527" i="1"/>
  <c r="F263" i="4" s="1"/>
  <c r="T263" i="4" s="1"/>
  <c r="N37" i="1"/>
  <c r="N631" i="1"/>
  <c r="P639" i="1"/>
  <c r="P365" i="1" s="1"/>
  <c r="P387" i="1" s="1"/>
  <c r="P389" i="1" s="1"/>
  <c r="O520" i="1"/>
  <c r="O531" i="1"/>
  <c r="F351" i="4" s="1"/>
  <c r="K351" i="4" s="1"/>
  <c r="N117" i="1"/>
  <c r="N519" i="1"/>
  <c r="O623" i="1"/>
  <c r="O60" i="1"/>
  <c r="N520" i="1"/>
  <c r="N529" i="1"/>
  <c r="F304" i="4" s="1"/>
  <c r="K304" i="4" s="1"/>
  <c r="O39" i="1"/>
  <c r="O106" i="1" s="1"/>
  <c r="O519" i="1"/>
  <c r="O121" i="1"/>
  <c r="O130" i="1"/>
  <c r="N128" i="1"/>
  <c r="N130" i="1"/>
  <c r="O59" i="1"/>
  <c r="N39" i="1"/>
  <c r="N106" i="1" s="1"/>
  <c r="O631" i="1"/>
  <c r="O131" i="1"/>
  <c r="N121" i="1"/>
  <c r="O111" i="1"/>
  <c r="O518" i="1"/>
  <c r="N518" i="1"/>
  <c r="S639" i="1"/>
  <c r="S365" i="1" s="1"/>
  <c r="S387" i="1" s="1"/>
  <c r="S389" i="1" s="1"/>
  <c r="P517" i="1"/>
  <c r="J639" i="1"/>
  <c r="J365" i="1" s="1"/>
  <c r="J387" i="1" s="1"/>
  <c r="P520" i="1"/>
  <c r="P39" i="1"/>
  <c r="P106" i="1" s="1"/>
  <c r="I38" i="1"/>
  <c r="I626" i="1" s="1"/>
  <c r="W197" i="1"/>
  <c r="X197" i="1" s="1"/>
  <c r="I60" i="1"/>
  <c r="V117" i="1"/>
  <c r="I59" i="1"/>
  <c r="V38" i="1"/>
  <c r="V105" i="1" s="1"/>
  <c r="I130" i="1"/>
  <c r="G639" i="1"/>
  <c r="T193" i="1" s="1"/>
  <c r="T215" i="1" s="1"/>
  <c r="W339" i="1"/>
  <c r="X339" i="1" s="1"/>
  <c r="P519" i="1"/>
  <c r="P37" i="1"/>
  <c r="P130" i="1"/>
  <c r="P529" i="1"/>
  <c r="F308" i="4" s="1"/>
  <c r="T308" i="4" s="1"/>
  <c r="P122" i="1"/>
  <c r="P117" i="1"/>
  <c r="P129" i="1"/>
  <c r="P531" i="1"/>
  <c r="F352" i="4" s="1"/>
  <c r="H352" i="4" s="1"/>
  <c r="N129" i="1"/>
  <c r="N131" i="1"/>
  <c r="P121" i="1"/>
  <c r="P60" i="1"/>
  <c r="P111" i="1"/>
  <c r="P518" i="1"/>
  <c r="P623" i="1"/>
  <c r="P38" i="1"/>
  <c r="P105" i="1" s="1"/>
  <c r="P128" i="1"/>
  <c r="P131" i="1"/>
  <c r="M112" i="1"/>
  <c r="P631" i="1"/>
  <c r="P59" i="1"/>
  <c r="P112" i="1"/>
  <c r="N112" i="1"/>
  <c r="N38" i="1"/>
  <c r="N460" i="1" s="1"/>
  <c r="T639" i="1"/>
  <c r="T365" i="1" s="1"/>
  <c r="T387" i="1" s="1"/>
  <c r="W372" i="1"/>
  <c r="X372" i="1" s="1"/>
  <c r="T527" i="1"/>
  <c r="F273" i="4" s="1"/>
  <c r="R273" i="4" s="1"/>
  <c r="H527" i="1"/>
  <c r="F243" i="4" s="1"/>
  <c r="K243" i="4" s="1"/>
  <c r="N111" i="1"/>
  <c r="N122" i="1"/>
  <c r="N60" i="1"/>
  <c r="S39" i="1"/>
  <c r="S106" i="1" s="1"/>
  <c r="N639" i="1"/>
  <c r="N365" i="1" s="1"/>
  <c r="N387" i="1" s="1"/>
  <c r="T131" i="1"/>
  <c r="T531" i="1"/>
  <c r="F361" i="4" s="1"/>
  <c r="S361" i="4" s="1"/>
  <c r="N531" i="1"/>
  <c r="F348" i="4" s="1"/>
  <c r="N348" i="4" s="1"/>
  <c r="N59" i="1"/>
  <c r="T117" i="1"/>
  <c r="H112" i="1"/>
  <c r="H59" i="1"/>
  <c r="T529" i="1"/>
  <c r="F317" i="4" s="1"/>
  <c r="H317" i="4" s="1"/>
  <c r="T623" i="1"/>
  <c r="H39" i="1"/>
  <c r="H106" i="1" s="1"/>
  <c r="T121" i="1"/>
  <c r="T112" i="1"/>
  <c r="U117" i="1"/>
  <c r="T517" i="1"/>
  <c r="T60" i="1"/>
  <c r="T37" i="1"/>
  <c r="H129" i="1"/>
  <c r="H531" i="1"/>
  <c r="F331" i="4" s="1"/>
  <c r="R331" i="4" s="1"/>
  <c r="H623" i="1"/>
  <c r="T122" i="1"/>
  <c r="T111" i="1"/>
  <c r="H130" i="1"/>
  <c r="H60" i="1"/>
  <c r="H529" i="1"/>
  <c r="F287" i="4" s="1"/>
  <c r="N287" i="4" s="1"/>
  <c r="S416" i="1"/>
  <c r="T631" i="1"/>
  <c r="T518" i="1"/>
  <c r="T39" i="1"/>
  <c r="T106" i="1" s="1"/>
  <c r="T59" i="1"/>
  <c r="H519" i="1"/>
  <c r="H122" i="1"/>
  <c r="T129" i="1"/>
  <c r="T128" i="1"/>
  <c r="P405" i="1"/>
  <c r="P416" i="1" s="1"/>
  <c r="T519" i="1"/>
  <c r="T520" i="1"/>
  <c r="W148" i="1"/>
  <c r="X148" i="1" s="1"/>
  <c r="S233" i="1"/>
  <c r="S244" i="1" s="1"/>
  <c r="W369" i="1"/>
  <c r="X369" i="1" s="1"/>
  <c r="W624" i="1"/>
  <c r="X624" i="1" s="1"/>
  <c r="V519" i="1"/>
  <c r="V39" i="1"/>
  <c r="V106" i="1" s="1"/>
  <c r="V59" i="1"/>
  <c r="W348" i="1"/>
  <c r="X348" i="1" s="1"/>
  <c r="V130" i="1"/>
  <c r="V623" i="1"/>
  <c r="V122" i="1"/>
  <c r="V129" i="1"/>
  <c r="M38" i="1"/>
  <c r="M460" i="1" s="1"/>
  <c r="V531" i="1"/>
  <c r="F367" i="4" s="1"/>
  <c r="T367" i="4" s="1"/>
  <c r="M519" i="1"/>
  <c r="V131" i="1"/>
  <c r="V37" i="1"/>
  <c r="M520" i="1"/>
  <c r="V121" i="1"/>
  <c r="M117" i="1"/>
  <c r="V518" i="1"/>
  <c r="V128" i="1"/>
  <c r="M39" i="1"/>
  <c r="M106" i="1" s="1"/>
  <c r="M531" i="1"/>
  <c r="F345" i="4" s="1"/>
  <c r="T345" i="4" s="1"/>
  <c r="M131" i="1"/>
  <c r="O639" i="1"/>
  <c r="O365" i="1" s="1"/>
  <c r="O387" i="1" s="1"/>
  <c r="O389" i="1" s="1"/>
  <c r="W33" i="1"/>
  <c r="X33" i="1" s="1"/>
  <c r="N233" i="1"/>
  <c r="N244" i="1" s="1"/>
  <c r="W384" i="1"/>
  <c r="X384" i="1" s="1"/>
  <c r="W385" i="1"/>
  <c r="X385" i="1" s="1"/>
  <c r="U60" i="1"/>
  <c r="U631" i="1"/>
  <c r="U128" i="1"/>
  <c r="U517" i="1"/>
  <c r="U130" i="1"/>
  <c r="U527" i="1"/>
  <c r="F276" i="4" s="1"/>
  <c r="H276" i="4" s="1"/>
  <c r="U518" i="1"/>
  <c r="U131" i="1"/>
  <c r="Y593" i="1"/>
  <c r="U38" i="1"/>
  <c r="U105" i="1" s="1"/>
  <c r="U108" i="1" s="1"/>
  <c r="U59" i="1"/>
  <c r="U531" i="1"/>
  <c r="F364" i="4" s="1"/>
  <c r="K364" i="4" s="1"/>
  <c r="U111" i="1"/>
  <c r="U37" i="1"/>
  <c r="U122" i="1"/>
  <c r="U112" i="1"/>
  <c r="U121" i="1"/>
  <c r="U519" i="1"/>
  <c r="U520" i="1"/>
  <c r="W320" i="1"/>
  <c r="X320" i="1" s="1"/>
  <c r="G480" i="4"/>
  <c r="X637" i="1"/>
  <c r="I122" i="1"/>
  <c r="I518" i="1"/>
  <c r="I623" i="1"/>
  <c r="I131" i="1"/>
  <c r="W167" i="1"/>
  <c r="X167" i="1" s="1"/>
  <c r="W627" i="1"/>
  <c r="X627" i="1" s="1"/>
  <c r="I128" i="1"/>
  <c r="I529" i="1"/>
  <c r="F291" i="4" s="1"/>
  <c r="N291" i="4" s="1"/>
  <c r="I631" i="1"/>
  <c r="I519" i="1"/>
  <c r="W176" i="1"/>
  <c r="X176" i="1" s="1"/>
  <c r="I111" i="1"/>
  <c r="I117" i="1"/>
  <c r="I527" i="1"/>
  <c r="F247" i="4" s="1"/>
  <c r="I247" i="4" s="1"/>
  <c r="I37" i="1"/>
  <c r="I129" i="1"/>
  <c r="I112" i="1"/>
  <c r="I517" i="1"/>
  <c r="I121" i="1"/>
  <c r="W58" i="1"/>
  <c r="X58" i="1" s="1"/>
  <c r="M517" i="1"/>
  <c r="M122" i="1"/>
  <c r="L639" i="1"/>
  <c r="L365" i="1" s="1"/>
  <c r="L387" i="1" s="1"/>
  <c r="L389" i="1" s="1"/>
  <c r="M129" i="1"/>
  <c r="M59" i="1"/>
  <c r="M631" i="1"/>
  <c r="M529" i="1"/>
  <c r="F301" i="4" s="1"/>
  <c r="M60" i="1"/>
  <c r="M121" i="1"/>
  <c r="M111" i="1"/>
  <c r="M37" i="1"/>
  <c r="M527" i="1"/>
  <c r="F257" i="4" s="1"/>
  <c r="T257" i="4" s="1"/>
  <c r="M130" i="1"/>
  <c r="W622" i="1"/>
  <c r="X622" i="1" s="1"/>
  <c r="W102" i="1"/>
  <c r="X102" i="1" s="1"/>
  <c r="M623" i="1"/>
  <c r="M518" i="1"/>
  <c r="H405" i="1"/>
  <c r="H416" i="1" s="1"/>
  <c r="W414" i="1"/>
  <c r="X414" i="1" s="1"/>
  <c r="W242" i="1"/>
  <c r="X242" i="1" s="1"/>
  <c r="O117" i="1"/>
  <c r="H631" i="1"/>
  <c r="H117" i="1"/>
  <c r="H517" i="1"/>
  <c r="W213" i="1"/>
  <c r="X213" i="1" s="1"/>
  <c r="H111" i="1"/>
  <c r="H37" i="1"/>
  <c r="O129" i="1"/>
  <c r="O517" i="1"/>
  <c r="O122" i="1"/>
  <c r="H518" i="1"/>
  <c r="W212" i="1"/>
  <c r="X212" i="1" s="1"/>
  <c r="H131" i="1"/>
  <c r="H128" i="1"/>
  <c r="O233" i="1"/>
  <c r="O244" i="1" s="1"/>
  <c r="O405" i="1"/>
  <c r="O416" i="1" s="1"/>
  <c r="U405" i="1"/>
  <c r="U416" i="1" s="1"/>
  <c r="U233" i="1"/>
  <c r="U244" i="1" s="1"/>
  <c r="L233" i="1"/>
  <c r="L244" i="1" s="1"/>
  <c r="L405" i="1"/>
  <c r="L416" i="1" s="1"/>
  <c r="I639" i="1"/>
  <c r="I365" i="1" s="1"/>
  <c r="I387" i="1" s="1"/>
  <c r="I389" i="1" s="1"/>
  <c r="H121" i="1"/>
  <c r="H38" i="1"/>
  <c r="H639" i="1"/>
  <c r="H365" i="1" s="1"/>
  <c r="H387" i="1" s="1"/>
  <c r="H389" i="1" s="1"/>
  <c r="H478" i="4"/>
  <c r="I466" i="4"/>
  <c r="I504" i="4"/>
  <c r="I495" i="4"/>
  <c r="I475" i="4"/>
  <c r="I469" i="4"/>
  <c r="I468" i="4"/>
  <c r="I467" i="4"/>
  <c r="J2" i="4"/>
  <c r="I405" i="1"/>
  <c r="I416" i="1" s="1"/>
  <c r="I233" i="1"/>
  <c r="I244" i="1" s="1"/>
  <c r="H529" i="4"/>
  <c r="H471" i="4"/>
  <c r="T105" i="1"/>
  <c r="T288" i="1"/>
  <c r="T626" i="1"/>
  <c r="T460" i="1"/>
  <c r="I309" i="4"/>
  <c r="G309" i="4"/>
  <c r="K309" i="4"/>
  <c r="N309" i="4"/>
  <c r="H309" i="4"/>
  <c r="H307" i="4"/>
  <c r="R307" i="4"/>
  <c r="T307" i="4"/>
  <c r="G307" i="4"/>
  <c r="N307" i="4"/>
  <c r="I307" i="4"/>
  <c r="K307" i="4"/>
  <c r="S307" i="4"/>
  <c r="S264" i="4"/>
  <c r="K264" i="4"/>
  <c r="H264" i="4"/>
  <c r="R264" i="4"/>
  <c r="G264" i="4"/>
  <c r="N264" i="4"/>
  <c r="I264" i="4"/>
  <c r="T264" i="4"/>
  <c r="F63" i="1"/>
  <c r="F97" i="1" s="1"/>
  <c r="F133" i="1" s="1"/>
  <c r="G310" i="4"/>
  <c r="K310" i="4"/>
  <c r="H310" i="4"/>
  <c r="I310" i="4"/>
  <c r="N310" i="4"/>
  <c r="G351" i="1"/>
  <c r="W333" i="1"/>
  <c r="G405" i="1"/>
  <c r="G233" i="1"/>
  <c r="W640" i="1"/>
  <c r="X640" i="1" s="1"/>
  <c r="G179" i="1"/>
  <c r="W161" i="1"/>
  <c r="T260" i="4"/>
  <c r="R260" i="4"/>
  <c r="H260" i="4"/>
  <c r="N260" i="4"/>
  <c r="J260" i="4"/>
  <c r="I260" i="4"/>
  <c r="G260" i="4"/>
  <c r="K260" i="4"/>
  <c r="S260" i="4"/>
  <c r="J310" i="4" l="1"/>
  <c r="J563" i="4"/>
  <c r="J307" i="4"/>
  <c r="J309" i="4"/>
  <c r="J264" i="4"/>
  <c r="J353" i="4"/>
  <c r="H353" i="4"/>
  <c r="N353" i="4"/>
  <c r="K353" i="4"/>
  <c r="I353" i="4"/>
  <c r="J292" i="4"/>
  <c r="J335" i="4"/>
  <c r="J253" i="4"/>
  <c r="J354" i="4"/>
  <c r="J476" i="4"/>
  <c r="J474" i="4"/>
  <c r="J301" i="4"/>
  <c r="I340" i="4"/>
  <c r="K335" i="4"/>
  <c r="V61" i="1"/>
  <c r="V628" i="1" s="1"/>
  <c r="G335" i="4"/>
  <c r="H253" i="4"/>
  <c r="T335" i="4"/>
  <c r="J252" i="4"/>
  <c r="K252" i="4"/>
  <c r="G61" i="1"/>
  <c r="G628" i="1" s="1"/>
  <c r="R108" i="1"/>
  <c r="R630" i="1" s="1"/>
  <c r="G265" i="4"/>
  <c r="Q105" i="1"/>
  <c r="Q108" i="1" s="1"/>
  <c r="Q113" i="1" s="1"/>
  <c r="J323" i="4"/>
  <c r="N340" i="4"/>
  <c r="J265" i="4"/>
  <c r="I265" i="4"/>
  <c r="G323" i="4"/>
  <c r="J340" i="4"/>
  <c r="R61" i="1"/>
  <c r="R628" i="1" s="1"/>
  <c r="K265" i="4"/>
  <c r="R340" i="4"/>
  <c r="Q626" i="1"/>
  <c r="K323" i="4"/>
  <c r="Q288" i="1"/>
  <c r="N265" i="4"/>
  <c r="R323" i="4"/>
  <c r="T340" i="4"/>
  <c r="N323" i="4"/>
  <c r="H340" i="4"/>
  <c r="T323" i="4"/>
  <c r="G340" i="4"/>
  <c r="F342" i="4"/>
  <c r="S323" i="4"/>
  <c r="S340" i="4"/>
  <c r="K61" i="1"/>
  <c r="K628" i="1" s="1"/>
  <c r="Q41" i="1"/>
  <c r="F33" i="4" s="1"/>
  <c r="I323" i="4"/>
  <c r="G365" i="1"/>
  <c r="G387" i="1" s="1"/>
  <c r="I61" i="1"/>
  <c r="I628" i="1" s="1"/>
  <c r="H248" i="4"/>
  <c r="T248" i="4"/>
  <c r="I248" i="4"/>
  <c r="K248" i="4"/>
  <c r="N248" i="4"/>
  <c r="R248" i="4"/>
  <c r="J248" i="4"/>
  <c r="G248" i="4"/>
  <c r="G522" i="1"/>
  <c r="F197" i="4" s="1"/>
  <c r="G105" i="1"/>
  <c r="G108" i="1" s="1"/>
  <c r="G288" i="1"/>
  <c r="G41" i="1"/>
  <c r="F9" i="4" s="1"/>
  <c r="G460" i="1"/>
  <c r="K105" i="1"/>
  <c r="K108" i="1" s="1"/>
  <c r="T296" i="4"/>
  <c r="G336" i="4"/>
  <c r="J108" i="1"/>
  <c r="J115" i="1" s="1"/>
  <c r="J460" i="1"/>
  <c r="K296" i="4"/>
  <c r="I296" i="4"/>
  <c r="T336" i="4"/>
  <c r="J296" i="4"/>
  <c r="S336" i="4"/>
  <c r="G296" i="4"/>
  <c r="G298" i="4" s="1"/>
  <c r="H336" i="4"/>
  <c r="N296" i="4"/>
  <c r="R336" i="4"/>
  <c r="J288" i="1"/>
  <c r="S296" i="4"/>
  <c r="I336" i="4"/>
  <c r="J626" i="1"/>
  <c r="R296" i="4"/>
  <c r="J336" i="4"/>
  <c r="K336" i="4"/>
  <c r="K460" i="1"/>
  <c r="I320" i="4"/>
  <c r="T297" i="4"/>
  <c r="K288" i="1"/>
  <c r="S522" i="1"/>
  <c r="F225" i="4" s="1"/>
  <c r="L61" i="1"/>
  <c r="L628" i="1" s="1"/>
  <c r="U626" i="1"/>
  <c r="M193" i="1"/>
  <c r="M215" i="1" s="1"/>
  <c r="M246" i="1" s="1"/>
  <c r="Q61" i="1"/>
  <c r="Q628" i="1" s="1"/>
  <c r="O288" i="1"/>
  <c r="R301" i="4"/>
  <c r="V418" i="1"/>
  <c r="V642" i="1" s="1"/>
  <c r="G292" i="4"/>
  <c r="H292" i="4"/>
  <c r="N252" i="4"/>
  <c r="R292" i="4"/>
  <c r="I292" i="4"/>
  <c r="H252" i="4"/>
  <c r="I335" i="4"/>
  <c r="I193" i="1"/>
  <c r="I215" i="1" s="1"/>
  <c r="I246" i="1" s="1"/>
  <c r="U193" i="1"/>
  <c r="U215" i="1" s="1"/>
  <c r="U217" i="1" s="1"/>
  <c r="O105" i="1"/>
  <c r="O108" i="1" s="1"/>
  <c r="O630" i="1" s="1"/>
  <c r="S252" i="4"/>
  <c r="S292" i="4"/>
  <c r="H335" i="4"/>
  <c r="O193" i="1"/>
  <c r="O215" i="1" s="1"/>
  <c r="O246" i="1" s="1"/>
  <c r="L193" i="1"/>
  <c r="L215" i="1" s="1"/>
  <c r="L217" i="1" s="1"/>
  <c r="O626" i="1"/>
  <c r="P108" i="1"/>
  <c r="P115" i="1" s="1"/>
  <c r="R252" i="4"/>
  <c r="J193" i="1"/>
  <c r="J215" i="1" s="1"/>
  <c r="J246" i="1" s="1"/>
  <c r="K193" i="1"/>
  <c r="K215" i="1" s="1"/>
  <c r="K217" i="1" s="1"/>
  <c r="T292" i="4"/>
  <c r="N335" i="4"/>
  <c r="N337" i="4" s="1"/>
  <c r="G252" i="4"/>
  <c r="K292" i="4"/>
  <c r="F337" i="4"/>
  <c r="R193" i="1"/>
  <c r="R215" i="1" s="1"/>
  <c r="R217" i="1" s="1"/>
  <c r="Q193" i="1"/>
  <c r="Q215" i="1" s="1"/>
  <c r="Q246" i="1" s="1"/>
  <c r="P193" i="1"/>
  <c r="P215" i="1" s="1"/>
  <c r="P246" i="1" s="1"/>
  <c r="H193" i="1"/>
  <c r="H215" i="1" s="1"/>
  <c r="H246" i="1" s="1"/>
  <c r="Q522" i="1"/>
  <c r="F220" i="4" s="1"/>
  <c r="J220" i="4" s="1"/>
  <c r="R335" i="4"/>
  <c r="S193" i="1"/>
  <c r="S215" i="1" s="1"/>
  <c r="S246" i="1" s="1"/>
  <c r="V193" i="1"/>
  <c r="V215" i="1" s="1"/>
  <c r="V217" i="1" s="1"/>
  <c r="N193" i="1"/>
  <c r="N215" i="1" s="1"/>
  <c r="N217" i="1" s="1"/>
  <c r="N292" i="4"/>
  <c r="N293" i="4" s="1"/>
  <c r="S335" i="4"/>
  <c r="I252" i="4"/>
  <c r="G193" i="1"/>
  <c r="G215" i="1" s="1"/>
  <c r="I331" i="4"/>
  <c r="J522" i="1"/>
  <c r="F203" i="4" s="1"/>
  <c r="T279" i="4"/>
  <c r="I279" i="4"/>
  <c r="K279" i="4"/>
  <c r="J41" i="1"/>
  <c r="F15" i="4" s="1"/>
  <c r="G15" i="4" s="1"/>
  <c r="R460" i="1"/>
  <c r="H266" i="4"/>
  <c r="F267" i="4"/>
  <c r="J279" i="4"/>
  <c r="K41" i="1"/>
  <c r="F19" i="4" s="1"/>
  <c r="S19" i="4" s="1"/>
  <c r="N279" i="4"/>
  <c r="H279" i="4"/>
  <c r="S279" i="4"/>
  <c r="R279" i="4"/>
  <c r="R522" i="1"/>
  <c r="F221" i="4" s="1"/>
  <c r="H221" i="4" s="1"/>
  <c r="F30" i="29" s="1"/>
  <c r="J61" i="1"/>
  <c r="J628" i="1" s="1"/>
  <c r="S253" i="4"/>
  <c r="H354" i="4"/>
  <c r="N253" i="4"/>
  <c r="K253" i="4"/>
  <c r="G354" i="4"/>
  <c r="I253" i="4"/>
  <c r="F254" i="4"/>
  <c r="I354" i="4"/>
  <c r="R253" i="4"/>
  <c r="K354" i="4"/>
  <c r="G253" i="4"/>
  <c r="N354" i="4"/>
  <c r="T253" i="4"/>
  <c r="T254" i="4" s="1"/>
  <c r="S320" i="4"/>
  <c r="T61" i="1"/>
  <c r="T628" i="1" s="1"/>
  <c r="G320" i="4"/>
  <c r="N61" i="1"/>
  <c r="N628" i="1" s="1"/>
  <c r="K297" i="4"/>
  <c r="J320" i="4"/>
  <c r="R320" i="4"/>
  <c r="H320" i="4"/>
  <c r="T320" i="4"/>
  <c r="S61" i="1"/>
  <c r="S628" i="1" s="1"/>
  <c r="R41" i="1"/>
  <c r="F34" i="4" s="1"/>
  <c r="H34" i="4" s="1"/>
  <c r="K320" i="4"/>
  <c r="H61" i="1"/>
  <c r="H628" i="1" s="1"/>
  <c r="I345" i="4"/>
  <c r="G266" i="4"/>
  <c r="K266" i="4"/>
  <c r="L626" i="1"/>
  <c r="R352" i="4"/>
  <c r="R626" i="1"/>
  <c r="R288" i="1"/>
  <c r="L288" i="1"/>
  <c r="I105" i="1"/>
  <c r="I108" i="1" s="1"/>
  <c r="I113" i="1" s="1"/>
  <c r="L460" i="1"/>
  <c r="J266" i="4"/>
  <c r="I266" i="4"/>
  <c r="Q418" i="1"/>
  <c r="Q642" i="1" s="1"/>
  <c r="R297" i="4"/>
  <c r="I297" i="4"/>
  <c r="H297" i="4"/>
  <c r="H298" i="4" s="1"/>
  <c r="F298" i="4"/>
  <c r="S297" i="4"/>
  <c r="J297" i="4"/>
  <c r="N297" i="4"/>
  <c r="K522" i="1"/>
  <c r="F207" i="4" s="1"/>
  <c r="J207" i="4" s="1"/>
  <c r="S263" i="4"/>
  <c r="S267" i="4" s="1"/>
  <c r="H341" i="4"/>
  <c r="N341" i="4"/>
  <c r="Q389" i="1"/>
  <c r="I341" i="4"/>
  <c r="R341" i="4"/>
  <c r="J263" i="4"/>
  <c r="S341" i="4"/>
  <c r="K263" i="4"/>
  <c r="L32" i="34" s="1"/>
  <c r="J341" i="4"/>
  <c r="I263" i="4"/>
  <c r="H263" i="4"/>
  <c r="K317" i="4"/>
  <c r="K341" i="4"/>
  <c r="K342" i="4" s="1"/>
  <c r="N263" i="4"/>
  <c r="S287" i="4"/>
  <c r="T341" i="4"/>
  <c r="G263" i="4"/>
  <c r="G341" i="4"/>
  <c r="R263" i="4"/>
  <c r="R267" i="4" s="1"/>
  <c r="S243" i="4"/>
  <c r="K418" i="1"/>
  <c r="K642" i="1" s="1"/>
  <c r="L522" i="1"/>
  <c r="F208" i="4" s="1"/>
  <c r="S208" i="4" s="1"/>
  <c r="O41" i="1"/>
  <c r="F31" i="4" s="1"/>
  <c r="S304" i="4"/>
  <c r="M418" i="1"/>
  <c r="M642" i="1" s="1"/>
  <c r="N308" i="4"/>
  <c r="N311" i="4" s="1"/>
  <c r="J308" i="4"/>
  <c r="J304" i="4"/>
  <c r="V288" i="1"/>
  <c r="J348" i="4"/>
  <c r="N257" i="4"/>
  <c r="I257" i="4"/>
  <c r="J257" i="4"/>
  <c r="H257" i="4"/>
  <c r="S257" i="4"/>
  <c r="K257" i="4"/>
  <c r="R257" i="4"/>
  <c r="G257" i="4"/>
  <c r="G243" i="4"/>
  <c r="N331" i="4"/>
  <c r="K308" i="4"/>
  <c r="K311" i="4" s="1"/>
  <c r="K348" i="4"/>
  <c r="G304" i="4"/>
  <c r="G348" i="4"/>
  <c r="R243" i="4"/>
  <c r="H331" i="4"/>
  <c r="R308" i="4"/>
  <c r="R311" i="4" s="1"/>
  <c r="R304" i="4"/>
  <c r="S348" i="4"/>
  <c r="T348" i="4"/>
  <c r="T243" i="4"/>
  <c r="K331" i="4"/>
  <c r="I308" i="4"/>
  <c r="I311" i="4" s="1"/>
  <c r="N304" i="4"/>
  <c r="H348" i="4"/>
  <c r="N243" i="4"/>
  <c r="F311" i="4"/>
  <c r="G331" i="4"/>
  <c r="H308" i="4"/>
  <c r="H311" i="4" s="1"/>
  <c r="I304" i="4"/>
  <c r="T304" i="4"/>
  <c r="I348" i="4"/>
  <c r="I243" i="4"/>
  <c r="J243" i="4"/>
  <c r="J331" i="4"/>
  <c r="S308" i="4"/>
  <c r="S311" i="4" s="1"/>
  <c r="H304" i="4"/>
  <c r="R348" i="4"/>
  <c r="H243" i="4"/>
  <c r="S331" i="4"/>
  <c r="G308" i="4"/>
  <c r="G311" i="4" s="1"/>
  <c r="T331" i="4"/>
  <c r="P61" i="1"/>
  <c r="P628" i="1" s="1"/>
  <c r="J418" i="1"/>
  <c r="J642" i="1" s="1"/>
  <c r="J389" i="1"/>
  <c r="V460" i="1"/>
  <c r="V626" i="1"/>
  <c r="S288" i="1"/>
  <c r="S108" i="1"/>
  <c r="S113" i="1" s="1"/>
  <c r="P418" i="1"/>
  <c r="P642" i="1" s="1"/>
  <c r="L108" i="1"/>
  <c r="L116" i="1" s="1"/>
  <c r="L41" i="1"/>
  <c r="F20" i="4" s="1"/>
  <c r="H20" i="4" s="1"/>
  <c r="S626" i="1"/>
  <c r="O522" i="1"/>
  <c r="F218" i="4" s="1"/>
  <c r="J218" i="4" s="1"/>
  <c r="S351" i="4"/>
  <c r="U418" i="1"/>
  <c r="U642" i="1" s="1"/>
  <c r="O61" i="1"/>
  <c r="O628" i="1" s="1"/>
  <c r="S460" i="1"/>
  <c r="N41" i="1"/>
  <c r="N63" i="1" s="1"/>
  <c r="N285" i="1" s="1"/>
  <c r="P522" i="1"/>
  <c r="F219" i="4" s="1"/>
  <c r="J219" i="4" s="1"/>
  <c r="H351" i="4"/>
  <c r="N276" i="4"/>
  <c r="G351" i="4"/>
  <c r="N351" i="4"/>
  <c r="I351" i="4"/>
  <c r="T351" i="4"/>
  <c r="R351" i="4"/>
  <c r="N522" i="1"/>
  <c r="F215" i="4" s="1"/>
  <c r="N215" i="4" s="1"/>
  <c r="J351" i="4"/>
  <c r="R418" i="1"/>
  <c r="R642" i="1" s="1"/>
  <c r="H301" i="4"/>
  <c r="I301" i="4"/>
  <c r="N301" i="4"/>
  <c r="G301" i="4"/>
  <c r="U460" i="1"/>
  <c r="T301" i="4"/>
  <c r="K301" i="4"/>
  <c r="U288" i="1"/>
  <c r="H273" i="4"/>
  <c r="R361" i="4"/>
  <c r="S301" i="4"/>
  <c r="M522" i="1"/>
  <c r="F212" i="4" s="1"/>
  <c r="I212" i="4" s="1"/>
  <c r="U41" i="1"/>
  <c r="F44" i="4" s="1"/>
  <c r="S41" i="1"/>
  <c r="F38" i="4" s="1"/>
  <c r="S367" i="4"/>
  <c r="N105" i="1"/>
  <c r="N108" i="1" s="1"/>
  <c r="N113" i="1" s="1"/>
  <c r="G276" i="4"/>
  <c r="P288" i="1"/>
  <c r="T352" i="4"/>
  <c r="P41" i="1"/>
  <c r="F32" i="4" s="1"/>
  <c r="N626" i="1"/>
  <c r="I276" i="4"/>
  <c r="S352" i="4"/>
  <c r="I288" i="1"/>
  <c r="H345" i="4"/>
  <c r="I41" i="1"/>
  <c r="F14" i="4" s="1"/>
  <c r="T276" i="4"/>
  <c r="I352" i="4"/>
  <c r="I460" i="1"/>
  <c r="J276" i="4"/>
  <c r="R276" i="4"/>
  <c r="N352" i="4"/>
  <c r="N367" i="4"/>
  <c r="K276" i="4"/>
  <c r="P460" i="1"/>
  <c r="F355" i="4"/>
  <c r="J352" i="4"/>
  <c r="K352" i="4"/>
  <c r="G367" i="4"/>
  <c r="S276" i="4"/>
  <c r="P626" i="1"/>
  <c r="G352" i="4"/>
  <c r="N288" i="1"/>
  <c r="W128" i="1"/>
  <c r="X128" i="1" s="1"/>
  <c r="S418" i="1"/>
  <c r="S642" i="1" s="1"/>
  <c r="R364" i="4"/>
  <c r="T247" i="4"/>
  <c r="M41" i="1"/>
  <c r="F24" i="4" s="1"/>
  <c r="H41" i="1"/>
  <c r="W520" i="1"/>
  <c r="X520" i="1" s="1"/>
  <c r="T418" i="1"/>
  <c r="T642" i="1" s="1"/>
  <c r="T389" i="1"/>
  <c r="N389" i="1"/>
  <c r="N418" i="1"/>
  <c r="N642" i="1" s="1"/>
  <c r="G247" i="4"/>
  <c r="W130" i="1"/>
  <c r="X130" i="1" s="1"/>
  <c r="W122" i="1"/>
  <c r="X122" i="1" s="1"/>
  <c r="R367" i="4"/>
  <c r="K247" i="4"/>
  <c r="N247" i="4"/>
  <c r="H247" i="4"/>
  <c r="S247" i="4"/>
  <c r="S249" i="4" s="1"/>
  <c r="K367" i="4"/>
  <c r="I367" i="4"/>
  <c r="J367" i="4"/>
  <c r="F249" i="4"/>
  <c r="R247" i="4"/>
  <c r="H367" i="4"/>
  <c r="J247" i="4"/>
  <c r="W59" i="1"/>
  <c r="X59" i="1" s="1"/>
  <c r="T273" i="4"/>
  <c r="T287" i="4"/>
  <c r="H361" i="4"/>
  <c r="K361" i="4"/>
  <c r="N317" i="4"/>
  <c r="J273" i="4"/>
  <c r="W527" i="1"/>
  <c r="X527" i="1" s="1"/>
  <c r="R287" i="4"/>
  <c r="T361" i="4"/>
  <c r="J317" i="4"/>
  <c r="R317" i="4"/>
  <c r="G273" i="4"/>
  <c r="K287" i="4"/>
  <c r="J361" i="4"/>
  <c r="S291" i="4"/>
  <c r="G317" i="4"/>
  <c r="S273" i="4"/>
  <c r="J287" i="4"/>
  <c r="N361" i="4"/>
  <c r="S317" i="4"/>
  <c r="I273" i="4"/>
  <c r="N273" i="4"/>
  <c r="I287" i="4"/>
  <c r="G361" i="4"/>
  <c r="T317" i="4"/>
  <c r="K273" i="4"/>
  <c r="G287" i="4"/>
  <c r="I361" i="4"/>
  <c r="I317" i="4"/>
  <c r="H287" i="4"/>
  <c r="W112" i="1"/>
  <c r="X112" i="1" s="1"/>
  <c r="W117" i="1"/>
  <c r="X117" i="1" s="1"/>
  <c r="W631" i="1"/>
  <c r="X631" i="1" s="1"/>
  <c r="I522" i="1"/>
  <c r="F202" i="4" s="1"/>
  <c r="R202" i="4" s="1"/>
  <c r="V522" i="1"/>
  <c r="F234" i="4" s="1"/>
  <c r="G234" i="4" s="1"/>
  <c r="W519" i="1"/>
  <c r="X519" i="1" s="1"/>
  <c r="M626" i="1"/>
  <c r="N364" i="4"/>
  <c r="M105" i="1"/>
  <c r="M108" i="1" s="1"/>
  <c r="M113" i="1" s="1"/>
  <c r="I364" i="4"/>
  <c r="T522" i="1"/>
  <c r="F228" i="4" s="1"/>
  <c r="G228" i="4" s="1"/>
  <c r="G364" i="4"/>
  <c r="V108" i="1"/>
  <c r="V114" i="1" s="1"/>
  <c r="W39" i="1"/>
  <c r="X39" i="1" s="1"/>
  <c r="M288" i="1"/>
  <c r="T41" i="1"/>
  <c r="F41" i="4" s="1"/>
  <c r="T364" i="4"/>
  <c r="W106" i="1"/>
  <c r="X106" i="1" s="1"/>
  <c r="W131" i="1"/>
  <c r="X131" i="1" s="1"/>
  <c r="W60" i="1"/>
  <c r="X60" i="1" s="1"/>
  <c r="W623" i="1"/>
  <c r="X623" i="1" s="1"/>
  <c r="S364" i="4"/>
  <c r="J364" i="4"/>
  <c r="T108" i="1"/>
  <c r="T115" i="1" s="1"/>
  <c r="V41" i="1"/>
  <c r="H364" i="4"/>
  <c r="W517" i="1"/>
  <c r="X517" i="1" s="1"/>
  <c r="G345" i="4"/>
  <c r="M61" i="1"/>
  <c r="M628" i="1" s="1"/>
  <c r="W531" i="1"/>
  <c r="X531" i="1" s="1"/>
  <c r="S345" i="4"/>
  <c r="W37" i="1"/>
  <c r="X37" i="1" s="1"/>
  <c r="J345" i="4"/>
  <c r="W38" i="1"/>
  <c r="X38" i="1" s="1"/>
  <c r="R345" i="4"/>
  <c r="K345" i="4"/>
  <c r="T267" i="4"/>
  <c r="N345" i="4"/>
  <c r="W111" i="1"/>
  <c r="X111" i="1" s="1"/>
  <c r="W121" i="1"/>
  <c r="X121" i="1" s="1"/>
  <c r="U61" i="1"/>
  <c r="U628" i="1" s="1"/>
  <c r="O418" i="1"/>
  <c r="O642" i="1" s="1"/>
  <c r="U522" i="1"/>
  <c r="F231" i="4" s="1"/>
  <c r="T231" i="4" s="1"/>
  <c r="K291" i="4"/>
  <c r="L418" i="1"/>
  <c r="L642" i="1" s="1"/>
  <c r="I291" i="4"/>
  <c r="G291" i="4"/>
  <c r="F293" i="4"/>
  <c r="W518" i="1"/>
  <c r="X518" i="1" s="1"/>
  <c r="R291" i="4"/>
  <c r="T291" i="4"/>
  <c r="J291" i="4"/>
  <c r="H291" i="4"/>
  <c r="W129" i="1"/>
  <c r="X129" i="1" s="1"/>
  <c r="W529" i="1"/>
  <c r="X529" i="1" s="1"/>
  <c r="W639" i="1"/>
  <c r="X639" i="1" s="1"/>
  <c r="H522" i="1"/>
  <c r="F198" i="4" s="1"/>
  <c r="I418" i="1"/>
  <c r="I642" i="1" s="1"/>
  <c r="H418" i="1"/>
  <c r="H642" i="1" s="1"/>
  <c r="H460" i="1"/>
  <c r="H105" i="1"/>
  <c r="H108" i="1" s="1"/>
  <c r="H630" i="1" s="1"/>
  <c r="H626" i="1"/>
  <c r="H288" i="1"/>
  <c r="H480" i="4"/>
  <c r="J467" i="4"/>
  <c r="J495" i="4"/>
  <c r="J468" i="4"/>
  <c r="J477" i="4"/>
  <c r="J469" i="4"/>
  <c r="J475" i="4"/>
  <c r="K2" i="4"/>
  <c r="L2" i="4" s="1"/>
  <c r="L242" i="4" s="1"/>
  <c r="J466" i="4"/>
  <c r="J504" i="4"/>
  <c r="I529" i="4"/>
  <c r="I471" i="4"/>
  <c r="I478" i="4"/>
  <c r="T311" i="4"/>
  <c r="I286" i="4"/>
  <c r="G286" i="4"/>
  <c r="S286" i="4"/>
  <c r="K286" i="4"/>
  <c r="R286" i="4"/>
  <c r="T286" i="4"/>
  <c r="H286" i="4"/>
  <c r="J286" i="4"/>
  <c r="N286" i="4"/>
  <c r="N288" i="4" s="1"/>
  <c r="F288" i="4"/>
  <c r="G244" i="1"/>
  <c r="W233" i="1"/>
  <c r="T217" i="1"/>
  <c r="T246" i="1"/>
  <c r="W351" i="1"/>
  <c r="X351" i="1" s="1"/>
  <c r="X333" i="1"/>
  <c r="S330" i="4"/>
  <c r="T330" i="4"/>
  <c r="G330" i="4"/>
  <c r="K330" i="4"/>
  <c r="H330" i="4"/>
  <c r="I330" i="4"/>
  <c r="N330" i="4"/>
  <c r="R330" i="4"/>
  <c r="R332" i="4" s="1"/>
  <c r="F332" i="4"/>
  <c r="J330" i="4"/>
  <c r="U113" i="1"/>
  <c r="U116" i="1"/>
  <c r="U630" i="1"/>
  <c r="U115" i="1"/>
  <c r="U114" i="1"/>
  <c r="X161" i="1"/>
  <c r="W179" i="1"/>
  <c r="X179" i="1" s="1"/>
  <c r="G416" i="1"/>
  <c r="W405" i="1"/>
  <c r="I242" i="4"/>
  <c r="G242" i="4"/>
  <c r="S242" i="4"/>
  <c r="N242" i="4"/>
  <c r="J242" i="4"/>
  <c r="T242" i="4"/>
  <c r="K242" i="4"/>
  <c r="R242" i="4"/>
  <c r="H242" i="4"/>
  <c r="F244" i="4"/>
  <c r="L286" i="4" l="1"/>
  <c r="L563" i="4"/>
  <c r="L330" i="4"/>
  <c r="N249" i="4"/>
  <c r="I342" i="4"/>
  <c r="R116" i="1"/>
  <c r="K337" i="4"/>
  <c r="J337" i="4"/>
  <c r="G337" i="4"/>
  <c r="V63" i="1"/>
  <c r="V538" i="1" s="1"/>
  <c r="J254" i="4"/>
  <c r="K254" i="4"/>
  <c r="L476" i="4"/>
  <c r="L474" i="4"/>
  <c r="L203" i="4"/>
  <c r="F32" i="34"/>
  <c r="K249" i="4"/>
  <c r="I32" i="34"/>
  <c r="J32" i="34"/>
  <c r="K244" i="4"/>
  <c r="M32" i="34"/>
  <c r="E32" i="34"/>
  <c r="I249" i="4"/>
  <c r="I32" i="29"/>
  <c r="T337" i="4"/>
  <c r="W365" i="1"/>
  <c r="X365" i="1" s="1"/>
  <c r="G249" i="4"/>
  <c r="I32" i="27"/>
  <c r="J630" i="1"/>
  <c r="G63" i="1"/>
  <c r="G454" i="1" s="1"/>
  <c r="K246" i="1"/>
  <c r="K641" i="1" s="1"/>
  <c r="R114" i="1"/>
  <c r="R115" i="1"/>
  <c r="R113" i="1"/>
  <c r="R342" i="4"/>
  <c r="N342" i="4"/>
  <c r="Q630" i="1"/>
  <c r="Q115" i="1"/>
  <c r="Q114" i="1"/>
  <c r="Q116" i="1"/>
  <c r="J116" i="1"/>
  <c r="J114" i="1"/>
  <c r="M217" i="1"/>
  <c r="G342" i="4"/>
  <c r="T15" i="4"/>
  <c r="R15" i="4"/>
  <c r="J32" i="29"/>
  <c r="H342" i="4"/>
  <c r="N267" i="4"/>
  <c r="N298" i="4"/>
  <c r="T249" i="4"/>
  <c r="T342" i="4"/>
  <c r="S342" i="4"/>
  <c r="J342" i="4"/>
  <c r="R249" i="4"/>
  <c r="U246" i="1"/>
  <c r="U641" i="1" s="1"/>
  <c r="V246" i="1"/>
  <c r="V641" i="1" s="1"/>
  <c r="P116" i="1"/>
  <c r="I208" i="4"/>
  <c r="Q63" i="1"/>
  <c r="Q542" i="1" s="1"/>
  <c r="H217" i="1"/>
  <c r="T293" i="4"/>
  <c r="J249" i="4"/>
  <c r="P114" i="1"/>
  <c r="P113" i="1"/>
  <c r="G293" i="4"/>
  <c r="P630" i="1"/>
  <c r="S337" i="4"/>
  <c r="K298" i="4"/>
  <c r="R337" i="4"/>
  <c r="F32" i="27"/>
  <c r="K116" i="1"/>
  <c r="K115" i="1"/>
  <c r="K114" i="1"/>
  <c r="K113" i="1"/>
  <c r="K630" i="1"/>
  <c r="I337" i="4"/>
  <c r="I217" i="1"/>
  <c r="H337" i="4"/>
  <c r="T298" i="4"/>
  <c r="Q217" i="1"/>
  <c r="J113" i="1"/>
  <c r="J217" i="1"/>
  <c r="K221" i="4"/>
  <c r="F30" i="34" s="1"/>
  <c r="I332" i="4"/>
  <c r="L221" i="4"/>
  <c r="G221" i="4"/>
  <c r="F30" i="27" s="1"/>
  <c r="L246" i="1"/>
  <c r="L641" i="1" s="1"/>
  <c r="N221" i="4"/>
  <c r="J221" i="4"/>
  <c r="I221" i="4"/>
  <c r="S298" i="4"/>
  <c r="G254" i="4"/>
  <c r="F32" i="29"/>
  <c r="I298" i="4"/>
  <c r="J231" i="4"/>
  <c r="G208" i="4"/>
  <c r="C17" i="26"/>
  <c r="H208" i="4"/>
  <c r="H220" i="4"/>
  <c r="K220" i="4"/>
  <c r="R298" i="4"/>
  <c r="K293" i="4"/>
  <c r="J298" i="4"/>
  <c r="R254" i="4"/>
  <c r="N246" i="1"/>
  <c r="N641" i="1" s="1"/>
  <c r="I19" i="4"/>
  <c r="H293" i="4"/>
  <c r="L231" i="4"/>
  <c r="R246" i="1"/>
  <c r="R633" i="1" s="1"/>
  <c r="R19" i="4"/>
  <c r="K63" i="1"/>
  <c r="K97" i="1" s="1"/>
  <c r="W193" i="1"/>
  <c r="X193" i="1" s="1"/>
  <c r="T19" i="4"/>
  <c r="K19" i="4"/>
  <c r="H63" i="1"/>
  <c r="H457" i="1" s="1"/>
  <c r="G19" i="4"/>
  <c r="N19" i="4"/>
  <c r="H355" i="4"/>
  <c r="T212" i="4"/>
  <c r="J19" i="4"/>
  <c r="H19" i="4"/>
  <c r="H21" i="4" s="1"/>
  <c r="K355" i="4"/>
  <c r="L19" i="4"/>
  <c r="S254" i="4"/>
  <c r="N254" i="4"/>
  <c r="I114" i="1"/>
  <c r="I116" i="1"/>
  <c r="I630" i="1"/>
  <c r="S293" i="4"/>
  <c r="P217" i="1"/>
  <c r="R293" i="4"/>
  <c r="C18" i="26"/>
  <c r="N220" i="4"/>
  <c r="H254" i="4"/>
  <c r="G220" i="4"/>
  <c r="F10" i="4"/>
  <c r="T10" i="4" s="1"/>
  <c r="R355" i="4"/>
  <c r="H267" i="4"/>
  <c r="O217" i="1"/>
  <c r="L220" i="4"/>
  <c r="O116" i="1"/>
  <c r="I220" i="4"/>
  <c r="S203" i="4"/>
  <c r="H203" i="4"/>
  <c r="J30" i="29" s="1"/>
  <c r="S217" i="1"/>
  <c r="N203" i="4"/>
  <c r="N34" i="4"/>
  <c r="J203" i="4"/>
  <c r="I34" i="4"/>
  <c r="R203" i="4"/>
  <c r="R204" i="4" s="1"/>
  <c r="G203" i="4"/>
  <c r="J30" i="27" s="1"/>
  <c r="T203" i="4"/>
  <c r="J63" i="1"/>
  <c r="J459" i="1" s="1"/>
  <c r="I203" i="4"/>
  <c r="K203" i="4"/>
  <c r="J30" i="34" s="1"/>
  <c r="I254" i="4"/>
  <c r="N116" i="1"/>
  <c r="S355" i="4"/>
  <c r="N114" i="1"/>
  <c r="N115" i="1"/>
  <c r="H218" i="4"/>
  <c r="L30" i="29" s="1"/>
  <c r="F204" i="4"/>
  <c r="N231" i="4"/>
  <c r="K267" i="4"/>
  <c r="N244" i="4"/>
  <c r="T332" i="4"/>
  <c r="S630" i="1"/>
  <c r="L32" i="27"/>
  <c r="I15" i="4"/>
  <c r="N15" i="4"/>
  <c r="H15" i="4"/>
  <c r="J15" i="4"/>
  <c r="S15" i="4"/>
  <c r="S244" i="4"/>
  <c r="K15" i="4"/>
  <c r="L15" i="4"/>
  <c r="F16" i="4"/>
  <c r="K231" i="4"/>
  <c r="K34" i="4"/>
  <c r="R63" i="1"/>
  <c r="R455" i="1" s="1"/>
  <c r="G231" i="4"/>
  <c r="J34" i="4"/>
  <c r="S231" i="4"/>
  <c r="R231" i="4"/>
  <c r="I231" i="4"/>
  <c r="G34" i="4"/>
  <c r="H231" i="4"/>
  <c r="T14" i="4"/>
  <c r="L34" i="4"/>
  <c r="L115" i="1"/>
  <c r="F47" i="4"/>
  <c r="G47" i="4" s="1"/>
  <c r="T244" i="4"/>
  <c r="J311" i="4"/>
  <c r="G267" i="4"/>
  <c r="I267" i="4"/>
  <c r="S115" i="1"/>
  <c r="I115" i="1"/>
  <c r="S116" i="1"/>
  <c r="I355" i="4"/>
  <c r="S114" i="1"/>
  <c r="O63" i="1"/>
  <c r="O455" i="1" s="1"/>
  <c r="J332" i="4"/>
  <c r="J355" i="4"/>
  <c r="R208" i="4"/>
  <c r="H207" i="4"/>
  <c r="T208" i="4"/>
  <c r="H332" i="4"/>
  <c r="F209" i="4"/>
  <c r="T207" i="4"/>
  <c r="L32" i="29"/>
  <c r="V113" i="1"/>
  <c r="L208" i="4"/>
  <c r="G207" i="4"/>
  <c r="V630" i="1"/>
  <c r="J208" i="4"/>
  <c r="J209" i="4" s="1"/>
  <c r="K208" i="4"/>
  <c r="S288" i="4"/>
  <c r="N207" i="4"/>
  <c r="N208" i="4"/>
  <c r="S207" i="4"/>
  <c r="S209" i="4" s="1"/>
  <c r="K207" i="4"/>
  <c r="I207" i="4"/>
  <c r="R207" i="4"/>
  <c r="H228" i="4"/>
  <c r="J267" i="4"/>
  <c r="T20" i="4"/>
  <c r="I215" i="4"/>
  <c r="T219" i="4"/>
  <c r="S20" i="4"/>
  <c r="S21" i="4" s="1"/>
  <c r="E32" i="29"/>
  <c r="L114" i="1"/>
  <c r="F27" i="4"/>
  <c r="R27" i="4" s="1"/>
  <c r="L630" i="1"/>
  <c r="L113" i="1"/>
  <c r="K332" i="4"/>
  <c r="O115" i="1"/>
  <c r="O113" i="1"/>
  <c r="O114" i="1"/>
  <c r="J288" i="4"/>
  <c r="N332" i="4"/>
  <c r="G212" i="4"/>
  <c r="H219" i="4"/>
  <c r="E30" i="29" s="1"/>
  <c r="S228" i="4"/>
  <c r="G20" i="4"/>
  <c r="J20" i="4"/>
  <c r="R212" i="4"/>
  <c r="G219" i="4"/>
  <c r="E30" i="27" s="1"/>
  <c r="P63" i="1"/>
  <c r="P282" i="1" s="1"/>
  <c r="J228" i="4"/>
  <c r="R20" i="4"/>
  <c r="I219" i="4"/>
  <c r="R219" i="4"/>
  <c r="I228" i="4"/>
  <c r="K20" i="4"/>
  <c r="F21" i="4"/>
  <c r="J215" i="4"/>
  <c r="R215" i="4"/>
  <c r="J212" i="4"/>
  <c r="S212" i="4"/>
  <c r="K219" i="4"/>
  <c r="E30" i="34" s="1"/>
  <c r="L219" i="4"/>
  <c r="K228" i="4"/>
  <c r="L20" i="4"/>
  <c r="N212" i="4"/>
  <c r="D18" i="26"/>
  <c r="H212" i="4"/>
  <c r="N219" i="4"/>
  <c r="L228" i="4"/>
  <c r="N228" i="4"/>
  <c r="I20" i="4"/>
  <c r="H215" i="4"/>
  <c r="S215" i="4"/>
  <c r="R244" i="4"/>
  <c r="K212" i="4"/>
  <c r="S219" i="4"/>
  <c r="H249" i="4"/>
  <c r="R228" i="4"/>
  <c r="T228" i="4"/>
  <c r="N20" i="4"/>
  <c r="H288" i="4"/>
  <c r="K215" i="4"/>
  <c r="T215" i="4"/>
  <c r="G215" i="4"/>
  <c r="L212" i="4"/>
  <c r="L63" i="1"/>
  <c r="L541" i="1" s="1"/>
  <c r="F222" i="4"/>
  <c r="R218" i="4"/>
  <c r="U63" i="1"/>
  <c r="U97" i="1" s="1"/>
  <c r="W628" i="1"/>
  <c r="X628" i="1" s="1"/>
  <c r="M63" i="1"/>
  <c r="M282" i="1" s="1"/>
  <c r="G218" i="4"/>
  <c r="T218" i="4"/>
  <c r="R234" i="4"/>
  <c r="K218" i="4"/>
  <c r="L30" i="34" s="1"/>
  <c r="I218" i="4"/>
  <c r="L218" i="4"/>
  <c r="T234" i="4"/>
  <c r="S332" i="4"/>
  <c r="N218" i="4"/>
  <c r="I234" i="4"/>
  <c r="S218" i="4"/>
  <c r="W522" i="1"/>
  <c r="X522" i="1" s="1"/>
  <c r="S63" i="1"/>
  <c r="S285" i="1" s="1"/>
  <c r="R288" i="4"/>
  <c r="I288" i="4"/>
  <c r="N355" i="4"/>
  <c r="W626" i="1"/>
  <c r="X626" i="1" s="1"/>
  <c r="K202" i="4"/>
  <c r="N630" i="1"/>
  <c r="S234" i="4"/>
  <c r="G202" i="4"/>
  <c r="J234" i="4"/>
  <c r="N234" i="4"/>
  <c r="J202" i="4"/>
  <c r="K234" i="4"/>
  <c r="M115" i="1"/>
  <c r="L14" i="4"/>
  <c r="V116" i="1"/>
  <c r="T288" i="4"/>
  <c r="V115" i="1"/>
  <c r="W61" i="1"/>
  <c r="X61" i="1" s="1"/>
  <c r="G355" i="4"/>
  <c r="M114" i="1"/>
  <c r="T63" i="1"/>
  <c r="T459" i="1" s="1"/>
  <c r="R14" i="4"/>
  <c r="M630" i="1"/>
  <c r="J14" i="4"/>
  <c r="S14" i="4"/>
  <c r="W41" i="1"/>
  <c r="X41" i="1" s="1"/>
  <c r="T355" i="4"/>
  <c r="M116" i="1"/>
  <c r="I14" i="4"/>
  <c r="K14" i="4"/>
  <c r="G14" i="4"/>
  <c r="G16" i="4" s="1"/>
  <c r="I63" i="1"/>
  <c r="I537" i="1" s="1"/>
  <c r="E32" i="27"/>
  <c r="N14" i="4"/>
  <c r="K288" i="4"/>
  <c r="H14" i="4"/>
  <c r="D17" i="26"/>
  <c r="W460" i="1"/>
  <c r="X460" i="1" s="1"/>
  <c r="T630" i="1"/>
  <c r="W288" i="1"/>
  <c r="X288" i="1" s="1"/>
  <c r="H116" i="1"/>
  <c r="T114" i="1"/>
  <c r="T116" i="1"/>
  <c r="T113" i="1"/>
  <c r="S202" i="4"/>
  <c r="T202" i="4"/>
  <c r="H202" i="4"/>
  <c r="H234" i="4"/>
  <c r="I202" i="4"/>
  <c r="N202" i="4"/>
  <c r="N547" i="1"/>
  <c r="F439" i="4" s="1"/>
  <c r="H439" i="4" s="1"/>
  <c r="J293" i="4"/>
  <c r="N537" i="1"/>
  <c r="I293" i="4"/>
  <c r="J478" i="4"/>
  <c r="H115" i="1"/>
  <c r="W105" i="1"/>
  <c r="X105" i="1" s="1"/>
  <c r="H113" i="1"/>
  <c r="H114" i="1"/>
  <c r="N287" i="1"/>
  <c r="N457" i="1"/>
  <c r="N541" i="1"/>
  <c r="N283" i="1"/>
  <c r="N542" i="1"/>
  <c r="N97" i="1"/>
  <c r="N282" i="1"/>
  <c r="N454" i="1"/>
  <c r="N451" i="1"/>
  <c r="N459" i="1"/>
  <c r="N455" i="1"/>
  <c r="N279" i="1"/>
  <c r="N538" i="1"/>
  <c r="I198" i="4"/>
  <c r="H198" i="4"/>
  <c r="N198" i="4"/>
  <c r="S198" i="4"/>
  <c r="T198" i="4"/>
  <c r="G198" i="4"/>
  <c r="R198" i="4"/>
  <c r="J198" i="4"/>
  <c r="K198" i="4"/>
  <c r="J244" i="4"/>
  <c r="I244" i="4"/>
  <c r="I480" i="4"/>
  <c r="L468" i="4"/>
  <c r="L475" i="4"/>
  <c r="L495" i="4"/>
  <c r="M2" i="4"/>
  <c r="L504" i="4"/>
  <c r="L467" i="4"/>
  <c r="L469" i="4"/>
  <c r="L477" i="4"/>
  <c r="L466" i="4"/>
  <c r="L202" i="4"/>
  <c r="L345" i="4"/>
  <c r="L301" i="4"/>
  <c r="L309" i="4"/>
  <c r="L308" i="4"/>
  <c r="L331" i="4"/>
  <c r="L332" i="4" s="1"/>
  <c r="L243" i="4"/>
  <c r="L244" i="4" s="1"/>
  <c r="L287" i="4"/>
  <c r="L288" i="4" s="1"/>
  <c r="L253" i="4"/>
  <c r="L336" i="4"/>
  <c r="L248" i="4"/>
  <c r="L354" i="4"/>
  <c r="L234" i="4"/>
  <c r="L198" i="4"/>
  <c r="L265" i="4"/>
  <c r="L263" i="4"/>
  <c r="L276" i="4"/>
  <c r="L297" i="4"/>
  <c r="L292" i="4"/>
  <c r="L215" i="4"/>
  <c r="L279" i="4"/>
  <c r="L317" i="4"/>
  <c r="L247" i="4"/>
  <c r="L291" i="4"/>
  <c r="L361" i="4"/>
  <c r="L257" i="4"/>
  <c r="L307" i="4"/>
  <c r="L320" i="4"/>
  <c r="L264" i="4"/>
  <c r="L352" i="4"/>
  <c r="L266" i="4"/>
  <c r="L310" i="4"/>
  <c r="L296" i="4"/>
  <c r="L340" i="4"/>
  <c r="L323" i="4"/>
  <c r="L353" i="4"/>
  <c r="L273" i="4"/>
  <c r="L335" i="4"/>
  <c r="L351" i="4"/>
  <c r="L364" i="4"/>
  <c r="L341" i="4"/>
  <c r="L207" i="4"/>
  <c r="L252" i="4"/>
  <c r="L367" i="4"/>
  <c r="L348" i="4"/>
  <c r="L260" i="4"/>
  <c r="L304" i="4"/>
  <c r="J529" i="4"/>
  <c r="J471" i="4"/>
  <c r="Q641" i="1"/>
  <c r="Q633" i="1"/>
  <c r="J633" i="1"/>
  <c r="J641" i="1"/>
  <c r="W215" i="1"/>
  <c r="X215" i="1" s="1"/>
  <c r="G246" i="1"/>
  <c r="G217" i="1"/>
  <c r="X405" i="1"/>
  <c r="W416" i="1"/>
  <c r="K44" i="4"/>
  <c r="S44" i="4"/>
  <c r="T44" i="4"/>
  <c r="H44" i="4"/>
  <c r="I44" i="4"/>
  <c r="N44" i="4"/>
  <c r="G44" i="4"/>
  <c r="R44" i="4"/>
  <c r="J44" i="4"/>
  <c r="L44" i="4"/>
  <c r="T41" i="4"/>
  <c r="K41" i="4"/>
  <c r="J41" i="4"/>
  <c r="R41" i="4"/>
  <c r="I41" i="4"/>
  <c r="S41" i="4"/>
  <c r="H41" i="4"/>
  <c r="N41" i="4"/>
  <c r="G41" i="4"/>
  <c r="L41" i="4"/>
  <c r="J24" i="4"/>
  <c r="G24" i="4"/>
  <c r="H24" i="4"/>
  <c r="M24" i="4"/>
  <c r="S24" i="4"/>
  <c r="T24" i="4"/>
  <c r="N24" i="4"/>
  <c r="K24" i="4"/>
  <c r="L24" i="4"/>
  <c r="R24" i="4"/>
  <c r="I24" i="4"/>
  <c r="G332" i="4"/>
  <c r="G630" i="1"/>
  <c r="G116" i="1"/>
  <c r="G115" i="1"/>
  <c r="G113" i="1"/>
  <c r="G114" i="1"/>
  <c r="W108" i="1"/>
  <c r="H641" i="1"/>
  <c r="H633" i="1"/>
  <c r="M633" i="1"/>
  <c r="M641" i="1"/>
  <c r="S633" i="1"/>
  <c r="S641" i="1"/>
  <c r="G288" i="4"/>
  <c r="I9" i="4"/>
  <c r="S9" i="4"/>
  <c r="H9" i="4"/>
  <c r="K9" i="4"/>
  <c r="N9" i="4"/>
  <c r="T9" i="4"/>
  <c r="G9" i="4"/>
  <c r="R9" i="4"/>
  <c r="J9" i="4"/>
  <c r="L9" i="4"/>
  <c r="M9" i="4"/>
  <c r="J197" i="4"/>
  <c r="L197" i="4"/>
  <c r="I197" i="4"/>
  <c r="G197" i="4"/>
  <c r="T197" i="4"/>
  <c r="R197" i="4"/>
  <c r="S197" i="4"/>
  <c r="H197" i="4"/>
  <c r="N197" i="4"/>
  <c r="K197" i="4"/>
  <c r="F199" i="4"/>
  <c r="F281" i="4"/>
  <c r="H244" i="4"/>
  <c r="M32" i="29"/>
  <c r="G244" i="4"/>
  <c r="M32" i="27"/>
  <c r="G418" i="1"/>
  <c r="G389" i="1"/>
  <c r="W389" i="1" s="1"/>
  <c r="X389" i="1" s="1"/>
  <c r="P641" i="1"/>
  <c r="P633" i="1"/>
  <c r="O641" i="1"/>
  <c r="O633" i="1"/>
  <c r="H612" i="4"/>
  <c r="O635" i="4"/>
  <c r="O612" i="4" s="1"/>
  <c r="J612" i="4"/>
  <c r="M635" i="4"/>
  <c r="M612" i="4" s="1"/>
  <c r="P635" i="4"/>
  <c r="P612" i="4" s="1"/>
  <c r="L612" i="4"/>
  <c r="K612" i="4"/>
  <c r="Q635" i="4"/>
  <c r="Q612" i="4" s="1"/>
  <c r="N635" i="4"/>
  <c r="I612" i="4"/>
  <c r="G33" i="4"/>
  <c r="H33" i="4"/>
  <c r="L33" i="4"/>
  <c r="N33" i="4"/>
  <c r="K33" i="4"/>
  <c r="I33" i="4"/>
  <c r="J33" i="4"/>
  <c r="M33" i="4"/>
  <c r="F35" i="4"/>
  <c r="T31" i="4"/>
  <c r="S31" i="4"/>
  <c r="H31" i="4"/>
  <c r="R31" i="4"/>
  <c r="L31" i="4"/>
  <c r="N31" i="4"/>
  <c r="J31" i="4"/>
  <c r="I31" i="4"/>
  <c r="K31" i="4"/>
  <c r="G31" i="4"/>
  <c r="K32" i="4"/>
  <c r="R32" i="4"/>
  <c r="G32" i="4"/>
  <c r="S32" i="4"/>
  <c r="M32" i="4"/>
  <c r="J32" i="4"/>
  <c r="H32" i="4"/>
  <c r="I32" i="4"/>
  <c r="T32" i="4"/>
  <c r="N32" i="4"/>
  <c r="L32" i="4"/>
  <c r="F369" i="4"/>
  <c r="T633" i="1"/>
  <c r="T641" i="1"/>
  <c r="I633" i="1"/>
  <c r="I641" i="1"/>
  <c r="W244" i="1"/>
  <c r="X244" i="1" s="1"/>
  <c r="X233" i="1"/>
  <c r="F325" i="4"/>
  <c r="M44" i="4" l="1"/>
  <c r="M563" i="4"/>
  <c r="U563" i="4" s="1"/>
  <c r="V563" i="4" s="1"/>
  <c r="M41" i="4"/>
  <c r="M31" i="4"/>
  <c r="U31" i="4" s="1"/>
  <c r="V31" i="4" s="1"/>
  <c r="M197" i="4"/>
  <c r="U197" i="4" s="1"/>
  <c r="V197" i="4" s="1"/>
  <c r="I565" i="4"/>
  <c r="N37" i="29"/>
  <c r="H565" i="4"/>
  <c r="L633" i="1"/>
  <c r="V287" i="1"/>
  <c r="V283" i="1"/>
  <c r="V455" i="1"/>
  <c r="V541" i="1"/>
  <c r="V279" i="1"/>
  <c r="V457" i="1"/>
  <c r="V547" i="1"/>
  <c r="F458" i="4" s="1"/>
  <c r="K458" i="4" s="1"/>
  <c r="V282" i="1"/>
  <c r="V451" i="1"/>
  <c r="V97" i="1"/>
  <c r="V542" i="1"/>
  <c r="V454" i="1"/>
  <c r="V459" i="1"/>
  <c r="V285" i="1"/>
  <c r="V633" i="1"/>
  <c r="W387" i="1"/>
  <c r="X387" i="1" s="1"/>
  <c r="G283" i="1"/>
  <c r="Q459" i="1"/>
  <c r="Q285" i="1"/>
  <c r="K633" i="1"/>
  <c r="G541" i="1"/>
  <c r="G547" i="1"/>
  <c r="F421" i="4" s="1"/>
  <c r="G282" i="1"/>
  <c r="N21" i="4"/>
  <c r="K30" i="27"/>
  <c r="I30" i="34"/>
  <c r="M476" i="4"/>
  <c r="U476" i="4" s="1"/>
  <c r="V476" i="4" s="1"/>
  <c r="M474" i="4"/>
  <c r="U474" i="4" s="1"/>
  <c r="I30" i="29"/>
  <c r="M30" i="34"/>
  <c r="K30" i="34"/>
  <c r="I30" i="27"/>
  <c r="D15" i="26"/>
  <c r="K30" i="29"/>
  <c r="G537" i="1"/>
  <c r="G538" i="1"/>
  <c r="G279" i="1"/>
  <c r="G285" i="1"/>
  <c r="G542" i="1"/>
  <c r="G451" i="1"/>
  <c r="G455" i="1"/>
  <c r="G287" i="1"/>
  <c r="G97" i="1"/>
  <c r="G459" i="1"/>
  <c r="G457" i="1"/>
  <c r="U633" i="1"/>
  <c r="K204" i="4"/>
  <c r="T16" i="4"/>
  <c r="R16" i="4"/>
  <c r="Q454" i="1"/>
  <c r="S537" i="1"/>
  <c r="Q541" i="1"/>
  <c r="Q455" i="1"/>
  <c r="Q279" i="1"/>
  <c r="Q282" i="1"/>
  <c r="Q457" i="1"/>
  <c r="Q538" i="1"/>
  <c r="Q287" i="1"/>
  <c r="Q283" i="1"/>
  <c r="Q451" i="1"/>
  <c r="Q547" i="1"/>
  <c r="F444" i="4" s="1"/>
  <c r="G444" i="4" s="1"/>
  <c r="Q97" i="1"/>
  <c r="G209" i="4"/>
  <c r="S16" i="4"/>
  <c r="R21" i="4"/>
  <c r="J287" i="1"/>
  <c r="G204" i="4"/>
  <c r="J222" i="4"/>
  <c r="E17" i="26"/>
  <c r="J457" i="1"/>
  <c r="I47" i="4"/>
  <c r="J537" i="1"/>
  <c r="J97" i="1"/>
  <c r="J547" i="1"/>
  <c r="F427" i="4" s="1"/>
  <c r="R427" i="4" s="1"/>
  <c r="J454" i="1"/>
  <c r="H285" i="1"/>
  <c r="H455" i="1"/>
  <c r="H542" i="1"/>
  <c r="H282" i="1"/>
  <c r="H541" i="1"/>
  <c r="H459" i="1"/>
  <c r="H454" i="1"/>
  <c r="H538" i="1"/>
  <c r="H451" i="1"/>
  <c r="H287" i="1"/>
  <c r="H537" i="1"/>
  <c r="H283" i="1"/>
  <c r="H97" i="1"/>
  <c r="H279" i="1"/>
  <c r="L21" i="4"/>
  <c r="H547" i="1"/>
  <c r="F422" i="4" s="1"/>
  <c r="H422" i="4" s="1"/>
  <c r="H209" i="4"/>
  <c r="N633" i="1"/>
  <c r="J21" i="4"/>
  <c r="J285" i="1"/>
  <c r="J451" i="1"/>
  <c r="J279" i="1"/>
  <c r="J282" i="1"/>
  <c r="J542" i="1"/>
  <c r="J283" i="1"/>
  <c r="J455" i="1"/>
  <c r="J538" i="1"/>
  <c r="N47" i="4"/>
  <c r="J541" i="1"/>
  <c r="I21" i="4"/>
  <c r="T21" i="4"/>
  <c r="I16" i="4"/>
  <c r="N204" i="4"/>
  <c r="N16" i="4"/>
  <c r="M537" i="1"/>
  <c r="W217" i="1"/>
  <c r="X217" i="1" s="1"/>
  <c r="K209" i="4"/>
  <c r="M457" i="1"/>
  <c r="K21" i="4"/>
  <c r="R641" i="1"/>
  <c r="R278" i="1" s="1"/>
  <c r="R454" i="1"/>
  <c r="I222" i="4"/>
  <c r="K538" i="1"/>
  <c r="K287" i="1"/>
  <c r="K457" i="1"/>
  <c r="K282" i="1"/>
  <c r="K451" i="1"/>
  <c r="K279" i="1"/>
  <c r="K542" i="1"/>
  <c r="K283" i="1"/>
  <c r="K455" i="1"/>
  <c r="K285" i="1"/>
  <c r="K547" i="1"/>
  <c r="F431" i="4" s="1"/>
  <c r="L431" i="4" s="1"/>
  <c r="K541" i="1"/>
  <c r="K454" i="1"/>
  <c r="K459" i="1"/>
  <c r="K537" i="1"/>
  <c r="S283" i="1"/>
  <c r="K16" i="4"/>
  <c r="S204" i="4"/>
  <c r="G21" i="4"/>
  <c r="T457" i="1"/>
  <c r="E18" i="26"/>
  <c r="S279" i="1"/>
  <c r="S282" i="1"/>
  <c r="S541" i="1"/>
  <c r="S455" i="1"/>
  <c r="S457" i="1"/>
  <c r="S451" i="1"/>
  <c r="S454" i="1"/>
  <c r="T222" i="4"/>
  <c r="S287" i="1"/>
  <c r="S97" i="1"/>
  <c r="S547" i="1"/>
  <c r="F449" i="4" s="1"/>
  <c r="H449" i="4" s="1"/>
  <c r="S542" i="1"/>
  <c r="S459" i="1"/>
  <c r="F11" i="4"/>
  <c r="F49" i="4" s="1"/>
  <c r="N10" i="4"/>
  <c r="N11" i="4" s="1"/>
  <c r="H10" i="4"/>
  <c r="H11" i="4" s="1"/>
  <c r="T204" i="4"/>
  <c r="J10" i="4"/>
  <c r="J11" i="4" s="1"/>
  <c r="K10" i="4"/>
  <c r="K11" i="4" s="1"/>
  <c r="L16" i="4"/>
  <c r="G10" i="4"/>
  <c r="G11" i="4" s="1"/>
  <c r="I10" i="4"/>
  <c r="M10" i="4"/>
  <c r="M11" i="4" s="1"/>
  <c r="S10" i="4"/>
  <c r="S11" i="4" s="1"/>
  <c r="R10" i="4"/>
  <c r="R11" i="4" s="1"/>
  <c r="L10" i="4"/>
  <c r="L11" i="4" s="1"/>
  <c r="U537" i="1"/>
  <c r="R541" i="1"/>
  <c r="L542" i="1"/>
  <c r="R279" i="1"/>
  <c r="R287" i="1"/>
  <c r="L279" i="1"/>
  <c r="R97" i="1"/>
  <c r="R459" i="1"/>
  <c r="L538" i="1"/>
  <c r="T537" i="1"/>
  <c r="R285" i="1"/>
  <c r="J16" i="4"/>
  <c r="R457" i="1"/>
  <c r="R547" i="1"/>
  <c r="F445" i="4" s="1"/>
  <c r="I445" i="4" s="1"/>
  <c r="L451" i="1"/>
  <c r="R282" i="1"/>
  <c r="L459" i="1"/>
  <c r="L455" i="1"/>
  <c r="R538" i="1"/>
  <c r="R542" i="1"/>
  <c r="R451" i="1"/>
  <c r="R283" i="1"/>
  <c r="L287" i="1"/>
  <c r="P287" i="1"/>
  <c r="P455" i="1"/>
  <c r="I285" i="1"/>
  <c r="J27" i="4"/>
  <c r="I455" i="1"/>
  <c r="I27" i="4"/>
  <c r="K27" i="4"/>
  <c r="H16" i="4"/>
  <c r="O459" i="1"/>
  <c r="G27" i="4"/>
  <c r="O285" i="1"/>
  <c r="L27" i="4"/>
  <c r="H27" i="4"/>
  <c r="S27" i="4"/>
  <c r="N27" i="4"/>
  <c r="S538" i="1"/>
  <c r="T27" i="4"/>
  <c r="I459" i="1"/>
  <c r="K47" i="4"/>
  <c r="R47" i="4"/>
  <c r="I538" i="1"/>
  <c r="I287" i="1"/>
  <c r="L47" i="4"/>
  <c r="I283" i="1"/>
  <c r="M47" i="4"/>
  <c r="S47" i="4"/>
  <c r="I457" i="1"/>
  <c r="J47" i="4"/>
  <c r="H47" i="4"/>
  <c r="T47" i="4"/>
  <c r="I282" i="1"/>
  <c r="I547" i="1"/>
  <c r="F426" i="4" s="1"/>
  <c r="G426" i="4" s="1"/>
  <c r="I209" i="4"/>
  <c r="U542" i="1"/>
  <c r="U287" i="1"/>
  <c r="T209" i="4"/>
  <c r="U541" i="1"/>
  <c r="I97" i="1"/>
  <c r="I279" i="1"/>
  <c r="N209" i="4"/>
  <c r="S222" i="4"/>
  <c r="M459" i="1"/>
  <c r="M541" i="1"/>
  <c r="O547" i="1"/>
  <c r="F442" i="4" s="1"/>
  <c r="L442" i="4" s="1"/>
  <c r="O538" i="1"/>
  <c r="M451" i="1"/>
  <c r="M454" i="1"/>
  <c r="O451" i="1"/>
  <c r="O537" i="1"/>
  <c r="M547" i="1"/>
  <c r="F436" i="4" s="1"/>
  <c r="S436" i="4" s="1"/>
  <c r="M455" i="1"/>
  <c r="O287" i="1"/>
  <c r="O97" i="1"/>
  <c r="M97" i="1"/>
  <c r="M542" i="1"/>
  <c r="O542" i="1"/>
  <c r="O283" i="1"/>
  <c r="M283" i="1"/>
  <c r="M279" i="1"/>
  <c r="O279" i="1"/>
  <c r="O541" i="1"/>
  <c r="M538" i="1"/>
  <c r="M285" i="1"/>
  <c r="M439" i="4"/>
  <c r="O282" i="1"/>
  <c r="O454" i="1"/>
  <c r="M287" i="1"/>
  <c r="S439" i="4"/>
  <c r="O457" i="1"/>
  <c r="N222" i="4"/>
  <c r="L454" i="1"/>
  <c r="L457" i="1"/>
  <c r="L537" i="1"/>
  <c r="L547" i="1"/>
  <c r="F432" i="4" s="1"/>
  <c r="L97" i="1"/>
  <c r="L285" i="1"/>
  <c r="L283" i="1"/>
  <c r="L282" i="1"/>
  <c r="G222" i="4"/>
  <c r="T11" i="4"/>
  <c r="L222" i="4"/>
  <c r="R209" i="4"/>
  <c r="U285" i="1"/>
  <c r="U451" i="1"/>
  <c r="U283" i="1"/>
  <c r="U455" i="1"/>
  <c r="U282" i="1"/>
  <c r="U457" i="1"/>
  <c r="U538" i="1"/>
  <c r="U459" i="1"/>
  <c r="H222" i="4"/>
  <c r="U279" i="1"/>
  <c r="U547" i="1"/>
  <c r="F455" i="4" s="1"/>
  <c r="L455" i="4" s="1"/>
  <c r="U454" i="1"/>
  <c r="P537" i="1"/>
  <c r="P285" i="1"/>
  <c r="P279" i="1"/>
  <c r="P457" i="1"/>
  <c r="P451" i="1"/>
  <c r="P547" i="1"/>
  <c r="F443" i="4" s="1"/>
  <c r="R443" i="4" s="1"/>
  <c r="P542" i="1"/>
  <c r="P541" i="1"/>
  <c r="P454" i="1"/>
  <c r="P97" i="1"/>
  <c r="P538" i="1"/>
  <c r="P283" i="1"/>
  <c r="P459" i="1"/>
  <c r="K222" i="4"/>
  <c r="R222" i="4"/>
  <c r="L30" i="27"/>
  <c r="W114" i="1"/>
  <c r="X114" i="1" s="1"/>
  <c r="T541" i="1"/>
  <c r="J204" i="4"/>
  <c r="V537" i="1"/>
  <c r="T285" i="1"/>
  <c r="T542" i="1"/>
  <c r="T283" i="1"/>
  <c r="T279" i="1"/>
  <c r="T455" i="1"/>
  <c r="T454" i="1"/>
  <c r="T451" i="1"/>
  <c r="T282" i="1"/>
  <c r="W63" i="1"/>
  <c r="X63" i="1" s="1"/>
  <c r="T287" i="1"/>
  <c r="T547" i="1"/>
  <c r="F452" i="4" s="1"/>
  <c r="K452" i="4" s="1"/>
  <c r="T65" i="1"/>
  <c r="T97" i="1"/>
  <c r="T538" i="1"/>
  <c r="W115" i="1"/>
  <c r="X115" i="1" s="1"/>
  <c r="W630" i="1"/>
  <c r="X630" i="1" s="1"/>
  <c r="I541" i="1"/>
  <c r="I454" i="1"/>
  <c r="I451" i="1"/>
  <c r="K199" i="4"/>
  <c r="I542" i="1"/>
  <c r="I439" i="4"/>
  <c r="J439" i="4"/>
  <c r="W116" i="1"/>
  <c r="X116" i="1" s="1"/>
  <c r="T199" i="4"/>
  <c r="N439" i="4"/>
  <c r="K439" i="4"/>
  <c r="G439" i="4"/>
  <c r="T439" i="4"/>
  <c r="R439" i="4"/>
  <c r="L439" i="4"/>
  <c r="W113" i="1"/>
  <c r="X113" i="1" s="1"/>
  <c r="R199" i="4"/>
  <c r="H204" i="4"/>
  <c r="I204" i="4"/>
  <c r="N199" i="4"/>
  <c r="L199" i="4"/>
  <c r="J480" i="4"/>
  <c r="S199" i="4"/>
  <c r="J199" i="4"/>
  <c r="I199" i="4"/>
  <c r="J562" i="4"/>
  <c r="L254" i="4"/>
  <c r="L355" i="4"/>
  <c r="L298" i="4"/>
  <c r="L311" i="4"/>
  <c r="L249" i="4"/>
  <c r="L204" i="4"/>
  <c r="L529" i="4"/>
  <c r="L471" i="4"/>
  <c r="L209" i="4"/>
  <c r="L337" i="4"/>
  <c r="L342" i="4"/>
  <c r="L293" i="4"/>
  <c r="L267" i="4"/>
  <c r="M495" i="4"/>
  <c r="U495" i="4" s="1"/>
  <c r="V495" i="4" s="1"/>
  <c r="M467" i="4"/>
  <c r="U467" i="4" s="1"/>
  <c r="V467" i="4" s="1"/>
  <c r="N2" i="4"/>
  <c r="O2" i="4" s="1"/>
  <c r="O563" i="4" s="1"/>
  <c r="M475" i="4"/>
  <c r="U475" i="4" s="1"/>
  <c r="V475" i="4" s="1"/>
  <c r="M504" i="4"/>
  <c r="U504" i="4" s="1"/>
  <c r="V504" i="4" s="1"/>
  <c r="M466" i="4"/>
  <c r="M477" i="4"/>
  <c r="U477" i="4" s="1"/>
  <c r="V477" i="4" s="1"/>
  <c r="M279" i="4"/>
  <c r="U279" i="4" s="1"/>
  <c r="V279" i="4" s="1"/>
  <c r="M247" i="4"/>
  <c r="M291" i="4"/>
  <c r="M301" i="4"/>
  <c r="U301" i="4" s="1"/>
  <c r="V301" i="4" s="1"/>
  <c r="M361" i="4"/>
  <c r="U361" i="4" s="1"/>
  <c r="V361" i="4" s="1"/>
  <c r="M257" i="4"/>
  <c r="U257" i="4" s="1"/>
  <c r="V257" i="4" s="1"/>
  <c r="M308" i="4"/>
  <c r="U308" i="4" s="1"/>
  <c r="V308" i="4" s="1"/>
  <c r="M331" i="4"/>
  <c r="U331" i="4" s="1"/>
  <c r="V331" i="4" s="1"/>
  <c r="M307" i="4"/>
  <c r="M287" i="4"/>
  <c r="U287" i="4" s="1"/>
  <c r="V287" i="4" s="1"/>
  <c r="M352" i="4"/>
  <c r="U352" i="4" s="1"/>
  <c r="V352" i="4" s="1"/>
  <c r="M253" i="4"/>
  <c r="U253" i="4" s="1"/>
  <c r="V253" i="4" s="1"/>
  <c r="M336" i="4"/>
  <c r="U336" i="4" s="1"/>
  <c r="V336" i="4" s="1"/>
  <c r="M266" i="4"/>
  <c r="M296" i="4"/>
  <c r="M340" i="4"/>
  <c r="M234" i="4"/>
  <c r="U234" i="4" s="1"/>
  <c r="V234" i="4" s="1"/>
  <c r="M353" i="4"/>
  <c r="M198" i="4"/>
  <c r="M273" i="4"/>
  <c r="U273" i="4" s="1"/>
  <c r="V273" i="4" s="1"/>
  <c r="M263" i="4"/>
  <c r="U263" i="4" s="1"/>
  <c r="V263" i="4" s="1"/>
  <c r="M351" i="4"/>
  <c r="M297" i="4"/>
  <c r="U297" i="4" s="1"/>
  <c r="V297" i="4" s="1"/>
  <c r="M207" i="4"/>
  <c r="U207" i="4" s="1"/>
  <c r="V207" i="4" s="1"/>
  <c r="M367" i="4"/>
  <c r="U367" i="4" s="1"/>
  <c r="V367" i="4" s="1"/>
  <c r="M215" i="4"/>
  <c r="U215" i="4" s="1"/>
  <c r="V215" i="4" s="1"/>
  <c r="M260" i="4"/>
  <c r="U260" i="4" s="1"/>
  <c r="V260" i="4" s="1"/>
  <c r="M317" i="4"/>
  <c r="U317" i="4" s="1"/>
  <c r="V317" i="4" s="1"/>
  <c r="M202" i="4"/>
  <c r="M345" i="4"/>
  <c r="U345" i="4" s="1"/>
  <c r="V345" i="4" s="1"/>
  <c r="M309" i="4"/>
  <c r="M320" i="4"/>
  <c r="U320" i="4" s="1"/>
  <c r="V320" i="4" s="1"/>
  <c r="M243" i="4"/>
  <c r="U243" i="4" s="1"/>
  <c r="V243" i="4" s="1"/>
  <c r="M264" i="4"/>
  <c r="U264" i="4" s="1"/>
  <c r="V264" i="4" s="1"/>
  <c r="M248" i="4"/>
  <c r="U248" i="4" s="1"/>
  <c r="V248" i="4" s="1"/>
  <c r="M354" i="4"/>
  <c r="M310" i="4"/>
  <c r="M323" i="4"/>
  <c r="U323" i="4" s="1"/>
  <c r="V323" i="4" s="1"/>
  <c r="M265" i="4"/>
  <c r="M335" i="4"/>
  <c r="M364" i="4"/>
  <c r="U364" i="4" s="1"/>
  <c r="V364" i="4" s="1"/>
  <c r="M276" i="4"/>
  <c r="U276" i="4" s="1"/>
  <c r="V276" i="4" s="1"/>
  <c r="M341" i="4"/>
  <c r="U341" i="4" s="1"/>
  <c r="V341" i="4" s="1"/>
  <c r="M292" i="4"/>
  <c r="U292" i="4" s="1"/>
  <c r="V292" i="4" s="1"/>
  <c r="M252" i="4"/>
  <c r="M348" i="4"/>
  <c r="U348" i="4" s="1"/>
  <c r="V348" i="4" s="1"/>
  <c r="M304" i="4"/>
  <c r="U304" i="4" s="1"/>
  <c r="V304" i="4" s="1"/>
  <c r="M34" i="4"/>
  <c r="M203" i="4"/>
  <c r="U203" i="4" s="1"/>
  <c r="V203" i="4" s="1"/>
  <c r="M231" i="4"/>
  <c r="U231" i="4" s="1"/>
  <c r="V231" i="4" s="1"/>
  <c r="M15" i="4"/>
  <c r="U15" i="4" s="1"/>
  <c r="V15" i="4" s="1"/>
  <c r="M221" i="4"/>
  <c r="M219" i="4"/>
  <c r="U219" i="4" s="1"/>
  <c r="V219" i="4" s="1"/>
  <c r="M220" i="4"/>
  <c r="M208" i="4"/>
  <c r="M212" i="4"/>
  <c r="U212" i="4" s="1"/>
  <c r="V212" i="4" s="1"/>
  <c r="M242" i="4"/>
  <c r="M19" i="4"/>
  <c r="M286" i="4"/>
  <c r="M20" i="4"/>
  <c r="U20" i="4" s="1"/>
  <c r="V20" i="4" s="1"/>
  <c r="M14" i="4"/>
  <c r="M218" i="4"/>
  <c r="M228" i="4"/>
  <c r="U228" i="4" s="1"/>
  <c r="V228" i="4" s="1"/>
  <c r="M330" i="4"/>
  <c r="M27" i="4"/>
  <c r="L478" i="4"/>
  <c r="I286" i="1"/>
  <c r="I448" i="1"/>
  <c r="I277" i="1"/>
  <c r="I449" i="1"/>
  <c r="I284" i="1"/>
  <c r="I453" i="1"/>
  <c r="I275" i="1"/>
  <c r="I456" i="1"/>
  <c r="I450" i="1"/>
  <c r="I281" i="1"/>
  <c r="I278" i="1"/>
  <c r="I280" i="1"/>
  <c r="I452" i="1"/>
  <c r="I447" i="1"/>
  <c r="I276" i="1"/>
  <c r="I458" i="1"/>
  <c r="T450" i="1"/>
  <c r="T278" i="1"/>
  <c r="T276" i="1"/>
  <c r="T452" i="1"/>
  <c r="T448" i="1"/>
  <c r="T458" i="1"/>
  <c r="T281" i="1"/>
  <c r="T456" i="1"/>
  <c r="T286" i="1"/>
  <c r="T277" i="1"/>
  <c r="T453" i="1"/>
  <c r="T447" i="1"/>
  <c r="T449" i="1"/>
  <c r="T275" i="1"/>
  <c r="T280" i="1"/>
  <c r="T284" i="1"/>
  <c r="K276" i="1"/>
  <c r="K450" i="1"/>
  <c r="K281" i="1"/>
  <c r="K456" i="1"/>
  <c r="K452" i="1"/>
  <c r="K447" i="1"/>
  <c r="K277" i="1"/>
  <c r="K284" i="1"/>
  <c r="K286" i="1"/>
  <c r="K448" i="1"/>
  <c r="K280" i="1"/>
  <c r="K453" i="1"/>
  <c r="K458" i="1"/>
  <c r="K275" i="1"/>
  <c r="K278" i="1"/>
  <c r="K449" i="1"/>
  <c r="G35" i="4"/>
  <c r="K314" i="4"/>
  <c r="K325" i="4" s="1"/>
  <c r="K225" i="4"/>
  <c r="G30" i="34" s="1"/>
  <c r="H30" i="34" s="1"/>
  <c r="K358" i="4"/>
  <c r="K369" i="4" s="1"/>
  <c r="K270" i="4"/>
  <c r="K38" i="4"/>
  <c r="J225" i="4"/>
  <c r="J270" i="4"/>
  <c r="J314" i="4"/>
  <c r="J325" i="4" s="1"/>
  <c r="J358" i="4"/>
  <c r="J369" i="4" s="1"/>
  <c r="J38" i="4"/>
  <c r="U635" i="4"/>
  <c r="V635" i="4" s="1"/>
  <c r="G612" i="4"/>
  <c r="P458" i="1"/>
  <c r="P281" i="1"/>
  <c r="P452" i="1"/>
  <c r="P278" i="1"/>
  <c r="P453" i="1"/>
  <c r="P456" i="1"/>
  <c r="P450" i="1"/>
  <c r="P280" i="1"/>
  <c r="P286" i="1"/>
  <c r="P277" i="1"/>
  <c r="P447" i="1"/>
  <c r="P275" i="1"/>
  <c r="P284" i="1"/>
  <c r="P276" i="1"/>
  <c r="P449" i="1"/>
  <c r="P448" i="1"/>
  <c r="F485" i="4"/>
  <c r="F236" i="4"/>
  <c r="U9" i="4"/>
  <c r="V9" i="4" s="1"/>
  <c r="S284" i="1"/>
  <c r="S450" i="1"/>
  <c r="S453" i="1"/>
  <c r="S280" i="1"/>
  <c r="S277" i="1"/>
  <c r="S286" i="1"/>
  <c r="S456" i="1"/>
  <c r="S458" i="1"/>
  <c r="S448" i="1"/>
  <c r="S449" i="1"/>
  <c r="S276" i="1"/>
  <c r="S275" i="1"/>
  <c r="S447" i="1"/>
  <c r="S278" i="1"/>
  <c r="S281" i="1"/>
  <c r="S452" i="1"/>
  <c r="L284" i="1"/>
  <c r="L453" i="1"/>
  <c r="L281" i="1"/>
  <c r="L280" i="1"/>
  <c r="L277" i="1"/>
  <c r="L448" i="1"/>
  <c r="L447" i="1"/>
  <c r="L275" i="1"/>
  <c r="L286" i="1"/>
  <c r="L449" i="1"/>
  <c r="L276" i="1"/>
  <c r="L450" i="1"/>
  <c r="L278" i="1"/>
  <c r="L456" i="1"/>
  <c r="L452" i="1"/>
  <c r="L458" i="1"/>
  <c r="H448" i="1"/>
  <c r="H453" i="1"/>
  <c r="H447" i="1"/>
  <c r="H277" i="1"/>
  <c r="H286" i="1"/>
  <c r="H458" i="1"/>
  <c r="H280" i="1"/>
  <c r="H450" i="1"/>
  <c r="H456" i="1"/>
  <c r="H276" i="1"/>
  <c r="H449" i="1"/>
  <c r="H452" i="1"/>
  <c r="H278" i="1"/>
  <c r="H284" i="1"/>
  <c r="H275" i="1"/>
  <c r="H281" i="1"/>
  <c r="W246" i="1"/>
  <c r="X246" i="1" s="1"/>
  <c r="G633" i="1"/>
  <c r="G641" i="1"/>
  <c r="N458" i="1"/>
  <c r="N452" i="1"/>
  <c r="N450" i="1"/>
  <c r="N280" i="1"/>
  <c r="N447" i="1"/>
  <c r="N277" i="1"/>
  <c r="N284" i="1"/>
  <c r="N448" i="1"/>
  <c r="N276" i="1"/>
  <c r="N286" i="1"/>
  <c r="N453" i="1"/>
  <c r="N449" i="1"/>
  <c r="N275" i="1"/>
  <c r="N456" i="1"/>
  <c r="N281" i="1"/>
  <c r="N278" i="1"/>
  <c r="U32" i="4"/>
  <c r="V32" i="4" s="1"/>
  <c r="I35" i="4"/>
  <c r="N35" i="4"/>
  <c r="R35" i="4"/>
  <c r="S35" i="4"/>
  <c r="U24" i="4"/>
  <c r="V24" i="4" s="1"/>
  <c r="U44" i="4"/>
  <c r="V44" i="4" s="1"/>
  <c r="V286" i="1"/>
  <c r="V284" i="1"/>
  <c r="V458" i="1"/>
  <c r="V281" i="1"/>
  <c r="V276" i="1"/>
  <c r="V456" i="1"/>
  <c r="V453" i="1"/>
  <c r="V449" i="1"/>
  <c r="V277" i="1"/>
  <c r="V448" i="1"/>
  <c r="V278" i="1"/>
  <c r="V447" i="1"/>
  <c r="V280" i="1"/>
  <c r="V450" i="1"/>
  <c r="V452" i="1"/>
  <c r="V275" i="1"/>
  <c r="I314" i="4"/>
  <c r="I325" i="4" s="1"/>
  <c r="I358" i="4"/>
  <c r="I369" i="4" s="1"/>
  <c r="I225" i="4"/>
  <c r="I270" i="4"/>
  <c r="I38" i="4"/>
  <c r="L225" i="4"/>
  <c r="L358" i="4"/>
  <c r="L270" i="4"/>
  <c r="L314" i="4"/>
  <c r="L38" i="4"/>
  <c r="R314" i="4"/>
  <c r="R325" i="4" s="1"/>
  <c r="S314" i="4"/>
  <c r="S325" i="4" s="1"/>
  <c r="R225" i="4"/>
  <c r="N225" i="4"/>
  <c r="T358" i="4"/>
  <c r="T369" i="4" s="1"/>
  <c r="S358" i="4"/>
  <c r="S369" i="4" s="1"/>
  <c r="T270" i="4"/>
  <c r="T281" i="4" s="1"/>
  <c r="N314" i="4"/>
  <c r="N325" i="4" s="1"/>
  <c r="T314" i="4"/>
  <c r="T325" i="4" s="1"/>
  <c r="S225" i="4"/>
  <c r="T225" i="4"/>
  <c r="R358" i="4"/>
  <c r="R369" i="4" s="1"/>
  <c r="N358" i="4"/>
  <c r="N369" i="4" s="1"/>
  <c r="N270" i="4"/>
  <c r="N281" i="4" s="1"/>
  <c r="R270" i="4"/>
  <c r="R281" i="4" s="1"/>
  <c r="S270" i="4"/>
  <c r="S281" i="4" s="1"/>
  <c r="R38" i="4"/>
  <c r="S38" i="4"/>
  <c r="T38" i="4"/>
  <c r="N38" i="4"/>
  <c r="M314" i="4"/>
  <c r="M225" i="4"/>
  <c r="M270" i="4"/>
  <c r="M358" i="4"/>
  <c r="M38" i="4"/>
  <c r="H314" i="4"/>
  <c r="H325" i="4" s="1"/>
  <c r="H225" i="4"/>
  <c r="G30" i="29" s="1"/>
  <c r="H358" i="4"/>
  <c r="H369" i="4" s="1"/>
  <c r="H270" i="4"/>
  <c r="H38" i="4"/>
  <c r="O447" i="1"/>
  <c r="O284" i="1"/>
  <c r="O280" i="1"/>
  <c r="O277" i="1"/>
  <c r="O456" i="1"/>
  <c r="O278" i="1"/>
  <c r="O281" i="1"/>
  <c r="O275" i="1"/>
  <c r="O449" i="1"/>
  <c r="O453" i="1"/>
  <c r="O286" i="1"/>
  <c r="O450" i="1"/>
  <c r="O276" i="1"/>
  <c r="O448" i="1"/>
  <c r="O458" i="1"/>
  <c r="O452" i="1"/>
  <c r="U281" i="1"/>
  <c r="U449" i="1"/>
  <c r="U456" i="1"/>
  <c r="U277" i="1"/>
  <c r="U450" i="1"/>
  <c r="U284" i="1"/>
  <c r="U278" i="1"/>
  <c r="U447" i="1"/>
  <c r="U453" i="1"/>
  <c r="U458" i="1"/>
  <c r="U286" i="1"/>
  <c r="U276" i="1"/>
  <c r="U452" i="1"/>
  <c r="U448" i="1"/>
  <c r="U275" i="1"/>
  <c r="U280" i="1"/>
  <c r="G642" i="1"/>
  <c r="W642" i="1" s="1"/>
  <c r="X642" i="1" s="1"/>
  <c r="H199" i="4"/>
  <c r="M30" i="29"/>
  <c r="G199" i="4"/>
  <c r="M30" i="27"/>
  <c r="M456" i="1"/>
  <c r="M276" i="1"/>
  <c r="M281" i="1"/>
  <c r="M453" i="1"/>
  <c r="M449" i="1"/>
  <c r="M448" i="1"/>
  <c r="M284" i="1"/>
  <c r="M286" i="1"/>
  <c r="M277" i="1"/>
  <c r="M450" i="1"/>
  <c r="M458" i="1"/>
  <c r="M278" i="1"/>
  <c r="M280" i="1"/>
  <c r="M452" i="1"/>
  <c r="M447" i="1"/>
  <c r="M275" i="1"/>
  <c r="X108" i="1"/>
  <c r="Y108" i="1"/>
  <c r="J450" i="1"/>
  <c r="J458" i="1"/>
  <c r="J277" i="1"/>
  <c r="J447" i="1"/>
  <c r="J276" i="1"/>
  <c r="J286" i="1"/>
  <c r="J453" i="1"/>
  <c r="J448" i="1"/>
  <c r="J456" i="1"/>
  <c r="J281" i="1"/>
  <c r="J275" i="1"/>
  <c r="J278" i="1"/>
  <c r="J280" i="1"/>
  <c r="J452" i="1"/>
  <c r="J449" i="1"/>
  <c r="J284" i="1"/>
  <c r="Q458" i="1"/>
  <c r="Q277" i="1"/>
  <c r="Q286" i="1"/>
  <c r="Q280" i="1"/>
  <c r="Q276" i="1"/>
  <c r="Q450" i="1"/>
  <c r="Q278" i="1"/>
  <c r="Q456" i="1"/>
  <c r="Q452" i="1"/>
  <c r="Q281" i="1"/>
  <c r="Q453" i="1"/>
  <c r="Q284" i="1"/>
  <c r="Q448" i="1"/>
  <c r="Q447" i="1"/>
  <c r="Q275" i="1"/>
  <c r="Q449" i="1"/>
  <c r="K35" i="4"/>
  <c r="J35" i="4"/>
  <c r="L35" i="4"/>
  <c r="H35" i="4"/>
  <c r="T35" i="4"/>
  <c r="U41" i="4"/>
  <c r="V41" i="4" s="1"/>
  <c r="M35" i="4" l="1"/>
  <c r="M199" i="4"/>
  <c r="O314" i="4"/>
  <c r="O225" i="4"/>
  <c r="O270" i="4"/>
  <c r="O358" i="4"/>
  <c r="O38" i="4"/>
  <c r="J566" i="4"/>
  <c r="U566" i="4" s="1"/>
  <c r="V566" i="4" s="1"/>
  <c r="J567" i="4"/>
  <c r="U567" i="4" s="1"/>
  <c r="V567" i="4" s="1"/>
  <c r="J565" i="4"/>
  <c r="T458" i="4"/>
  <c r="L458" i="4"/>
  <c r="M458" i="4"/>
  <c r="H458" i="4"/>
  <c r="S458" i="4"/>
  <c r="R458" i="4"/>
  <c r="J458" i="4"/>
  <c r="N458" i="4"/>
  <c r="G458" i="4"/>
  <c r="I458" i="4"/>
  <c r="O458" i="4"/>
  <c r="W418" i="1"/>
  <c r="I427" i="4"/>
  <c r="O427" i="4"/>
  <c r="M427" i="4"/>
  <c r="L427" i="4"/>
  <c r="G427" i="4"/>
  <c r="G428" i="4" s="1"/>
  <c r="T427" i="4"/>
  <c r="K427" i="4"/>
  <c r="J23" i="34" s="1"/>
  <c r="J427" i="4"/>
  <c r="N427" i="4"/>
  <c r="H427" i="4"/>
  <c r="J23" i="29" s="1"/>
  <c r="S427" i="4"/>
  <c r="N422" i="4"/>
  <c r="O476" i="4"/>
  <c r="O474" i="4"/>
  <c r="V474" i="4"/>
  <c r="K281" i="4"/>
  <c r="K485" i="4" s="1"/>
  <c r="G32" i="34"/>
  <c r="N30" i="34"/>
  <c r="J431" i="4"/>
  <c r="I444" i="4"/>
  <c r="K444" i="4"/>
  <c r="L444" i="4"/>
  <c r="J444" i="4"/>
  <c r="H444" i="4"/>
  <c r="O444" i="4"/>
  <c r="M444" i="4"/>
  <c r="N444" i="4"/>
  <c r="N431" i="4"/>
  <c r="L436" i="4"/>
  <c r="E15" i="26"/>
  <c r="I422" i="4"/>
  <c r="T422" i="4"/>
  <c r="O422" i="4"/>
  <c r="L422" i="4"/>
  <c r="R422" i="4"/>
  <c r="M422" i="4"/>
  <c r="K422" i="4"/>
  <c r="S422" i="4"/>
  <c r="J422" i="4"/>
  <c r="G422" i="4"/>
  <c r="J449" i="4"/>
  <c r="K449" i="4"/>
  <c r="S449" i="4"/>
  <c r="N449" i="4"/>
  <c r="R449" i="4"/>
  <c r="T449" i="4"/>
  <c r="M449" i="4"/>
  <c r="W633" i="1"/>
  <c r="X633" i="1" s="1"/>
  <c r="L449" i="4"/>
  <c r="I449" i="4"/>
  <c r="R275" i="1"/>
  <c r="R456" i="1"/>
  <c r="R281" i="1"/>
  <c r="R453" i="1"/>
  <c r="R276" i="1"/>
  <c r="R284" i="1"/>
  <c r="R452" i="1"/>
  <c r="R277" i="1"/>
  <c r="R449" i="1"/>
  <c r="R447" i="1"/>
  <c r="R280" i="1"/>
  <c r="R286" i="1"/>
  <c r="R458" i="1"/>
  <c r="R448" i="1"/>
  <c r="R450" i="1"/>
  <c r="N426" i="4"/>
  <c r="N443" i="4"/>
  <c r="R426" i="4"/>
  <c r="R428" i="4" s="1"/>
  <c r="R436" i="4"/>
  <c r="N436" i="4"/>
  <c r="M436" i="4"/>
  <c r="O436" i="4"/>
  <c r="H436" i="4"/>
  <c r="K23" i="29" s="1"/>
  <c r="J436" i="4"/>
  <c r="I436" i="4"/>
  <c r="G436" i="4"/>
  <c r="K436" i="4"/>
  <c r="T436" i="4"/>
  <c r="G431" i="4"/>
  <c r="H431" i="4"/>
  <c r="I431" i="4"/>
  <c r="M431" i="4"/>
  <c r="T431" i="4"/>
  <c r="S431" i="4"/>
  <c r="K431" i="4"/>
  <c r="R431" i="4"/>
  <c r="J445" i="4"/>
  <c r="G445" i="4"/>
  <c r="F23" i="27" s="1"/>
  <c r="L445" i="4"/>
  <c r="H445" i="4"/>
  <c r="F23" i="29" s="1"/>
  <c r="N445" i="4"/>
  <c r="M445" i="4"/>
  <c r="K445" i="4"/>
  <c r="F23" i="34" s="1"/>
  <c r="U10" i="4"/>
  <c r="V10" i="4" s="1"/>
  <c r="N442" i="4"/>
  <c r="M442" i="4"/>
  <c r="I11" i="4"/>
  <c r="I49" i="4" s="1"/>
  <c r="I501" i="4" s="1"/>
  <c r="T442" i="4"/>
  <c r="J442" i="4"/>
  <c r="K442" i="4"/>
  <c r="L23" i="34" s="1"/>
  <c r="W279" i="1"/>
  <c r="X279" i="1" s="1"/>
  <c r="W285" i="1"/>
  <c r="X285" i="1" s="1"/>
  <c r="K426" i="4"/>
  <c r="J426" i="4"/>
  <c r="S426" i="4"/>
  <c r="H426" i="4"/>
  <c r="I426" i="4"/>
  <c r="L426" i="4"/>
  <c r="F428" i="4"/>
  <c r="T426" i="4"/>
  <c r="M426" i="4"/>
  <c r="J443" i="4"/>
  <c r="M443" i="4"/>
  <c r="I443" i="4"/>
  <c r="L443" i="4"/>
  <c r="S443" i="4"/>
  <c r="K443" i="4"/>
  <c r="E23" i="34" s="1"/>
  <c r="G443" i="4"/>
  <c r="E23" i="27" s="1"/>
  <c r="T443" i="4"/>
  <c r="O443" i="4"/>
  <c r="H443" i="4"/>
  <c r="E23" i="29" s="1"/>
  <c r="W287" i="1"/>
  <c r="X287" i="1" s="1"/>
  <c r="U47" i="4"/>
  <c r="V47" i="4" s="1"/>
  <c r="O442" i="4"/>
  <c r="F446" i="4"/>
  <c r="H442" i="4"/>
  <c r="R442" i="4"/>
  <c r="R446" i="4" s="1"/>
  <c r="I442" i="4"/>
  <c r="G442" i="4"/>
  <c r="S442" i="4"/>
  <c r="U27" i="4"/>
  <c r="V27" i="4" s="1"/>
  <c r="W282" i="1"/>
  <c r="X282" i="1" s="1"/>
  <c r="W455" i="1"/>
  <c r="X455" i="1" s="1"/>
  <c r="W459" i="1"/>
  <c r="X459" i="1" s="1"/>
  <c r="W457" i="1"/>
  <c r="X457" i="1" s="1"/>
  <c r="W538" i="1"/>
  <c r="X538" i="1" s="1"/>
  <c r="T236" i="4"/>
  <c r="T484" i="4" s="1"/>
  <c r="S455" i="4"/>
  <c r="W451" i="1"/>
  <c r="X451" i="1" s="1"/>
  <c r="I455" i="4"/>
  <c r="J455" i="4"/>
  <c r="M455" i="4"/>
  <c r="K455" i="4"/>
  <c r="N455" i="4"/>
  <c r="G455" i="4"/>
  <c r="R455" i="4"/>
  <c r="H455" i="4"/>
  <c r="O455" i="4"/>
  <c r="T455" i="4"/>
  <c r="W283" i="1"/>
  <c r="X283" i="1" s="1"/>
  <c r="W97" i="1"/>
  <c r="X97" i="1" s="1"/>
  <c r="T432" i="4"/>
  <c r="H432" i="4"/>
  <c r="N432" i="4"/>
  <c r="K432" i="4"/>
  <c r="J432" i="4"/>
  <c r="I432" i="4"/>
  <c r="G432" i="4"/>
  <c r="I23" i="27" s="1"/>
  <c r="M432" i="4"/>
  <c r="L432" i="4"/>
  <c r="L433" i="4" s="1"/>
  <c r="S432" i="4"/>
  <c r="R432" i="4"/>
  <c r="F433" i="4"/>
  <c r="W537" i="1"/>
  <c r="X537" i="1" s="1"/>
  <c r="H452" i="4"/>
  <c r="R452" i="4"/>
  <c r="N452" i="4"/>
  <c r="G452" i="4"/>
  <c r="J452" i="4"/>
  <c r="W454" i="1"/>
  <c r="X454" i="1" s="1"/>
  <c r="T452" i="4"/>
  <c r="W541" i="1"/>
  <c r="X541" i="1" s="1"/>
  <c r="M452" i="4"/>
  <c r="I452" i="4"/>
  <c r="O452" i="4"/>
  <c r="S452" i="4"/>
  <c r="L452" i="4"/>
  <c r="W547" i="1"/>
  <c r="X547" i="1" s="1"/>
  <c r="K236" i="4"/>
  <c r="K496" i="4" s="1"/>
  <c r="W542" i="1"/>
  <c r="X542" i="1" s="1"/>
  <c r="R236" i="4"/>
  <c r="R496" i="4" s="1"/>
  <c r="U439" i="4"/>
  <c r="V439" i="4" s="1"/>
  <c r="N236" i="4"/>
  <c r="N496" i="4" s="1"/>
  <c r="S236" i="4"/>
  <c r="S484" i="4" s="1"/>
  <c r="J49" i="4"/>
  <c r="J501" i="4" s="1"/>
  <c r="M337" i="4"/>
  <c r="U337" i="4" s="1"/>
  <c r="V337" i="4" s="1"/>
  <c r="J236" i="4"/>
  <c r="J524" i="4" s="1"/>
  <c r="L369" i="4"/>
  <c r="L281" i="4"/>
  <c r="L236" i="4"/>
  <c r="L524" i="4" s="1"/>
  <c r="L49" i="4"/>
  <c r="L501" i="4" s="1"/>
  <c r="L325" i="4"/>
  <c r="U198" i="4"/>
  <c r="V198" i="4" s="1"/>
  <c r="H49" i="4"/>
  <c r="H501" i="4" s="1"/>
  <c r="I236" i="4"/>
  <c r="I484" i="4" s="1"/>
  <c r="T49" i="4"/>
  <c r="T501" i="4" s="1"/>
  <c r="K49" i="4"/>
  <c r="K501" i="4" s="1"/>
  <c r="N49" i="4"/>
  <c r="N501" i="4" s="1"/>
  <c r="S49" i="4"/>
  <c r="S501" i="4" s="1"/>
  <c r="M254" i="4"/>
  <c r="U254" i="4" s="1"/>
  <c r="V254" i="4" s="1"/>
  <c r="R49" i="4"/>
  <c r="R501" i="4" s="1"/>
  <c r="H236" i="4"/>
  <c r="H524" i="4" s="1"/>
  <c r="I281" i="4"/>
  <c r="I485" i="4" s="1"/>
  <c r="J281" i="4"/>
  <c r="J485" i="4" s="1"/>
  <c r="M332" i="4"/>
  <c r="U332" i="4" s="1"/>
  <c r="V332" i="4" s="1"/>
  <c r="U330" i="4"/>
  <c r="V330" i="4" s="1"/>
  <c r="U218" i="4"/>
  <c r="V218" i="4" s="1"/>
  <c r="M222" i="4"/>
  <c r="U222" i="4" s="1"/>
  <c r="V222" i="4" s="1"/>
  <c r="M21" i="4"/>
  <c r="U21" i="4" s="1"/>
  <c r="V21" i="4" s="1"/>
  <c r="U19" i="4"/>
  <c r="V19" i="4" s="1"/>
  <c r="M529" i="4"/>
  <c r="U466" i="4"/>
  <c r="V466" i="4" s="1"/>
  <c r="M355" i="4"/>
  <c r="U355" i="4" s="1"/>
  <c r="V355" i="4" s="1"/>
  <c r="M342" i="4"/>
  <c r="U342" i="4" s="1"/>
  <c r="V342" i="4" s="1"/>
  <c r="M249" i="4"/>
  <c r="U249" i="4" s="1"/>
  <c r="V249" i="4" s="1"/>
  <c r="M478" i="4"/>
  <c r="U478" i="4" s="1"/>
  <c r="V478" i="4" s="1"/>
  <c r="U335" i="4"/>
  <c r="V335" i="4" s="1"/>
  <c r="U247" i="4"/>
  <c r="V247" i="4" s="1"/>
  <c r="U14" i="4"/>
  <c r="V14" i="4" s="1"/>
  <c r="M16" i="4"/>
  <c r="U16" i="4" s="1"/>
  <c r="V16" i="4" s="1"/>
  <c r="M288" i="4"/>
  <c r="U288" i="4" s="1"/>
  <c r="V288" i="4" s="1"/>
  <c r="U286" i="4"/>
  <c r="V286" i="4" s="1"/>
  <c r="M244" i="4"/>
  <c r="U244" i="4" s="1"/>
  <c r="V244" i="4" s="1"/>
  <c r="U242" i="4"/>
  <c r="V242" i="4" s="1"/>
  <c r="M209" i="4"/>
  <c r="U209" i="4" s="1"/>
  <c r="V209" i="4" s="1"/>
  <c r="U208" i="4"/>
  <c r="V208" i="4" s="1"/>
  <c r="O466" i="4"/>
  <c r="O468" i="4"/>
  <c r="O495" i="4"/>
  <c r="O469" i="4"/>
  <c r="O467" i="4"/>
  <c r="O475" i="4"/>
  <c r="P2" i="4"/>
  <c r="O477" i="4"/>
  <c r="O504" i="4"/>
  <c r="O317" i="4"/>
  <c r="O202" i="4"/>
  <c r="O309" i="4"/>
  <c r="O257" i="4"/>
  <c r="O331" i="4"/>
  <c r="O307" i="4"/>
  <c r="O320" i="4"/>
  <c r="O243" i="4"/>
  <c r="O264" i="4"/>
  <c r="O248" i="4"/>
  <c r="O354" i="4"/>
  <c r="O310" i="4"/>
  <c r="O340" i="4"/>
  <c r="O234" i="4"/>
  <c r="O353" i="4"/>
  <c r="O265" i="4"/>
  <c r="O273" i="4"/>
  <c r="O335" i="4"/>
  <c r="O351" i="4"/>
  <c r="O341" i="4"/>
  <c r="O297" i="4"/>
  <c r="O260" i="4"/>
  <c r="O279" i="4"/>
  <c r="O247" i="4"/>
  <c r="O291" i="4"/>
  <c r="O345" i="4"/>
  <c r="O301" i="4"/>
  <c r="O361" i="4"/>
  <c r="O308" i="4"/>
  <c r="O287" i="4"/>
  <c r="O352" i="4"/>
  <c r="O253" i="4"/>
  <c r="O336" i="4"/>
  <c r="O266" i="4"/>
  <c r="O296" i="4"/>
  <c r="O323" i="4"/>
  <c r="O198" i="4"/>
  <c r="O263" i="4"/>
  <c r="O364" i="4"/>
  <c r="O276" i="4"/>
  <c r="O292" i="4"/>
  <c r="O207" i="4"/>
  <c r="O252" i="4"/>
  <c r="O367" i="4"/>
  <c r="O215" i="4"/>
  <c r="O348" i="4"/>
  <c r="O304" i="4"/>
  <c r="O19" i="4"/>
  <c r="O34" i="4"/>
  <c r="O286" i="4"/>
  <c r="O20" i="4"/>
  <c r="O203" i="4"/>
  <c r="O228" i="4"/>
  <c r="O220" i="4"/>
  <c r="O27" i="4"/>
  <c r="O208" i="4"/>
  <c r="O212" i="4"/>
  <c r="O242" i="4"/>
  <c r="O14" i="4"/>
  <c r="O231" i="4"/>
  <c r="O218" i="4"/>
  <c r="O15" i="4"/>
  <c r="O330" i="4"/>
  <c r="O221" i="4"/>
  <c r="O219" i="4"/>
  <c r="O24" i="4"/>
  <c r="O10" i="4"/>
  <c r="O9" i="4"/>
  <c r="O431" i="4"/>
  <c r="O33" i="4"/>
  <c r="O31" i="4"/>
  <c r="O32" i="4"/>
  <c r="O44" i="4"/>
  <c r="O426" i="4"/>
  <c r="O432" i="4"/>
  <c r="O445" i="4"/>
  <c r="O41" i="4"/>
  <c r="O47" i="4"/>
  <c r="O439" i="4"/>
  <c r="O197" i="4"/>
  <c r="O449" i="4"/>
  <c r="L480" i="4"/>
  <c r="M204" i="4"/>
  <c r="M267" i="4"/>
  <c r="M298" i="4"/>
  <c r="U298" i="4" s="1"/>
  <c r="V298" i="4" s="1"/>
  <c r="M311" i="4"/>
  <c r="U311" i="4" s="1"/>
  <c r="V311" i="4" s="1"/>
  <c r="M293" i="4"/>
  <c r="U293" i="4" s="1"/>
  <c r="V293" i="4" s="1"/>
  <c r="U291" i="4"/>
  <c r="V291" i="4" s="1"/>
  <c r="U340" i="4"/>
  <c r="V340" i="4" s="1"/>
  <c r="U202" i="4"/>
  <c r="V202" i="4" s="1"/>
  <c r="U307" i="4"/>
  <c r="V307" i="4" s="1"/>
  <c r="U296" i="4"/>
  <c r="V296" i="4" s="1"/>
  <c r="U351" i="4"/>
  <c r="V351" i="4" s="1"/>
  <c r="U252" i="4"/>
  <c r="V252" i="4" s="1"/>
  <c r="Q290" i="1"/>
  <c r="Q292" i="1" s="1"/>
  <c r="Q632" i="1" s="1"/>
  <c r="M290" i="1"/>
  <c r="M292" i="1" s="1"/>
  <c r="M632" i="1" s="1"/>
  <c r="V290" i="1"/>
  <c r="V292" i="1" s="1"/>
  <c r="V632" i="1" s="1"/>
  <c r="L290" i="1"/>
  <c r="L292" i="1" s="1"/>
  <c r="L540" i="1" s="1"/>
  <c r="U290" i="1"/>
  <c r="U292" i="1" s="1"/>
  <c r="U539" i="1" s="1"/>
  <c r="K290" i="1"/>
  <c r="K292" i="1" s="1"/>
  <c r="K540" i="1" s="1"/>
  <c r="N30" i="29"/>
  <c r="H30" i="29"/>
  <c r="Q462" i="1"/>
  <c r="Q464" i="1" s="1"/>
  <c r="J462" i="1"/>
  <c r="J464" i="1" s="1"/>
  <c r="M462" i="1"/>
  <c r="M464" i="1" s="1"/>
  <c r="U462" i="1"/>
  <c r="U464" i="1" s="1"/>
  <c r="O290" i="1"/>
  <c r="O292" i="1" s="1"/>
  <c r="G32" i="29"/>
  <c r="N485" i="4"/>
  <c r="V462" i="1"/>
  <c r="V464" i="1" s="1"/>
  <c r="H281" i="4"/>
  <c r="H485" i="4" s="1"/>
  <c r="N290" i="1"/>
  <c r="N292" i="1" s="1"/>
  <c r="N462" i="1"/>
  <c r="N464" i="1" s="1"/>
  <c r="S290" i="1"/>
  <c r="S292" i="1" s="1"/>
  <c r="P462" i="1"/>
  <c r="P464" i="1" s="1"/>
  <c r="K462" i="1"/>
  <c r="K464" i="1" s="1"/>
  <c r="T290" i="1"/>
  <c r="T292" i="1" s="1"/>
  <c r="T462" i="1"/>
  <c r="T464" i="1" s="1"/>
  <c r="I462" i="1"/>
  <c r="I464" i="1" s="1"/>
  <c r="U199" i="4"/>
  <c r="V199" i="4" s="1"/>
  <c r="O421" i="4"/>
  <c r="N421" i="4"/>
  <c r="H421" i="4"/>
  <c r="R421" i="4"/>
  <c r="G421" i="4"/>
  <c r="F423" i="4"/>
  <c r="K421" i="4"/>
  <c r="T421" i="4"/>
  <c r="L421" i="4"/>
  <c r="S421" i="4"/>
  <c r="I421" i="4"/>
  <c r="J421" i="4"/>
  <c r="M421" i="4"/>
  <c r="G276" i="1"/>
  <c r="G278" i="1"/>
  <c r="W278" i="1" s="1"/>
  <c r="X278" i="1" s="1"/>
  <c r="G284" i="1"/>
  <c r="G281" i="1"/>
  <c r="W641" i="1"/>
  <c r="X641" i="1" s="1"/>
  <c r="G452" i="1"/>
  <c r="G449" i="1"/>
  <c r="G286" i="1"/>
  <c r="G456" i="1"/>
  <c r="G453" i="1"/>
  <c r="G275" i="1"/>
  <c r="G447" i="1"/>
  <c r="G277" i="1"/>
  <c r="G280" i="1"/>
  <c r="G458" i="1"/>
  <c r="G450" i="1"/>
  <c r="G448" i="1"/>
  <c r="F484" i="4"/>
  <c r="U612" i="4"/>
  <c r="V612" i="4" s="1"/>
  <c r="G314" i="4"/>
  <c r="G270" i="4"/>
  <c r="G225" i="4"/>
  <c r="G358" i="4"/>
  <c r="G38" i="4"/>
  <c r="U38" i="4" s="1"/>
  <c r="V38" i="4" s="1"/>
  <c r="G449" i="4"/>
  <c r="J290" i="1"/>
  <c r="J292" i="1" s="1"/>
  <c r="O462" i="1"/>
  <c r="O464" i="1" s="1"/>
  <c r="H290" i="1"/>
  <c r="H292" i="1" s="1"/>
  <c r="H462" i="1"/>
  <c r="H464" i="1" s="1"/>
  <c r="L462" i="1"/>
  <c r="L464" i="1" s="1"/>
  <c r="S462" i="1"/>
  <c r="S464" i="1" s="1"/>
  <c r="P290" i="1"/>
  <c r="P292" i="1" s="1"/>
  <c r="U35" i="4"/>
  <c r="V35" i="4" s="1"/>
  <c r="I290" i="1"/>
  <c r="I292" i="1" s="1"/>
  <c r="P421" i="4" l="1"/>
  <c r="P563" i="4"/>
  <c r="W453" i="1"/>
  <c r="X453" i="1" s="1"/>
  <c r="O428" i="4"/>
  <c r="M428" i="4"/>
  <c r="S428" i="4"/>
  <c r="U458" i="4"/>
  <c r="V458" i="4" s="1"/>
  <c r="J23" i="27"/>
  <c r="N423" i="4"/>
  <c r="T428" i="4"/>
  <c r="R524" i="4"/>
  <c r="U427" i="4"/>
  <c r="V427" i="4" s="1"/>
  <c r="N428" i="4"/>
  <c r="M23" i="34"/>
  <c r="P476" i="4"/>
  <c r="P474" i="4"/>
  <c r="J433" i="4"/>
  <c r="G23" i="34"/>
  <c r="K428" i="4"/>
  <c r="I23" i="34"/>
  <c r="K23" i="34"/>
  <c r="H32" i="34"/>
  <c r="I23" i="29"/>
  <c r="U444" i="4"/>
  <c r="V444" i="4" s="1"/>
  <c r="T423" i="4"/>
  <c r="N433" i="4"/>
  <c r="W450" i="1"/>
  <c r="X450" i="1" s="1"/>
  <c r="W452" i="1"/>
  <c r="X452" i="1" s="1"/>
  <c r="O423" i="4"/>
  <c r="K23" i="27"/>
  <c r="W456" i="1"/>
  <c r="X456" i="1" s="1"/>
  <c r="M423" i="4"/>
  <c r="L423" i="4"/>
  <c r="R423" i="4"/>
  <c r="W449" i="1"/>
  <c r="X449" i="1" s="1"/>
  <c r="W281" i="1"/>
  <c r="X281" i="1" s="1"/>
  <c r="K423" i="4"/>
  <c r="W280" i="1"/>
  <c r="X280" i="1" s="1"/>
  <c r="S423" i="4"/>
  <c r="W286" i="1"/>
  <c r="X286" i="1" s="1"/>
  <c r="U422" i="4"/>
  <c r="V422" i="4" s="1"/>
  <c r="W276" i="1"/>
  <c r="X276" i="1" s="1"/>
  <c r="W458" i="1"/>
  <c r="X458" i="1" s="1"/>
  <c r="J428" i="4"/>
  <c r="H433" i="4"/>
  <c r="G446" i="4"/>
  <c r="W284" i="1"/>
  <c r="X284" i="1" s="1"/>
  <c r="W448" i="1"/>
  <c r="X448" i="1" s="1"/>
  <c r="R290" i="1"/>
  <c r="R292" i="1" s="1"/>
  <c r="F174" i="4" s="1"/>
  <c r="T524" i="4"/>
  <c r="T496" i="4"/>
  <c r="M433" i="4"/>
  <c r="W277" i="1"/>
  <c r="X277" i="1" s="1"/>
  <c r="L23" i="27"/>
  <c r="T512" i="4"/>
  <c r="R462" i="1"/>
  <c r="R464" i="1" s="1"/>
  <c r="T466" i="1" s="1"/>
  <c r="S433" i="4"/>
  <c r="U436" i="4"/>
  <c r="V436" i="4" s="1"/>
  <c r="T433" i="4"/>
  <c r="N446" i="4"/>
  <c r="I433" i="4"/>
  <c r="L446" i="4"/>
  <c r="U431" i="4"/>
  <c r="V431" i="4" s="1"/>
  <c r="T446" i="4"/>
  <c r="H446" i="4"/>
  <c r="K433" i="4"/>
  <c r="M446" i="4"/>
  <c r="R433" i="4"/>
  <c r="U445" i="4"/>
  <c r="V445" i="4" s="1"/>
  <c r="K524" i="4"/>
  <c r="U455" i="4"/>
  <c r="V455" i="4" s="1"/>
  <c r="L23" i="29"/>
  <c r="S446" i="4"/>
  <c r="J446" i="4"/>
  <c r="U11" i="4"/>
  <c r="V11" i="4" s="1"/>
  <c r="O446" i="4"/>
  <c r="I446" i="4"/>
  <c r="G23" i="29"/>
  <c r="H23" i="29" s="1"/>
  <c r="I428" i="4"/>
  <c r="U426" i="4"/>
  <c r="V426" i="4" s="1"/>
  <c r="U442" i="4"/>
  <c r="V442" i="4" s="1"/>
  <c r="H428" i="4"/>
  <c r="U443" i="4"/>
  <c r="V443" i="4" s="1"/>
  <c r="R484" i="4"/>
  <c r="R512" i="4"/>
  <c r="L428" i="4"/>
  <c r="K446" i="4"/>
  <c r="H496" i="4"/>
  <c r="H512" i="4"/>
  <c r="H484" i="4"/>
  <c r="K512" i="4"/>
  <c r="K484" i="4"/>
  <c r="U432" i="4"/>
  <c r="V432" i="4" s="1"/>
  <c r="S512" i="4"/>
  <c r="S496" i="4"/>
  <c r="S524" i="4"/>
  <c r="G433" i="4"/>
  <c r="J512" i="4"/>
  <c r="U452" i="4"/>
  <c r="V452" i="4" s="1"/>
  <c r="I512" i="4"/>
  <c r="N524" i="4"/>
  <c r="N512" i="4"/>
  <c r="N484" i="4"/>
  <c r="I524" i="4"/>
  <c r="I496" i="4"/>
  <c r="O244" i="4"/>
  <c r="J484" i="4"/>
  <c r="J496" i="4"/>
  <c r="M281" i="4"/>
  <c r="L485" i="4"/>
  <c r="K632" i="1"/>
  <c r="F160" i="4"/>
  <c r="J160" i="4" s="1"/>
  <c r="K539" i="1"/>
  <c r="K544" i="1" s="1"/>
  <c r="F384" i="4" s="1"/>
  <c r="F173" i="4"/>
  <c r="O173" i="4" s="1"/>
  <c r="F184" i="4"/>
  <c r="L184" i="4" s="1"/>
  <c r="F165" i="4"/>
  <c r="L165" i="4" s="1"/>
  <c r="O298" i="4"/>
  <c r="M540" i="1"/>
  <c r="O199" i="4"/>
  <c r="M539" i="1"/>
  <c r="O332" i="4"/>
  <c r="F161" i="4"/>
  <c r="J161" i="4" s="1"/>
  <c r="L632" i="1"/>
  <c r="L496" i="4"/>
  <c r="L484" i="4"/>
  <c r="L512" i="4"/>
  <c r="O288" i="4"/>
  <c r="F187" i="4"/>
  <c r="O187" i="4" s="1"/>
  <c r="Q539" i="1"/>
  <c r="U632" i="1"/>
  <c r="Q540" i="1"/>
  <c r="O249" i="4"/>
  <c r="U540" i="1"/>
  <c r="U544" i="1" s="1"/>
  <c r="F408" i="4" s="1"/>
  <c r="I408" i="4" s="1"/>
  <c r="L539" i="1"/>
  <c r="L544" i="1" s="1"/>
  <c r="F385" i="4" s="1"/>
  <c r="J385" i="4" s="1"/>
  <c r="M236" i="4"/>
  <c r="M496" i="4" s="1"/>
  <c r="U267" i="4"/>
  <c r="V267" i="4" s="1"/>
  <c r="V539" i="1"/>
  <c r="V540" i="1"/>
  <c r="O267" i="4"/>
  <c r="J423" i="4"/>
  <c r="I423" i="4"/>
  <c r="O254" i="4"/>
  <c r="O11" i="4"/>
  <c r="M369" i="4"/>
  <c r="L562" i="4"/>
  <c r="P469" i="4"/>
  <c r="P495" i="4"/>
  <c r="P466" i="4"/>
  <c r="P475" i="4"/>
  <c r="P504" i="4"/>
  <c r="P468" i="4"/>
  <c r="P477" i="4"/>
  <c r="Q2" i="4"/>
  <c r="Q563" i="4" s="1"/>
  <c r="P467" i="4"/>
  <c r="P317" i="4"/>
  <c r="P345" i="4"/>
  <c r="P361" i="4"/>
  <c r="P257" i="4"/>
  <c r="P307" i="4"/>
  <c r="P320" i="4"/>
  <c r="P243" i="4"/>
  <c r="P287" i="4"/>
  <c r="P264" i="4"/>
  <c r="P296" i="4"/>
  <c r="P323" i="4"/>
  <c r="P273" i="4"/>
  <c r="P335" i="4"/>
  <c r="P351" i="4"/>
  <c r="P364" i="4"/>
  <c r="P276" i="4"/>
  <c r="P292" i="4"/>
  <c r="P252" i="4"/>
  <c r="P367" i="4"/>
  <c r="P348" i="4"/>
  <c r="P279" i="4"/>
  <c r="P202" i="4"/>
  <c r="P247" i="4"/>
  <c r="P291" i="4"/>
  <c r="P301" i="4"/>
  <c r="P309" i="4"/>
  <c r="P308" i="4"/>
  <c r="P331" i="4"/>
  <c r="P352" i="4"/>
  <c r="P253" i="4"/>
  <c r="P336" i="4"/>
  <c r="P248" i="4"/>
  <c r="P266" i="4"/>
  <c r="P354" i="4"/>
  <c r="P310" i="4"/>
  <c r="P340" i="4"/>
  <c r="P234" i="4"/>
  <c r="P353" i="4"/>
  <c r="P198" i="4"/>
  <c r="P265" i="4"/>
  <c r="P263" i="4"/>
  <c r="P341" i="4"/>
  <c r="P297" i="4"/>
  <c r="P207" i="4"/>
  <c r="P215" i="4"/>
  <c r="P260" i="4"/>
  <c r="P304" i="4"/>
  <c r="P19" i="4"/>
  <c r="P20" i="4"/>
  <c r="P14" i="4"/>
  <c r="P231" i="4"/>
  <c r="P228" i="4"/>
  <c r="P330" i="4"/>
  <c r="P221" i="4"/>
  <c r="P27" i="4"/>
  <c r="P34" i="4"/>
  <c r="P286" i="4"/>
  <c r="P203" i="4"/>
  <c r="P218" i="4"/>
  <c r="P15" i="4"/>
  <c r="P219" i="4"/>
  <c r="P220" i="4"/>
  <c r="P208" i="4"/>
  <c r="P212" i="4"/>
  <c r="P242" i="4"/>
  <c r="P426" i="4"/>
  <c r="P432" i="4"/>
  <c r="P24" i="4"/>
  <c r="P431" i="4"/>
  <c r="P44" i="4"/>
  <c r="P445" i="4"/>
  <c r="P41" i="4"/>
  <c r="P10" i="4"/>
  <c r="P47" i="4"/>
  <c r="P9" i="4"/>
  <c r="P439" i="4"/>
  <c r="P197" i="4"/>
  <c r="P33" i="4"/>
  <c r="P31" i="4"/>
  <c r="P32" i="4"/>
  <c r="P449" i="4"/>
  <c r="P270" i="4"/>
  <c r="P225" i="4"/>
  <c r="P444" i="4"/>
  <c r="P458" i="4"/>
  <c r="P443" i="4"/>
  <c r="P422" i="4"/>
  <c r="P423" i="4" s="1"/>
  <c r="P436" i="4"/>
  <c r="P358" i="4"/>
  <c r="P314" i="4"/>
  <c r="P38" i="4"/>
  <c r="P427" i="4"/>
  <c r="P452" i="4"/>
  <c r="P455" i="4"/>
  <c r="P442" i="4"/>
  <c r="M325" i="4"/>
  <c r="O21" i="4"/>
  <c r="O209" i="4"/>
  <c r="O337" i="4"/>
  <c r="O311" i="4"/>
  <c r="O204" i="4"/>
  <c r="O471" i="4"/>
  <c r="U204" i="4"/>
  <c r="V204" i="4" s="1"/>
  <c r="O35" i="4"/>
  <c r="O433" i="4"/>
  <c r="O222" i="4"/>
  <c r="O16" i="4"/>
  <c r="O293" i="4"/>
  <c r="O355" i="4"/>
  <c r="O342" i="4"/>
  <c r="O478" i="4"/>
  <c r="M49" i="4"/>
  <c r="M501" i="4" s="1"/>
  <c r="F155" i="4"/>
  <c r="I540" i="1"/>
  <c r="I632" i="1"/>
  <c r="I539" i="1"/>
  <c r="F132" i="4"/>
  <c r="S124" i="1"/>
  <c r="S133" i="1" s="1"/>
  <c r="F86" i="4" s="1"/>
  <c r="S629" i="1"/>
  <c r="H124" i="1"/>
  <c r="H133" i="1" s="1"/>
  <c r="F58" i="4" s="1"/>
  <c r="H629" i="1"/>
  <c r="F105" i="4"/>
  <c r="O629" i="1"/>
  <c r="O124" i="1"/>
  <c r="O133" i="1" s="1"/>
  <c r="F79" i="4" s="1"/>
  <c r="F125" i="4"/>
  <c r="J540" i="1"/>
  <c r="J539" i="1"/>
  <c r="F156" i="4"/>
  <c r="J632" i="1"/>
  <c r="G30" i="27"/>
  <c r="U225" i="4"/>
  <c r="V225" i="4" s="1"/>
  <c r="G290" i="1"/>
  <c r="W275" i="1"/>
  <c r="X275" i="1" s="1"/>
  <c r="T124" i="1"/>
  <c r="T133" i="1" s="1"/>
  <c r="F89" i="4" s="1"/>
  <c r="F135" i="4"/>
  <c r="T629" i="1"/>
  <c r="K124" i="1"/>
  <c r="K133" i="1" s="1"/>
  <c r="F67" i="4" s="1"/>
  <c r="F114" i="4"/>
  <c r="K629" i="1"/>
  <c r="P124" i="1"/>
  <c r="P133" i="1" s="1"/>
  <c r="F80" i="4" s="1"/>
  <c r="P629" i="1"/>
  <c r="F126" i="4"/>
  <c r="S632" i="1"/>
  <c r="S540" i="1"/>
  <c r="S539" i="1"/>
  <c r="F178" i="4"/>
  <c r="F168" i="4"/>
  <c r="N540" i="1"/>
  <c r="N632" i="1"/>
  <c r="N539" i="1"/>
  <c r="H32" i="29"/>
  <c r="F138" i="4"/>
  <c r="U629" i="1"/>
  <c r="U124" i="1"/>
  <c r="U133" i="1" s="1"/>
  <c r="F92" i="4" s="1"/>
  <c r="M629" i="1"/>
  <c r="F119" i="4"/>
  <c r="M124" i="1"/>
  <c r="M133" i="1" s="1"/>
  <c r="F72" i="4" s="1"/>
  <c r="Q124" i="1"/>
  <c r="Q133" i="1" s="1"/>
  <c r="F81" i="4" s="1"/>
  <c r="Q629" i="1"/>
  <c r="F127" i="4"/>
  <c r="U314" i="4"/>
  <c r="V314" i="4" s="1"/>
  <c r="G325" i="4"/>
  <c r="P632" i="1"/>
  <c r="P539" i="1"/>
  <c r="F172" i="4"/>
  <c r="P540" i="1"/>
  <c r="F115" i="4"/>
  <c r="L124" i="1"/>
  <c r="L133" i="1" s="1"/>
  <c r="F68" i="4" s="1"/>
  <c r="L629" i="1"/>
  <c r="H540" i="1"/>
  <c r="H632" i="1"/>
  <c r="H539" i="1"/>
  <c r="F151" i="4"/>
  <c r="U449" i="4"/>
  <c r="V449" i="4" s="1"/>
  <c r="G23" i="27"/>
  <c r="H23" i="27" s="1"/>
  <c r="U358" i="4"/>
  <c r="V358" i="4" s="1"/>
  <c r="G369" i="4"/>
  <c r="U270" i="4"/>
  <c r="V270" i="4" s="1"/>
  <c r="G32" i="27"/>
  <c r="G281" i="4"/>
  <c r="W447" i="1"/>
  <c r="X447" i="1" s="1"/>
  <c r="G462" i="1"/>
  <c r="F460" i="4"/>
  <c r="G423" i="4"/>
  <c r="M23" i="27"/>
  <c r="U421" i="4"/>
  <c r="V421" i="4" s="1"/>
  <c r="H423" i="4"/>
  <c r="M23" i="29"/>
  <c r="I629" i="1"/>
  <c r="I124" i="1"/>
  <c r="I133" i="1" s="1"/>
  <c r="F62" i="4" s="1"/>
  <c r="F109" i="4"/>
  <c r="T540" i="1"/>
  <c r="T632" i="1"/>
  <c r="T539" i="1"/>
  <c r="F181" i="4"/>
  <c r="N124" i="1"/>
  <c r="N133" i="1" s="1"/>
  <c r="F75" i="4" s="1"/>
  <c r="N629" i="1"/>
  <c r="F122" i="4"/>
  <c r="V629" i="1"/>
  <c r="V124" i="1"/>
  <c r="V133" i="1" s="1"/>
  <c r="F95" i="4" s="1"/>
  <c r="F141" i="4"/>
  <c r="O539" i="1"/>
  <c r="F171" i="4"/>
  <c r="O632" i="1"/>
  <c r="O540" i="1"/>
  <c r="F110" i="4"/>
  <c r="J629" i="1"/>
  <c r="J124" i="1"/>
  <c r="J133" i="1" s="1"/>
  <c r="F63" i="4" s="1"/>
  <c r="G49" i="4"/>
  <c r="G236" i="4"/>
  <c r="Q476" i="4" l="1"/>
  <c r="Q474" i="4"/>
  <c r="N23" i="34"/>
  <c r="H23" i="34"/>
  <c r="N460" i="4"/>
  <c r="N626" i="4" s="1"/>
  <c r="R629" i="1"/>
  <c r="F128" i="4"/>
  <c r="N128" i="4" s="1"/>
  <c r="R124" i="1"/>
  <c r="R133" i="1" s="1"/>
  <c r="F82" i="4" s="1"/>
  <c r="G82" i="4" s="1"/>
  <c r="F15" i="27" s="1"/>
  <c r="M67" i="4"/>
  <c r="P67" i="4"/>
  <c r="K67" i="4"/>
  <c r="S67" i="4"/>
  <c r="G67" i="4"/>
  <c r="L67" i="4"/>
  <c r="I67" i="4"/>
  <c r="T67" i="4"/>
  <c r="Q67" i="4"/>
  <c r="N67" i="4"/>
  <c r="J67" i="4"/>
  <c r="H67" i="4"/>
  <c r="R67" i="4"/>
  <c r="O67" i="4"/>
  <c r="M68" i="4"/>
  <c r="P68" i="4"/>
  <c r="Q68" i="4"/>
  <c r="R68" i="4"/>
  <c r="S68" i="4"/>
  <c r="T68" i="4"/>
  <c r="G68" i="4"/>
  <c r="O68" i="4"/>
  <c r="N68" i="4"/>
  <c r="K68" i="4"/>
  <c r="J68" i="4"/>
  <c r="I68" i="4"/>
  <c r="H68" i="4"/>
  <c r="L68" i="4"/>
  <c r="L460" i="4"/>
  <c r="L626" i="4" s="1"/>
  <c r="I173" i="4"/>
  <c r="M460" i="4"/>
  <c r="M626" i="4" s="1"/>
  <c r="R460" i="4"/>
  <c r="R510" i="4" s="1"/>
  <c r="R540" i="1"/>
  <c r="R539" i="1"/>
  <c r="R632" i="1"/>
  <c r="K460" i="4"/>
  <c r="K626" i="4" s="1"/>
  <c r="S460" i="4"/>
  <c r="S510" i="4" s="1"/>
  <c r="U433" i="4"/>
  <c r="V433" i="4" s="1"/>
  <c r="T460" i="4"/>
  <c r="T510" i="4" s="1"/>
  <c r="Q160" i="4"/>
  <c r="I160" i="4"/>
  <c r="N160" i="4"/>
  <c r="O460" i="4"/>
  <c r="O626" i="4" s="1"/>
  <c r="I460" i="4"/>
  <c r="I626" i="4" s="1"/>
  <c r="P160" i="4"/>
  <c r="T160" i="4"/>
  <c r="G160" i="4"/>
  <c r="S160" i="4"/>
  <c r="H184" i="4"/>
  <c r="U446" i="4"/>
  <c r="V446" i="4" s="1"/>
  <c r="J460" i="4"/>
  <c r="J626" i="4" s="1"/>
  <c r="H460" i="4"/>
  <c r="H510" i="4" s="1"/>
  <c r="N23" i="29"/>
  <c r="O160" i="4"/>
  <c r="M160" i="4"/>
  <c r="H160" i="4"/>
  <c r="L187" i="4"/>
  <c r="U428" i="4"/>
  <c r="V428" i="4" s="1"/>
  <c r="I184" i="4"/>
  <c r="P173" i="4"/>
  <c r="Q187" i="4"/>
  <c r="M187" i="4"/>
  <c r="I161" i="4"/>
  <c r="S161" i="4"/>
  <c r="J184" i="4"/>
  <c r="G184" i="4"/>
  <c r="G161" i="4"/>
  <c r="N161" i="4"/>
  <c r="R184" i="4"/>
  <c r="O161" i="4"/>
  <c r="K161" i="4"/>
  <c r="H161" i="4"/>
  <c r="Q184" i="4"/>
  <c r="T161" i="4"/>
  <c r="P184" i="4"/>
  <c r="T184" i="4"/>
  <c r="R161" i="4"/>
  <c r="Q161" i="4"/>
  <c r="S184" i="4"/>
  <c r="K184" i="4"/>
  <c r="P161" i="4"/>
  <c r="M161" i="4"/>
  <c r="N184" i="4"/>
  <c r="O184" i="4"/>
  <c r="L161" i="4"/>
  <c r="M184" i="4"/>
  <c r="H165" i="4"/>
  <c r="M485" i="4"/>
  <c r="U369" i="4"/>
  <c r="V369" i="4" s="1"/>
  <c r="M544" i="1"/>
  <c r="F389" i="4" s="1"/>
  <c r="I389" i="4" s="1"/>
  <c r="L160" i="4"/>
  <c r="R160" i="4"/>
  <c r="F162" i="4"/>
  <c r="K160" i="4"/>
  <c r="O325" i="4"/>
  <c r="R165" i="4"/>
  <c r="K165" i="4"/>
  <c r="M165" i="4"/>
  <c r="I165" i="4"/>
  <c r="J165" i="4"/>
  <c r="S165" i="4"/>
  <c r="P288" i="4"/>
  <c r="N165" i="4"/>
  <c r="O165" i="4"/>
  <c r="U325" i="4"/>
  <c r="V325" i="4" s="1"/>
  <c r="T165" i="4"/>
  <c r="Q165" i="4"/>
  <c r="P165" i="4"/>
  <c r="G165" i="4"/>
  <c r="I385" i="4"/>
  <c r="O385" i="4"/>
  <c r="G385" i="4"/>
  <c r="T385" i="4"/>
  <c r="H385" i="4"/>
  <c r="K385" i="4"/>
  <c r="O281" i="4"/>
  <c r="L385" i="4"/>
  <c r="N385" i="4"/>
  <c r="R385" i="4"/>
  <c r="P385" i="4"/>
  <c r="S385" i="4"/>
  <c r="M385" i="4"/>
  <c r="Q385" i="4"/>
  <c r="O384" i="4"/>
  <c r="R384" i="4"/>
  <c r="H384" i="4"/>
  <c r="Q384" i="4"/>
  <c r="M384" i="4"/>
  <c r="L384" i="4"/>
  <c r="I384" i="4"/>
  <c r="J384" i="4"/>
  <c r="J386" i="4" s="1"/>
  <c r="G384" i="4"/>
  <c r="K173" i="4"/>
  <c r="M173" i="4"/>
  <c r="G187" i="4"/>
  <c r="J173" i="4"/>
  <c r="H173" i="4"/>
  <c r="P187" i="4"/>
  <c r="I187" i="4"/>
  <c r="J187" i="4"/>
  <c r="G173" i="4"/>
  <c r="L173" i="4"/>
  <c r="H187" i="4"/>
  <c r="S187" i="4"/>
  <c r="R187" i="4"/>
  <c r="N173" i="4"/>
  <c r="K187" i="4"/>
  <c r="N187" i="4"/>
  <c r="Q173" i="4"/>
  <c r="T187" i="4"/>
  <c r="K408" i="4"/>
  <c r="N408" i="4"/>
  <c r="M524" i="4"/>
  <c r="P332" i="4"/>
  <c r="F386" i="4"/>
  <c r="Q544" i="1"/>
  <c r="F397" i="4" s="1"/>
  <c r="I397" i="4" s="1"/>
  <c r="T408" i="4"/>
  <c r="V544" i="1"/>
  <c r="F411" i="4" s="1"/>
  <c r="N411" i="4" s="1"/>
  <c r="P199" i="4"/>
  <c r="P244" i="4"/>
  <c r="T384" i="4"/>
  <c r="M512" i="4"/>
  <c r="S384" i="4"/>
  <c r="N384" i="4"/>
  <c r="P384" i="4"/>
  <c r="K384" i="4"/>
  <c r="M484" i="4"/>
  <c r="H408" i="4"/>
  <c r="G408" i="4"/>
  <c r="P408" i="4"/>
  <c r="M408" i="4"/>
  <c r="T544" i="1"/>
  <c r="F405" i="4" s="1"/>
  <c r="Q405" i="4" s="1"/>
  <c r="L408" i="4"/>
  <c r="J408" i="4"/>
  <c r="S408" i="4"/>
  <c r="J162" i="4"/>
  <c r="R408" i="4"/>
  <c r="Q408" i="4"/>
  <c r="O408" i="4"/>
  <c r="P433" i="4"/>
  <c r="N544" i="1"/>
  <c r="F392" i="4" s="1"/>
  <c r="N392" i="4" s="1"/>
  <c r="P11" i="4"/>
  <c r="H544" i="1"/>
  <c r="F375" i="4" s="1"/>
  <c r="I375" i="4" s="1"/>
  <c r="I544" i="1"/>
  <c r="F379" i="4" s="1"/>
  <c r="L379" i="4" s="1"/>
  <c r="P293" i="4"/>
  <c r="P21" i="4"/>
  <c r="P446" i="4"/>
  <c r="O480" i="4"/>
  <c r="O562" i="4" s="1"/>
  <c r="O565" i="4" s="1"/>
  <c r="O369" i="4"/>
  <c r="L565" i="4"/>
  <c r="O236" i="4"/>
  <c r="P428" i="4"/>
  <c r="P16" i="4"/>
  <c r="P209" i="4"/>
  <c r="P342" i="4"/>
  <c r="P204" i="4"/>
  <c r="P254" i="4"/>
  <c r="P355" i="4"/>
  <c r="P298" i="4"/>
  <c r="P471" i="4"/>
  <c r="Q467" i="4"/>
  <c r="Q475" i="4"/>
  <c r="Q504" i="4"/>
  <c r="R2" i="4"/>
  <c r="S2" i="4" s="1"/>
  <c r="T2" i="4" s="1"/>
  <c r="U2" i="4" s="1"/>
  <c r="V2" i="4" s="1"/>
  <c r="Q495" i="4"/>
  <c r="Q477" i="4"/>
  <c r="Q468" i="4"/>
  <c r="M468" i="4" s="1"/>
  <c r="Q466" i="4"/>
  <c r="Q469" i="4"/>
  <c r="M469" i="4" s="1"/>
  <c r="U469" i="4" s="1"/>
  <c r="V469" i="4" s="1"/>
  <c r="Q279" i="4"/>
  <c r="Q247" i="4"/>
  <c r="Q291" i="4"/>
  <c r="Q345" i="4"/>
  <c r="Q301" i="4"/>
  <c r="Q309" i="4"/>
  <c r="Q308" i="4"/>
  <c r="Q331" i="4"/>
  <c r="Q307" i="4"/>
  <c r="Q320" i="4"/>
  <c r="Q243" i="4"/>
  <c r="Q264" i="4"/>
  <c r="Q352" i="4"/>
  <c r="Q336" i="4"/>
  <c r="Q266" i="4"/>
  <c r="Q354" i="4"/>
  <c r="Q323" i="4"/>
  <c r="Q353" i="4"/>
  <c r="Q198" i="4"/>
  <c r="Q265" i="4"/>
  <c r="Q364" i="4"/>
  <c r="Q341" i="4"/>
  <c r="Q252" i="4"/>
  <c r="Q367" i="4"/>
  <c r="Q215" i="4"/>
  <c r="Q348" i="4"/>
  <c r="Q260" i="4"/>
  <c r="Q317" i="4"/>
  <c r="Q202" i="4"/>
  <c r="Q361" i="4"/>
  <c r="Q257" i="4"/>
  <c r="Q287" i="4"/>
  <c r="Q253" i="4"/>
  <c r="Q248" i="4"/>
  <c r="Q310" i="4"/>
  <c r="Q296" i="4"/>
  <c r="Q340" i="4"/>
  <c r="Q234" i="4"/>
  <c r="Q273" i="4"/>
  <c r="Q335" i="4"/>
  <c r="Q263" i="4"/>
  <c r="Q351" i="4"/>
  <c r="Q276" i="4"/>
  <c r="Q297" i="4"/>
  <c r="Q292" i="4"/>
  <c r="Q207" i="4"/>
  <c r="Q304" i="4"/>
  <c r="Q19" i="4"/>
  <c r="Q286" i="4"/>
  <c r="Q231" i="4"/>
  <c r="Q218" i="4"/>
  <c r="Q330" i="4"/>
  <c r="Q208" i="4"/>
  <c r="Q242" i="4"/>
  <c r="Q34" i="4"/>
  <c r="Q20" i="4"/>
  <c r="Q14" i="4"/>
  <c r="Q203" i="4"/>
  <c r="Q228" i="4"/>
  <c r="Q15" i="4"/>
  <c r="Q221" i="4"/>
  <c r="Q219" i="4"/>
  <c r="Q220" i="4"/>
  <c r="Q27" i="4"/>
  <c r="Q212" i="4"/>
  <c r="Q44" i="4"/>
  <c r="Q426" i="4"/>
  <c r="Q432" i="4"/>
  <c r="Q41" i="4"/>
  <c r="Q10" i="4"/>
  <c r="Q47" i="4"/>
  <c r="Q9" i="4"/>
  <c r="Q439" i="4"/>
  <c r="Q31" i="4"/>
  <c r="Q32" i="4"/>
  <c r="Q445" i="4"/>
  <c r="Q24" i="4"/>
  <c r="Q197" i="4"/>
  <c r="Q431" i="4"/>
  <c r="Q33" i="4"/>
  <c r="Q449" i="4"/>
  <c r="Q427" i="4"/>
  <c r="Q452" i="4"/>
  <c r="Q314" i="4"/>
  <c r="Q358" i="4"/>
  <c r="Q38" i="4"/>
  <c r="Q442" i="4"/>
  <c r="Q422" i="4"/>
  <c r="Q436" i="4"/>
  <c r="Q444" i="4"/>
  <c r="Q458" i="4"/>
  <c r="Q225" i="4"/>
  <c r="Q270" i="4"/>
  <c r="Q455" i="4"/>
  <c r="Q443" i="4"/>
  <c r="Q421" i="4"/>
  <c r="O49" i="4"/>
  <c r="O501" i="4" s="1"/>
  <c r="P35" i="4"/>
  <c r="P222" i="4"/>
  <c r="P267" i="4"/>
  <c r="P249" i="4"/>
  <c r="P337" i="4"/>
  <c r="P311" i="4"/>
  <c r="P478" i="4"/>
  <c r="S544" i="1"/>
  <c r="F402" i="4" s="1"/>
  <c r="M402" i="4" s="1"/>
  <c r="O544" i="1"/>
  <c r="F395" i="4" s="1"/>
  <c r="J395" i="4" s="1"/>
  <c r="G496" i="4"/>
  <c r="G524" i="4"/>
  <c r="U236" i="4"/>
  <c r="V236" i="4" s="1"/>
  <c r="G512" i="4"/>
  <c r="G484" i="4"/>
  <c r="G501" i="4"/>
  <c r="U501" i="4" s="1"/>
  <c r="V501" i="4" s="1"/>
  <c r="U49" i="4"/>
  <c r="V49" i="4" s="1"/>
  <c r="S171" i="4"/>
  <c r="R171" i="4"/>
  <c r="L171" i="4"/>
  <c r="N171" i="4"/>
  <c r="H171" i="4"/>
  <c r="M171" i="4"/>
  <c r="Q171" i="4"/>
  <c r="F175" i="4"/>
  <c r="O171" i="4"/>
  <c r="K171" i="4"/>
  <c r="I171" i="4"/>
  <c r="G171" i="4"/>
  <c r="T171" i="4"/>
  <c r="J171" i="4"/>
  <c r="P171" i="4"/>
  <c r="R141" i="4"/>
  <c r="H141" i="4"/>
  <c r="J141" i="4"/>
  <c r="M141" i="4"/>
  <c r="G141" i="4"/>
  <c r="S141" i="4"/>
  <c r="P141" i="4"/>
  <c r="N141" i="4"/>
  <c r="L141" i="4"/>
  <c r="O141" i="4"/>
  <c r="Q141" i="4"/>
  <c r="I141" i="4"/>
  <c r="K141" i="4"/>
  <c r="T141" i="4"/>
  <c r="N122" i="4"/>
  <c r="S122" i="4"/>
  <c r="R122" i="4"/>
  <c r="H122" i="4"/>
  <c r="J122" i="4"/>
  <c r="M122" i="4"/>
  <c r="Q122" i="4"/>
  <c r="O122" i="4"/>
  <c r="K122" i="4"/>
  <c r="T122" i="4"/>
  <c r="G122" i="4"/>
  <c r="I122" i="4"/>
  <c r="L122" i="4"/>
  <c r="P122" i="4"/>
  <c r="O75" i="4"/>
  <c r="G75" i="4"/>
  <c r="I75" i="4"/>
  <c r="L75" i="4"/>
  <c r="K75" i="4"/>
  <c r="R75" i="4"/>
  <c r="P75" i="4"/>
  <c r="T75" i="4"/>
  <c r="J75" i="4"/>
  <c r="N75" i="4"/>
  <c r="Q75" i="4"/>
  <c r="H75" i="4"/>
  <c r="M75" i="4"/>
  <c r="S75" i="4"/>
  <c r="K62" i="4"/>
  <c r="S62" i="4"/>
  <c r="H62" i="4"/>
  <c r="J62" i="4"/>
  <c r="P62" i="4"/>
  <c r="R62" i="4"/>
  <c r="G62" i="4"/>
  <c r="L62" i="4"/>
  <c r="Q62" i="4"/>
  <c r="F64" i="4"/>
  <c r="M62" i="4"/>
  <c r="T62" i="4"/>
  <c r="N62" i="4"/>
  <c r="I62" i="4"/>
  <c r="O62" i="4"/>
  <c r="U423" i="4"/>
  <c r="V423" i="4" s="1"/>
  <c r="G460" i="4"/>
  <c r="F626" i="4"/>
  <c r="H32" i="27"/>
  <c r="H151" i="4"/>
  <c r="J151" i="4"/>
  <c r="M151" i="4"/>
  <c r="O151" i="4"/>
  <c r="K151" i="4"/>
  <c r="T151" i="4"/>
  <c r="P151" i="4"/>
  <c r="S151" i="4"/>
  <c r="I151" i="4"/>
  <c r="L151" i="4"/>
  <c r="Q151" i="4"/>
  <c r="N151" i="4"/>
  <c r="G151" i="4"/>
  <c r="R151" i="4"/>
  <c r="N115" i="4"/>
  <c r="S115" i="4"/>
  <c r="I115" i="4"/>
  <c r="P115" i="4"/>
  <c r="O115" i="4"/>
  <c r="T115" i="4"/>
  <c r="K115" i="4"/>
  <c r="G115" i="4"/>
  <c r="J115" i="4"/>
  <c r="R115" i="4"/>
  <c r="L115" i="4"/>
  <c r="H115" i="4"/>
  <c r="M115" i="4"/>
  <c r="Q115" i="4"/>
  <c r="G172" i="4"/>
  <c r="K172" i="4"/>
  <c r="L172" i="4"/>
  <c r="N172" i="4"/>
  <c r="S172" i="4"/>
  <c r="P172" i="4"/>
  <c r="Q172" i="4"/>
  <c r="M172" i="4"/>
  <c r="R172" i="4"/>
  <c r="I172" i="4"/>
  <c r="H172" i="4"/>
  <c r="T172" i="4"/>
  <c r="J172" i="4"/>
  <c r="O172" i="4"/>
  <c r="T72" i="4"/>
  <c r="S72" i="4"/>
  <c r="I72" i="4"/>
  <c r="L72" i="4"/>
  <c r="P72" i="4"/>
  <c r="G72" i="4"/>
  <c r="R72" i="4"/>
  <c r="K72" i="4"/>
  <c r="H72" i="4"/>
  <c r="J72" i="4"/>
  <c r="M72" i="4"/>
  <c r="O72" i="4"/>
  <c r="N72" i="4"/>
  <c r="Q72" i="4"/>
  <c r="R178" i="4"/>
  <c r="N178" i="4"/>
  <c r="T178" i="4"/>
  <c r="M178" i="4"/>
  <c r="O178" i="4"/>
  <c r="L178" i="4"/>
  <c r="H178" i="4"/>
  <c r="I178" i="4"/>
  <c r="J178" i="4"/>
  <c r="K178" i="4"/>
  <c r="G178" i="4"/>
  <c r="S178" i="4"/>
  <c r="Q178" i="4"/>
  <c r="P178" i="4"/>
  <c r="H126" i="4"/>
  <c r="E29" i="29" s="1"/>
  <c r="S126" i="4"/>
  <c r="G126" i="4"/>
  <c r="L126" i="4"/>
  <c r="T126" i="4"/>
  <c r="J126" i="4"/>
  <c r="P126" i="4"/>
  <c r="O126" i="4"/>
  <c r="R126" i="4"/>
  <c r="I126" i="4"/>
  <c r="N126" i="4"/>
  <c r="K126" i="4"/>
  <c r="E29" i="34" s="1"/>
  <c r="M126" i="4"/>
  <c r="Q126" i="4"/>
  <c r="O80" i="4"/>
  <c r="G80" i="4"/>
  <c r="J80" i="4"/>
  <c r="P80" i="4"/>
  <c r="N80" i="4"/>
  <c r="L80" i="4"/>
  <c r="Q80" i="4"/>
  <c r="H80" i="4"/>
  <c r="K80" i="4"/>
  <c r="E15" i="34" s="1"/>
  <c r="M80" i="4"/>
  <c r="S80" i="4"/>
  <c r="T80" i="4"/>
  <c r="R80" i="4"/>
  <c r="I80" i="4"/>
  <c r="O114" i="4"/>
  <c r="G114" i="4"/>
  <c r="F116" i="4"/>
  <c r="L114" i="4"/>
  <c r="R114" i="4"/>
  <c r="H114" i="4"/>
  <c r="M114" i="4"/>
  <c r="Q114" i="4"/>
  <c r="S114" i="4"/>
  <c r="K114" i="4"/>
  <c r="I114" i="4"/>
  <c r="N114" i="4"/>
  <c r="T114" i="4"/>
  <c r="J114" i="4"/>
  <c r="P114" i="4"/>
  <c r="G135" i="4"/>
  <c r="N135" i="4"/>
  <c r="R135" i="4"/>
  <c r="H135" i="4"/>
  <c r="J135" i="4"/>
  <c r="P135" i="4"/>
  <c r="Q135" i="4"/>
  <c r="M135" i="4"/>
  <c r="T135" i="4"/>
  <c r="S135" i="4"/>
  <c r="K135" i="4"/>
  <c r="I135" i="4"/>
  <c r="L135" i="4"/>
  <c r="O135" i="4"/>
  <c r="W290" i="1"/>
  <c r="X290" i="1" s="1"/>
  <c r="G292" i="1"/>
  <c r="H30" i="27"/>
  <c r="N30" i="27"/>
  <c r="O156" i="4"/>
  <c r="S156" i="4"/>
  <c r="R156" i="4"/>
  <c r="N156" i="4"/>
  <c r="G156" i="4"/>
  <c r="H156" i="4"/>
  <c r="J156" i="4"/>
  <c r="P156" i="4"/>
  <c r="Q156" i="4"/>
  <c r="K156" i="4"/>
  <c r="T156" i="4"/>
  <c r="I156" i="4"/>
  <c r="L156" i="4"/>
  <c r="M156" i="4"/>
  <c r="K79" i="4"/>
  <c r="L15" i="34" s="1"/>
  <c r="S79" i="4"/>
  <c r="M79" i="4"/>
  <c r="G79" i="4"/>
  <c r="N79" i="4"/>
  <c r="I79" i="4"/>
  <c r="P79" i="4"/>
  <c r="T79" i="4"/>
  <c r="H79" i="4"/>
  <c r="J79" i="4"/>
  <c r="O79" i="4"/>
  <c r="R79" i="4"/>
  <c r="L79" i="4"/>
  <c r="Q79" i="4"/>
  <c r="R105" i="4"/>
  <c r="K105" i="4"/>
  <c r="J105" i="4"/>
  <c r="O105" i="4"/>
  <c r="S105" i="4"/>
  <c r="I105" i="4"/>
  <c r="P105" i="4"/>
  <c r="T105" i="4"/>
  <c r="H105" i="4"/>
  <c r="M105" i="4"/>
  <c r="G105" i="4"/>
  <c r="N105" i="4"/>
  <c r="L105" i="4"/>
  <c r="Q105" i="4"/>
  <c r="R58" i="4"/>
  <c r="T58" i="4"/>
  <c r="J58" i="4"/>
  <c r="O58" i="4"/>
  <c r="S58" i="4"/>
  <c r="I58" i="4"/>
  <c r="P58" i="4"/>
  <c r="N58" i="4"/>
  <c r="H58" i="4"/>
  <c r="M58" i="4"/>
  <c r="K58" i="4"/>
  <c r="G58" i="4"/>
  <c r="L58" i="4"/>
  <c r="Q58" i="4"/>
  <c r="R86" i="4"/>
  <c r="T86" i="4"/>
  <c r="N86" i="4"/>
  <c r="M86" i="4"/>
  <c r="O86" i="4"/>
  <c r="P86" i="4"/>
  <c r="K86" i="4"/>
  <c r="S86" i="4"/>
  <c r="Q86" i="4"/>
  <c r="L86" i="4"/>
  <c r="H86" i="4"/>
  <c r="I86" i="4"/>
  <c r="J86" i="4"/>
  <c r="G86" i="4"/>
  <c r="N23" i="27"/>
  <c r="O63" i="4"/>
  <c r="K63" i="4"/>
  <c r="J15" i="34" s="1"/>
  <c r="H63" i="4"/>
  <c r="J15" i="29" s="1"/>
  <c r="J63" i="4"/>
  <c r="T63" i="4"/>
  <c r="R63" i="4"/>
  <c r="L63" i="4"/>
  <c r="Q63" i="4"/>
  <c r="N63" i="4"/>
  <c r="S63" i="4"/>
  <c r="P63" i="4"/>
  <c r="G63" i="4"/>
  <c r="M63" i="4"/>
  <c r="I63" i="4"/>
  <c r="R110" i="4"/>
  <c r="H110" i="4"/>
  <c r="J29" i="29" s="1"/>
  <c r="J110" i="4"/>
  <c r="M110" i="4"/>
  <c r="O110" i="4"/>
  <c r="N110" i="4"/>
  <c r="L110" i="4"/>
  <c r="Q110" i="4"/>
  <c r="T110" i="4"/>
  <c r="K110" i="4"/>
  <c r="J29" i="34" s="1"/>
  <c r="P110" i="4"/>
  <c r="G110" i="4"/>
  <c r="S110" i="4"/>
  <c r="I110" i="4"/>
  <c r="G95" i="4"/>
  <c r="K95" i="4"/>
  <c r="H95" i="4"/>
  <c r="J95" i="4"/>
  <c r="M95" i="4"/>
  <c r="R95" i="4"/>
  <c r="P95" i="4"/>
  <c r="N95" i="4"/>
  <c r="L95" i="4"/>
  <c r="O95" i="4"/>
  <c r="T95" i="4"/>
  <c r="I95" i="4"/>
  <c r="S95" i="4"/>
  <c r="Q95" i="4"/>
  <c r="T181" i="4"/>
  <c r="H181" i="4"/>
  <c r="J181" i="4"/>
  <c r="M181" i="4"/>
  <c r="G181" i="4"/>
  <c r="N181" i="4"/>
  <c r="Q181" i="4"/>
  <c r="O181" i="4"/>
  <c r="S181" i="4"/>
  <c r="I181" i="4"/>
  <c r="L181" i="4"/>
  <c r="P181" i="4"/>
  <c r="K181" i="4"/>
  <c r="R181" i="4"/>
  <c r="S109" i="4"/>
  <c r="N109" i="4"/>
  <c r="M109" i="4"/>
  <c r="T109" i="4"/>
  <c r="K109" i="4"/>
  <c r="I109" i="4"/>
  <c r="O109" i="4"/>
  <c r="G109" i="4"/>
  <c r="H109" i="4"/>
  <c r="J109" i="4"/>
  <c r="P109" i="4"/>
  <c r="R109" i="4"/>
  <c r="F111" i="4"/>
  <c r="L109" i="4"/>
  <c r="Q109" i="4"/>
  <c r="W462" i="1"/>
  <c r="X462" i="1" s="1"/>
  <c r="G464" i="1"/>
  <c r="U281" i="4"/>
  <c r="V281" i="4" s="1"/>
  <c r="G485" i="4"/>
  <c r="H127" i="4"/>
  <c r="M127" i="4"/>
  <c r="G127" i="4"/>
  <c r="I127" i="4"/>
  <c r="P127" i="4"/>
  <c r="N127" i="4"/>
  <c r="J127" i="4"/>
  <c r="O127" i="4"/>
  <c r="K127" i="4"/>
  <c r="L127" i="4"/>
  <c r="Q127" i="4"/>
  <c r="P81" i="4"/>
  <c r="K81" i="4"/>
  <c r="N81" i="4"/>
  <c r="I81" i="4"/>
  <c r="L81" i="4"/>
  <c r="Q81" i="4"/>
  <c r="O81" i="4"/>
  <c r="H81" i="4"/>
  <c r="M81" i="4"/>
  <c r="G81" i="4"/>
  <c r="J81" i="4"/>
  <c r="O119" i="4"/>
  <c r="K119" i="4"/>
  <c r="S119" i="4"/>
  <c r="J119" i="4"/>
  <c r="N119" i="4"/>
  <c r="T119" i="4"/>
  <c r="L119" i="4"/>
  <c r="Q119" i="4"/>
  <c r="R119" i="4"/>
  <c r="H119" i="4"/>
  <c r="M119" i="4"/>
  <c r="G119" i="4"/>
  <c r="I119" i="4"/>
  <c r="P119" i="4"/>
  <c r="R92" i="4"/>
  <c r="I92" i="4"/>
  <c r="L92" i="4"/>
  <c r="N92" i="4"/>
  <c r="K92" i="4"/>
  <c r="S92" i="4"/>
  <c r="O92" i="4"/>
  <c r="H92" i="4"/>
  <c r="J92" i="4"/>
  <c r="M92" i="4"/>
  <c r="G92" i="4"/>
  <c r="P92" i="4"/>
  <c r="T92" i="4"/>
  <c r="Q92" i="4"/>
  <c r="M138" i="4"/>
  <c r="R138" i="4"/>
  <c r="K138" i="4"/>
  <c r="I138" i="4"/>
  <c r="L138" i="4"/>
  <c r="G138" i="4"/>
  <c r="P138" i="4"/>
  <c r="T138" i="4"/>
  <c r="N138" i="4"/>
  <c r="H138" i="4"/>
  <c r="J138" i="4"/>
  <c r="S138" i="4"/>
  <c r="O138" i="4"/>
  <c r="Q138" i="4"/>
  <c r="P174" i="4"/>
  <c r="O174" i="4"/>
  <c r="H174" i="4"/>
  <c r="I174" i="4"/>
  <c r="L174" i="4"/>
  <c r="K174" i="4"/>
  <c r="Q174" i="4"/>
  <c r="G174" i="4"/>
  <c r="N174" i="4"/>
  <c r="J174" i="4"/>
  <c r="M174" i="4"/>
  <c r="S168" i="4"/>
  <c r="G168" i="4"/>
  <c r="K168" i="4"/>
  <c r="H168" i="4"/>
  <c r="J168" i="4"/>
  <c r="M168" i="4"/>
  <c r="Q168" i="4"/>
  <c r="O168" i="4"/>
  <c r="T168" i="4"/>
  <c r="N168" i="4"/>
  <c r="R168" i="4"/>
  <c r="I168" i="4"/>
  <c r="L168" i="4"/>
  <c r="P168" i="4"/>
  <c r="F69" i="4"/>
  <c r="K89" i="4"/>
  <c r="T89" i="4"/>
  <c r="G89" i="4"/>
  <c r="J89" i="4"/>
  <c r="I89" i="4"/>
  <c r="O89" i="4"/>
  <c r="Q89" i="4"/>
  <c r="M89" i="4"/>
  <c r="N89" i="4"/>
  <c r="R89" i="4"/>
  <c r="H89" i="4"/>
  <c r="S89" i="4"/>
  <c r="L89" i="4"/>
  <c r="P89" i="4"/>
  <c r="O125" i="4"/>
  <c r="K125" i="4"/>
  <c r="L29" i="34" s="1"/>
  <c r="H125" i="4"/>
  <c r="J125" i="4"/>
  <c r="S125" i="4"/>
  <c r="R125" i="4"/>
  <c r="I125" i="4"/>
  <c r="P125" i="4"/>
  <c r="T125" i="4"/>
  <c r="N125" i="4"/>
  <c r="M125" i="4"/>
  <c r="G125" i="4"/>
  <c r="L125" i="4"/>
  <c r="Q125" i="4"/>
  <c r="O132" i="4"/>
  <c r="H132" i="4"/>
  <c r="I132" i="4"/>
  <c r="P132" i="4"/>
  <c r="J132" i="4"/>
  <c r="K132" i="4"/>
  <c r="R132" i="4"/>
  <c r="T132" i="4"/>
  <c r="S132" i="4"/>
  <c r="N132" i="4"/>
  <c r="M132" i="4"/>
  <c r="Q132" i="4"/>
  <c r="L132" i="4"/>
  <c r="G132" i="4"/>
  <c r="P155" i="4"/>
  <c r="R155" i="4"/>
  <c r="J155" i="4"/>
  <c r="T155" i="4"/>
  <c r="F157" i="4"/>
  <c r="G155" i="4"/>
  <c r="L155" i="4"/>
  <c r="Q155" i="4"/>
  <c r="K155" i="4"/>
  <c r="M155" i="4"/>
  <c r="S155" i="4"/>
  <c r="O155" i="4"/>
  <c r="H155" i="4"/>
  <c r="N155" i="4"/>
  <c r="I155" i="4"/>
  <c r="P544" i="1"/>
  <c r="F396" i="4" s="1"/>
  <c r="J544" i="1"/>
  <c r="F380" i="4" s="1"/>
  <c r="R544" i="1" l="1"/>
  <c r="F398" i="4" s="1"/>
  <c r="L82" i="4"/>
  <c r="F83" i="4"/>
  <c r="I82" i="4"/>
  <c r="K82" i="4"/>
  <c r="F15" i="34" s="1"/>
  <c r="Q82" i="4"/>
  <c r="P82" i="4"/>
  <c r="P83" i="4" s="1"/>
  <c r="J82" i="4"/>
  <c r="S379" i="4"/>
  <c r="N82" i="4"/>
  <c r="H82" i="4"/>
  <c r="F15" i="29" s="1"/>
  <c r="F646" i="4"/>
  <c r="M82" i="4"/>
  <c r="M646" i="4" s="1"/>
  <c r="O82" i="4"/>
  <c r="O83" i="4" s="1"/>
  <c r="F129" i="4"/>
  <c r="F631" i="4" s="1"/>
  <c r="P128" i="4"/>
  <c r="P129" i="4" s="1"/>
  <c r="P631" i="4" s="1"/>
  <c r="I128" i="4"/>
  <c r="J128" i="4"/>
  <c r="Q128" i="4"/>
  <c r="Q129" i="4" s="1"/>
  <c r="Q631" i="4" s="1"/>
  <c r="H128" i="4"/>
  <c r="F29" i="29" s="1"/>
  <c r="M128" i="4"/>
  <c r="M129" i="4" s="1"/>
  <c r="M631" i="4" s="1"/>
  <c r="O128" i="4"/>
  <c r="O129" i="4" s="1"/>
  <c r="O631" i="4" s="1"/>
  <c r="K128" i="4"/>
  <c r="F29" i="34" s="1"/>
  <c r="G128" i="4"/>
  <c r="F29" i="27" s="1"/>
  <c r="L128" i="4"/>
  <c r="L129" i="4" s="1"/>
  <c r="L631" i="4" s="1"/>
  <c r="N510" i="4"/>
  <c r="I29" i="29"/>
  <c r="I29" i="34"/>
  <c r="I15" i="34"/>
  <c r="K15" i="34"/>
  <c r="G29" i="34"/>
  <c r="D11" i="26"/>
  <c r="G15" i="34"/>
  <c r="K29" i="34"/>
  <c r="D14" i="26"/>
  <c r="I162" i="4"/>
  <c r="I15" i="29"/>
  <c r="K29" i="29"/>
  <c r="E15" i="29"/>
  <c r="I15" i="27"/>
  <c r="K29" i="27"/>
  <c r="I29" i="27"/>
  <c r="K162" i="4"/>
  <c r="R162" i="4"/>
  <c r="M510" i="4"/>
  <c r="L510" i="4"/>
  <c r="U68" i="4"/>
  <c r="V68" i="4" s="1"/>
  <c r="U67" i="4"/>
  <c r="V67" i="4" s="1"/>
  <c r="T379" i="4"/>
  <c r="Q423" i="4"/>
  <c r="K510" i="4"/>
  <c r="K379" i="4"/>
  <c r="I31" i="34" s="1"/>
  <c r="M379" i="4"/>
  <c r="J379" i="4"/>
  <c r="N379" i="4"/>
  <c r="H379" i="4"/>
  <c r="I31" i="29" s="1"/>
  <c r="R379" i="4"/>
  <c r="G379" i="4"/>
  <c r="P379" i="4"/>
  <c r="O379" i="4"/>
  <c r="Q379" i="4"/>
  <c r="I379" i="4"/>
  <c r="L162" i="4"/>
  <c r="Q162" i="4"/>
  <c r="S162" i="4"/>
  <c r="N162" i="4"/>
  <c r="J510" i="4"/>
  <c r="I510" i="4"/>
  <c r="I627" i="4"/>
  <c r="M162" i="4"/>
  <c r="T386" i="4"/>
  <c r="H162" i="4"/>
  <c r="O510" i="4"/>
  <c r="H626" i="4"/>
  <c r="H627" i="4" s="1"/>
  <c r="S389" i="4"/>
  <c r="T389" i="4"/>
  <c r="T162" i="4"/>
  <c r="R375" i="4"/>
  <c r="P162" i="4"/>
  <c r="K386" i="4"/>
  <c r="O162" i="4"/>
  <c r="G162" i="4"/>
  <c r="U512" i="4"/>
  <c r="V512" i="4" s="1"/>
  <c r="L395" i="4"/>
  <c r="U485" i="4"/>
  <c r="V485" i="4" s="1"/>
  <c r="U184" i="4"/>
  <c r="V184" i="4" s="1"/>
  <c r="L389" i="4"/>
  <c r="R389" i="4"/>
  <c r="G389" i="4"/>
  <c r="O389" i="4"/>
  <c r="H389" i="4"/>
  <c r="J389" i="4"/>
  <c r="P389" i="4"/>
  <c r="K389" i="4"/>
  <c r="N389" i="4"/>
  <c r="Q389" i="4"/>
  <c r="M389" i="4"/>
  <c r="S375" i="4"/>
  <c r="U161" i="4"/>
  <c r="V161" i="4" s="1"/>
  <c r="H386" i="4"/>
  <c r="U160" i="4"/>
  <c r="V160" i="4" s="1"/>
  <c r="N386" i="4"/>
  <c r="I386" i="4"/>
  <c r="U165" i="4"/>
  <c r="V165" i="4" s="1"/>
  <c r="T395" i="4"/>
  <c r="S395" i="4"/>
  <c r="G395" i="4"/>
  <c r="L31" i="27" s="1"/>
  <c r="H395" i="4"/>
  <c r="L31" i="29" s="1"/>
  <c r="R395" i="4"/>
  <c r="I395" i="4"/>
  <c r="N395" i="4"/>
  <c r="Q386" i="4"/>
  <c r="O386" i="4"/>
  <c r="O485" i="4"/>
  <c r="Q397" i="4"/>
  <c r="M386" i="4"/>
  <c r="M395" i="4"/>
  <c r="P395" i="4"/>
  <c r="K395" i="4"/>
  <c r="L31" i="34" s="1"/>
  <c r="O395" i="4"/>
  <c r="Q395" i="4"/>
  <c r="P386" i="4"/>
  <c r="G386" i="4"/>
  <c r="L627" i="4"/>
  <c r="M627" i="4"/>
  <c r="K627" i="4"/>
  <c r="R386" i="4"/>
  <c r="U385" i="4"/>
  <c r="V385" i="4" s="1"/>
  <c r="J157" i="4"/>
  <c r="P116" i="4"/>
  <c r="L386" i="4"/>
  <c r="T405" i="4"/>
  <c r="S402" i="4"/>
  <c r="N405" i="4"/>
  <c r="S386" i="4"/>
  <c r="U384" i="4"/>
  <c r="V384" i="4" s="1"/>
  <c r="J397" i="4"/>
  <c r="S157" i="4"/>
  <c r="N397" i="4"/>
  <c r="U187" i="4"/>
  <c r="V187" i="4" s="1"/>
  <c r="T375" i="4"/>
  <c r="O375" i="4"/>
  <c r="Q375" i="4"/>
  <c r="L375" i="4"/>
  <c r="J375" i="4"/>
  <c r="H375" i="4"/>
  <c r="N375" i="4"/>
  <c r="K375" i="4"/>
  <c r="G375" i="4"/>
  <c r="P375" i="4"/>
  <c r="R157" i="4"/>
  <c r="M375" i="4"/>
  <c r="T157" i="4"/>
  <c r="M69" i="4"/>
  <c r="Q69" i="4"/>
  <c r="P69" i="4"/>
  <c r="P405" i="4"/>
  <c r="M405" i="4"/>
  <c r="L405" i="4"/>
  <c r="J405" i="4"/>
  <c r="I405" i="4"/>
  <c r="H405" i="4"/>
  <c r="S405" i="4"/>
  <c r="J402" i="4"/>
  <c r="K405" i="4"/>
  <c r="G405" i="4"/>
  <c r="L402" i="4"/>
  <c r="O405" i="4"/>
  <c r="R405" i="4"/>
  <c r="K402" i="4"/>
  <c r="Q157" i="4"/>
  <c r="Q116" i="4"/>
  <c r="T116" i="4"/>
  <c r="M411" i="4"/>
  <c r="O157" i="4"/>
  <c r="M397" i="4"/>
  <c r="P397" i="4"/>
  <c r="H397" i="4"/>
  <c r="M157" i="4"/>
  <c r="G397" i="4"/>
  <c r="K397" i="4"/>
  <c r="O397" i="4"/>
  <c r="L397" i="4"/>
  <c r="H69" i="4"/>
  <c r="S129" i="4"/>
  <c r="L157" i="4"/>
  <c r="Q111" i="4"/>
  <c r="S411" i="4"/>
  <c r="R411" i="4"/>
  <c r="H411" i="4"/>
  <c r="J411" i="4"/>
  <c r="T411" i="4"/>
  <c r="N69" i="4"/>
  <c r="G411" i="4"/>
  <c r="P411" i="4"/>
  <c r="K411" i="4"/>
  <c r="Q411" i="4"/>
  <c r="O411" i="4"/>
  <c r="I411" i="4"/>
  <c r="S392" i="4"/>
  <c r="Q392" i="4"/>
  <c r="U484" i="4"/>
  <c r="V484" i="4" s="1"/>
  <c r="H116" i="4"/>
  <c r="P392" i="4"/>
  <c r="M392" i="4"/>
  <c r="Q332" i="4"/>
  <c r="I392" i="4"/>
  <c r="J392" i="4"/>
  <c r="R392" i="4"/>
  <c r="H392" i="4"/>
  <c r="O392" i="4"/>
  <c r="K392" i="4"/>
  <c r="L392" i="4"/>
  <c r="T392" i="4"/>
  <c r="G392" i="4"/>
  <c r="L411" i="4"/>
  <c r="K157" i="4"/>
  <c r="K111" i="4"/>
  <c r="O116" i="4"/>
  <c r="I69" i="4"/>
  <c r="M116" i="4"/>
  <c r="K15" i="29"/>
  <c r="U408" i="4"/>
  <c r="V408" i="4" s="1"/>
  <c r="M111" i="4"/>
  <c r="K69" i="4"/>
  <c r="P236" i="4"/>
  <c r="P484" i="4" s="1"/>
  <c r="P49" i="4"/>
  <c r="P501" i="4" s="1"/>
  <c r="T129" i="4"/>
  <c r="L116" i="4"/>
  <c r="I116" i="4"/>
  <c r="P157" i="4"/>
  <c r="Q337" i="4"/>
  <c r="R129" i="4"/>
  <c r="T402" i="4"/>
  <c r="R402" i="4"/>
  <c r="N402" i="4"/>
  <c r="L111" i="4"/>
  <c r="I157" i="4"/>
  <c r="G402" i="4"/>
  <c r="K116" i="4"/>
  <c r="P369" i="4"/>
  <c r="S83" i="4"/>
  <c r="S116" i="4"/>
  <c r="P402" i="4"/>
  <c r="Q199" i="4"/>
  <c r="Q244" i="4"/>
  <c r="N157" i="4"/>
  <c r="N129" i="4"/>
  <c r="N631" i="4" s="1"/>
  <c r="Q402" i="4"/>
  <c r="J69" i="4"/>
  <c r="I402" i="4"/>
  <c r="O402" i="4"/>
  <c r="H402" i="4"/>
  <c r="N627" i="4"/>
  <c r="J116" i="4"/>
  <c r="R111" i="4"/>
  <c r="T111" i="4"/>
  <c r="O627" i="4"/>
  <c r="H157" i="4"/>
  <c r="N116" i="4"/>
  <c r="Q355" i="4"/>
  <c r="G646" i="4"/>
  <c r="R83" i="4"/>
  <c r="O69" i="4"/>
  <c r="J627" i="4"/>
  <c r="Q11" i="4"/>
  <c r="T69" i="4"/>
  <c r="L69" i="4"/>
  <c r="P111" i="4"/>
  <c r="O111" i="4"/>
  <c r="S111" i="4"/>
  <c r="G29" i="29"/>
  <c r="R69" i="4"/>
  <c r="S69" i="4"/>
  <c r="L646" i="4"/>
  <c r="N111" i="4"/>
  <c r="R116" i="4"/>
  <c r="T83" i="4"/>
  <c r="P460" i="4"/>
  <c r="P626" i="4" s="1"/>
  <c r="P627" i="4" s="1"/>
  <c r="Q288" i="4"/>
  <c r="Q267" i="4"/>
  <c r="Q342" i="4"/>
  <c r="J111" i="4"/>
  <c r="I111" i="4"/>
  <c r="P281" i="4"/>
  <c r="Q433" i="4"/>
  <c r="P325" i="4"/>
  <c r="O484" i="4"/>
  <c r="O512" i="4"/>
  <c r="O496" i="4"/>
  <c r="O524" i="4"/>
  <c r="Q446" i="4"/>
  <c r="Q428" i="4"/>
  <c r="Q16" i="4"/>
  <c r="Q222" i="4"/>
  <c r="Q204" i="4"/>
  <c r="Q254" i="4"/>
  <c r="Q311" i="4"/>
  <c r="Q293" i="4"/>
  <c r="Q471" i="4"/>
  <c r="Q478" i="4"/>
  <c r="P480" i="4"/>
  <c r="P562" i="4" s="1"/>
  <c r="P565" i="4" s="1"/>
  <c r="U468" i="4"/>
  <c r="V468" i="4" s="1"/>
  <c r="M471" i="4"/>
  <c r="Q35" i="4"/>
  <c r="Q21" i="4"/>
  <c r="Q209" i="4"/>
  <c r="Q298" i="4"/>
  <c r="Q249" i="4"/>
  <c r="U92" i="4"/>
  <c r="V92" i="4" s="1"/>
  <c r="U178" i="4"/>
  <c r="V178" i="4" s="1"/>
  <c r="S380" i="4"/>
  <c r="J380" i="4"/>
  <c r="O380" i="4"/>
  <c r="T380" i="4"/>
  <c r="K380" i="4"/>
  <c r="J31" i="34" s="1"/>
  <c r="M380" i="4"/>
  <c r="R380" i="4"/>
  <c r="G380" i="4"/>
  <c r="J32" i="27" s="1"/>
  <c r="L380" i="4"/>
  <c r="L381" i="4" s="1"/>
  <c r="P380" i="4"/>
  <c r="N380" i="4"/>
  <c r="H380" i="4"/>
  <c r="J31" i="29" s="1"/>
  <c r="I380" i="4"/>
  <c r="Q380" i="4"/>
  <c r="S396" i="4"/>
  <c r="K396" i="4"/>
  <c r="E31" i="34" s="1"/>
  <c r="L396" i="4"/>
  <c r="T396" i="4"/>
  <c r="P396" i="4"/>
  <c r="I396" i="4"/>
  <c r="H396" i="4"/>
  <c r="E31" i="29" s="1"/>
  <c r="O396" i="4"/>
  <c r="G396" i="4"/>
  <c r="J396" i="4"/>
  <c r="Q396" i="4"/>
  <c r="N396" i="4"/>
  <c r="R396" i="4"/>
  <c r="M396" i="4"/>
  <c r="L29" i="27"/>
  <c r="U125" i="4"/>
  <c r="V125" i="4" s="1"/>
  <c r="U132" i="4"/>
  <c r="V132" i="4" s="1"/>
  <c r="G29" i="27"/>
  <c r="U119" i="4"/>
  <c r="V119" i="4" s="1"/>
  <c r="W464" i="1"/>
  <c r="X464" i="1" s="1"/>
  <c r="G124" i="1"/>
  <c r="F104" i="4"/>
  <c r="G629" i="1"/>
  <c r="W629" i="1" s="1"/>
  <c r="X629" i="1" s="1"/>
  <c r="G111" i="4"/>
  <c r="U109" i="4"/>
  <c r="V109" i="4" s="1"/>
  <c r="U63" i="4"/>
  <c r="V63" i="4" s="1"/>
  <c r="J15" i="27"/>
  <c r="G15" i="27"/>
  <c r="U86" i="4"/>
  <c r="V86" i="4" s="1"/>
  <c r="K15" i="27"/>
  <c r="U58" i="4"/>
  <c r="V58" i="4" s="1"/>
  <c r="U105" i="4"/>
  <c r="V105" i="4" s="1"/>
  <c r="F150" i="4"/>
  <c r="G632" i="1"/>
  <c r="W632" i="1" s="1"/>
  <c r="X632" i="1" s="1"/>
  <c r="G539" i="1"/>
  <c r="W292" i="1"/>
  <c r="X292" i="1" s="1"/>
  <c r="G540" i="1"/>
  <c r="W540" i="1" s="1"/>
  <c r="X540" i="1" s="1"/>
  <c r="U80" i="4"/>
  <c r="V80" i="4" s="1"/>
  <c r="E15" i="27"/>
  <c r="U126" i="4"/>
  <c r="V126" i="4" s="1"/>
  <c r="E29" i="27"/>
  <c r="G64" i="4"/>
  <c r="U62" i="4"/>
  <c r="V62" i="4" s="1"/>
  <c r="H64" i="4"/>
  <c r="G175" i="4"/>
  <c r="U171" i="4"/>
  <c r="V171" i="4" s="1"/>
  <c r="U496" i="4"/>
  <c r="V496" i="4" s="1"/>
  <c r="U89" i="4"/>
  <c r="V89" i="4" s="1"/>
  <c r="U181" i="4"/>
  <c r="V181" i="4" s="1"/>
  <c r="U95" i="4"/>
  <c r="V95" i="4" s="1"/>
  <c r="L83" i="4"/>
  <c r="N83" i="4"/>
  <c r="M83" i="4"/>
  <c r="K83" i="4"/>
  <c r="U135" i="4"/>
  <c r="V135" i="4" s="1"/>
  <c r="U72" i="4"/>
  <c r="V72" i="4" s="1"/>
  <c r="U172" i="4"/>
  <c r="V172" i="4" s="1"/>
  <c r="U115" i="4"/>
  <c r="V115" i="4" s="1"/>
  <c r="U151" i="4"/>
  <c r="V151" i="4" s="1"/>
  <c r="I64" i="4"/>
  <c r="T64" i="4"/>
  <c r="Q64" i="4"/>
  <c r="P64" i="4"/>
  <c r="K64" i="4"/>
  <c r="U122" i="4"/>
  <c r="V122" i="4" s="1"/>
  <c r="J175" i="4"/>
  <c r="K175" i="4"/>
  <c r="M175" i="4"/>
  <c r="N175" i="4"/>
  <c r="R175" i="4"/>
  <c r="U155" i="4"/>
  <c r="V155" i="4" s="1"/>
  <c r="G157" i="4"/>
  <c r="L29" i="29"/>
  <c r="G69" i="4"/>
  <c r="H111" i="4"/>
  <c r="J29" i="27"/>
  <c r="U110" i="4"/>
  <c r="V110" i="4" s="1"/>
  <c r="I398" i="4"/>
  <c r="Q398" i="4"/>
  <c r="K398" i="4"/>
  <c r="F31" i="34" s="1"/>
  <c r="M398" i="4"/>
  <c r="G398" i="4"/>
  <c r="F31" i="27" s="1"/>
  <c r="L398" i="4"/>
  <c r="H398" i="4"/>
  <c r="F31" i="29" s="1"/>
  <c r="P398" i="4"/>
  <c r="N398" i="4"/>
  <c r="O398" i="4"/>
  <c r="J398" i="4"/>
  <c r="L15" i="29"/>
  <c r="H83" i="4"/>
  <c r="L15" i="27"/>
  <c r="U79" i="4"/>
  <c r="V79" i="4" s="1"/>
  <c r="G83" i="4"/>
  <c r="U114" i="4"/>
  <c r="V114" i="4" s="1"/>
  <c r="G116" i="4"/>
  <c r="G626" i="4"/>
  <c r="U460" i="4"/>
  <c r="V460" i="4" s="1"/>
  <c r="G510" i="4"/>
  <c r="U524" i="4"/>
  <c r="V524" i="4" s="1"/>
  <c r="U168" i="4"/>
  <c r="V168" i="4" s="1"/>
  <c r="U138" i="4"/>
  <c r="V138" i="4" s="1"/>
  <c r="F399" i="4"/>
  <c r="F381" i="4"/>
  <c r="G15" i="29"/>
  <c r="Q83" i="4"/>
  <c r="U156" i="4"/>
  <c r="V156" i="4" s="1"/>
  <c r="O64" i="4"/>
  <c r="N64" i="4"/>
  <c r="M64" i="4"/>
  <c r="L64" i="4"/>
  <c r="R64" i="4"/>
  <c r="J64" i="4"/>
  <c r="S64" i="4"/>
  <c r="U75" i="4"/>
  <c r="V75" i="4" s="1"/>
  <c r="U141" i="4"/>
  <c r="V141" i="4" s="1"/>
  <c r="P175" i="4"/>
  <c r="T175" i="4"/>
  <c r="I175" i="4"/>
  <c r="O175" i="4"/>
  <c r="Q175" i="4"/>
  <c r="H175" i="4"/>
  <c r="L175" i="4"/>
  <c r="S175" i="4"/>
  <c r="H129" i="4" l="1"/>
  <c r="H631" i="4" s="1"/>
  <c r="I646" i="4"/>
  <c r="K646" i="4"/>
  <c r="I83" i="4"/>
  <c r="H646" i="4"/>
  <c r="J83" i="4"/>
  <c r="J646" i="4"/>
  <c r="H15" i="34"/>
  <c r="S381" i="4"/>
  <c r="H29" i="29"/>
  <c r="J129" i="4"/>
  <c r="J631" i="4" s="1"/>
  <c r="I129" i="4"/>
  <c r="I631" i="4" s="1"/>
  <c r="K129" i="4"/>
  <c r="K631" i="4" s="1"/>
  <c r="G129" i="4"/>
  <c r="G631" i="4" s="1"/>
  <c r="H29" i="34"/>
  <c r="H15" i="29"/>
  <c r="G31" i="34"/>
  <c r="H31" i="34" s="1"/>
  <c r="I31" i="27"/>
  <c r="D16" i="26"/>
  <c r="E16" i="26" s="1"/>
  <c r="K31" i="34"/>
  <c r="K32" i="34"/>
  <c r="N32" i="34" s="1"/>
  <c r="K31" i="29"/>
  <c r="K32" i="29"/>
  <c r="N32" i="29" s="1"/>
  <c r="K31" i="27"/>
  <c r="K32" i="27"/>
  <c r="N32" i="27" s="1"/>
  <c r="T381" i="4"/>
  <c r="K381" i="4"/>
  <c r="O381" i="4"/>
  <c r="Q381" i="4"/>
  <c r="M381" i="4"/>
  <c r="N381" i="4"/>
  <c r="R381" i="4"/>
  <c r="U510" i="4"/>
  <c r="V510" i="4" s="1"/>
  <c r="U379" i="4"/>
  <c r="V379" i="4" s="1"/>
  <c r="G381" i="4"/>
  <c r="P381" i="4"/>
  <c r="U162" i="4"/>
  <c r="V162" i="4" s="1"/>
  <c r="T399" i="4"/>
  <c r="U389" i="4"/>
  <c r="V389" i="4" s="1"/>
  <c r="S399" i="4"/>
  <c r="U386" i="4"/>
  <c r="V386" i="4" s="1"/>
  <c r="R399" i="4"/>
  <c r="U395" i="4"/>
  <c r="V395" i="4" s="1"/>
  <c r="G31" i="29"/>
  <c r="H31" i="29" s="1"/>
  <c r="U405" i="4"/>
  <c r="V405" i="4" s="1"/>
  <c r="G31" i="27"/>
  <c r="U375" i="4"/>
  <c r="V375" i="4" s="1"/>
  <c r="U157" i="4"/>
  <c r="V157" i="4" s="1"/>
  <c r="U402" i="4"/>
  <c r="V402" i="4" s="1"/>
  <c r="U411" i="4"/>
  <c r="V411" i="4" s="1"/>
  <c r="P524" i="4"/>
  <c r="P512" i="4"/>
  <c r="P496" i="4"/>
  <c r="U392" i="4"/>
  <c r="V392" i="4" s="1"/>
  <c r="P510" i="4"/>
  <c r="J381" i="4"/>
  <c r="Q369" i="4"/>
  <c r="U116" i="4"/>
  <c r="V116" i="4" s="1"/>
  <c r="K399" i="4"/>
  <c r="H381" i="4"/>
  <c r="U69" i="4"/>
  <c r="V69" i="4" s="1"/>
  <c r="O399" i="4"/>
  <c r="L399" i="4"/>
  <c r="Q236" i="4"/>
  <c r="Q484" i="4" s="1"/>
  <c r="P399" i="4"/>
  <c r="Q49" i="4"/>
  <c r="Q501" i="4" s="1"/>
  <c r="Q281" i="4"/>
  <c r="Q460" i="4"/>
  <c r="Q510" i="4" s="1"/>
  <c r="E14" i="26"/>
  <c r="Q399" i="4"/>
  <c r="I381" i="4"/>
  <c r="J399" i="4"/>
  <c r="M399" i="4"/>
  <c r="N399" i="4"/>
  <c r="I399" i="4"/>
  <c r="Q325" i="4"/>
  <c r="P485" i="4"/>
  <c r="M480" i="4"/>
  <c r="U471" i="4"/>
  <c r="V471" i="4" s="1"/>
  <c r="Q480" i="4"/>
  <c r="Q562" i="4" s="1"/>
  <c r="Q565" i="4" s="1"/>
  <c r="U626" i="4"/>
  <c r="V626" i="4" s="1"/>
  <c r="G627" i="4"/>
  <c r="U627" i="4" s="1"/>
  <c r="V627" i="4" s="1"/>
  <c r="Q104" i="4"/>
  <c r="Q106" i="4" s="1"/>
  <c r="Q143" i="4" s="1"/>
  <c r="T104" i="4"/>
  <c r="T106" i="4" s="1"/>
  <c r="T143" i="4" s="1"/>
  <c r="O104" i="4"/>
  <c r="O106" i="4" s="1"/>
  <c r="O143" i="4" s="1"/>
  <c r="P104" i="4"/>
  <c r="P106" i="4" s="1"/>
  <c r="P143" i="4" s="1"/>
  <c r="K104" i="4"/>
  <c r="N104" i="4"/>
  <c r="N106" i="4" s="1"/>
  <c r="N143" i="4" s="1"/>
  <c r="G104" i="4"/>
  <c r="R104" i="4"/>
  <c r="R106" i="4" s="1"/>
  <c r="R143" i="4" s="1"/>
  <c r="S104" i="4"/>
  <c r="S106" i="4" s="1"/>
  <c r="S143" i="4" s="1"/>
  <c r="F106" i="4"/>
  <c r="H104" i="4"/>
  <c r="I104" i="4"/>
  <c r="J104" i="4"/>
  <c r="L104" i="4"/>
  <c r="L106" i="4" s="1"/>
  <c r="L143" i="4" s="1"/>
  <c r="M104" i="4"/>
  <c r="M106" i="4" s="1"/>
  <c r="M143" i="4" s="1"/>
  <c r="J31" i="27"/>
  <c r="U380" i="4"/>
  <c r="V380" i="4" s="1"/>
  <c r="U64" i="4"/>
  <c r="V64" i="4" s="1"/>
  <c r="G399" i="4"/>
  <c r="U111" i="4"/>
  <c r="V111" i="4" s="1"/>
  <c r="E11" i="26"/>
  <c r="H29" i="27"/>
  <c r="H15" i="27"/>
  <c r="W539" i="1"/>
  <c r="X539" i="1" s="1"/>
  <c r="G544" i="1"/>
  <c r="N150" i="4"/>
  <c r="N152" i="4" s="1"/>
  <c r="N189" i="4" s="1"/>
  <c r="T150" i="4"/>
  <c r="T152" i="4" s="1"/>
  <c r="T189" i="4" s="1"/>
  <c r="I150" i="4"/>
  <c r="I152" i="4" s="1"/>
  <c r="I189" i="4" s="1"/>
  <c r="M150" i="4"/>
  <c r="M152" i="4" s="1"/>
  <c r="M189" i="4" s="1"/>
  <c r="O150" i="4"/>
  <c r="O152" i="4" s="1"/>
  <c r="O189" i="4" s="1"/>
  <c r="F152" i="4"/>
  <c r="P150" i="4"/>
  <c r="P152" i="4" s="1"/>
  <c r="P189" i="4" s="1"/>
  <c r="L150" i="4"/>
  <c r="L152" i="4" s="1"/>
  <c r="L189" i="4" s="1"/>
  <c r="K150" i="4"/>
  <c r="K152" i="4" s="1"/>
  <c r="K189" i="4" s="1"/>
  <c r="S150" i="4"/>
  <c r="S152" i="4" s="1"/>
  <c r="S189" i="4" s="1"/>
  <c r="Q150" i="4"/>
  <c r="Q152" i="4" s="1"/>
  <c r="Q189" i="4" s="1"/>
  <c r="R150" i="4"/>
  <c r="R152" i="4" s="1"/>
  <c r="R189" i="4" s="1"/>
  <c r="G150" i="4"/>
  <c r="J150" i="4"/>
  <c r="J152" i="4" s="1"/>
  <c r="J189" i="4" s="1"/>
  <c r="H150" i="4"/>
  <c r="H152" i="4" s="1"/>
  <c r="H189" i="4" s="1"/>
  <c r="W124" i="1"/>
  <c r="X124" i="1" s="1"/>
  <c r="G133" i="1"/>
  <c r="U396" i="4"/>
  <c r="V396" i="4" s="1"/>
  <c r="E31" i="27"/>
  <c r="H399" i="4"/>
  <c r="U175" i="4"/>
  <c r="V175" i="4" s="1"/>
  <c r="U83" i="4" l="1"/>
  <c r="V83" i="4" s="1"/>
  <c r="U646" i="4"/>
  <c r="U631" i="4"/>
  <c r="U129" i="4"/>
  <c r="V129" i="4" s="1"/>
  <c r="K106" i="4"/>
  <c r="K143" i="4" s="1"/>
  <c r="K483" i="4" s="1"/>
  <c r="M29" i="34"/>
  <c r="Q626" i="4"/>
  <c r="Q627" i="4" s="1"/>
  <c r="U381" i="4"/>
  <c r="V381" i="4" s="1"/>
  <c r="Q512" i="4"/>
  <c r="Q524" i="4"/>
  <c r="Q496" i="4"/>
  <c r="Q485" i="4"/>
  <c r="J106" i="4"/>
  <c r="J143" i="4" s="1"/>
  <c r="J483" i="4" s="1"/>
  <c r="I106" i="4"/>
  <c r="I143" i="4" s="1"/>
  <c r="I483" i="4" s="1"/>
  <c r="M562" i="4"/>
  <c r="U480" i="4"/>
  <c r="V480" i="4" s="1"/>
  <c r="F189" i="4"/>
  <c r="T497" i="4" s="1"/>
  <c r="F374" i="4"/>
  <c r="W544" i="1"/>
  <c r="X544" i="1" s="1"/>
  <c r="M483" i="4"/>
  <c r="M29" i="29"/>
  <c r="H106" i="4"/>
  <c r="H143" i="4" s="1"/>
  <c r="S483" i="4"/>
  <c r="U104" i="4"/>
  <c r="V104" i="4" s="1"/>
  <c r="M29" i="27"/>
  <c r="N29" i="27" s="1"/>
  <c r="G106" i="4"/>
  <c r="O483" i="4"/>
  <c r="Q483" i="4"/>
  <c r="H31" i="27"/>
  <c r="W133" i="1"/>
  <c r="X133" i="1" s="1"/>
  <c r="F57" i="4"/>
  <c r="G152" i="4"/>
  <c r="U150" i="4"/>
  <c r="V150" i="4" s="1"/>
  <c r="L483" i="4"/>
  <c r="F143" i="4"/>
  <c r="M525" i="4" s="1"/>
  <c r="R483" i="4"/>
  <c r="N483" i="4"/>
  <c r="P483" i="4"/>
  <c r="T483" i="4"/>
  <c r="U399" i="4"/>
  <c r="V399" i="4" s="1"/>
  <c r="N29" i="34" l="1"/>
  <c r="T525" i="4"/>
  <c r="N506" i="4"/>
  <c r="I498" i="4"/>
  <c r="N498" i="4"/>
  <c r="N497" i="4"/>
  <c r="O497" i="4"/>
  <c r="I497" i="4"/>
  <c r="I506" i="4"/>
  <c r="O506" i="4"/>
  <c r="O498" i="4"/>
  <c r="P497" i="4"/>
  <c r="P498" i="4"/>
  <c r="K498" i="4"/>
  <c r="N502" i="4"/>
  <c r="R525" i="4"/>
  <c r="R497" i="4"/>
  <c r="R506" i="4"/>
  <c r="J497" i="4"/>
  <c r="P502" i="4"/>
  <c r="P506" i="4"/>
  <c r="J506" i="4"/>
  <c r="K497" i="4"/>
  <c r="J498" i="4"/>
  <c r="K506" i="4"/>
  <c r="R498" i="4"/>
  <c r="M498" i="4"/>
  <c r="M497" i="4"/>
  <c r="M506" i="4"/>
  <c r="T502" i="4"/>
  <c r="P525" i="4"/>
  <c r="S497" i="4"/>
  <c r="N525" i="4"/>
  <c r="R502" i="4"/>
  <c r="I502" i="4"/>
  <c r="S498" i="4"/>
  <c r="S506" i="4"/>
  <c r="L502" i="4"/>
  <c r="T506" i="4"/>
  <c r="M565" i="4"/>
  <c r="U565" i="4" s="1"/>
  <c r="V565" i="4" s="1"/>
  <c r="U562" i="4"/>
  <c r="V562" i="4" s="1"/>
  <c r="T498" i="4"/>
  <c r="L525" i="4"/>
  <c r="O57" i="4"/>
  <c r="O59" i="4" s="1"/>
  <c r="O97" i="4" s="1"/>
  <c r="F59" i="4"/>
  <c r="L57" i="4"/>
  <c r="L59" i="4" s="1"/>
  <c r="L97" i="4" s="1"/>
  <c r="H57" i="4"/>
  <c r="S57" i="4"/>
  <c r="S59" i="4" s="1"/>
  <c r="S97" i="4" s="1"/>
  <c r="T57" i="4"/>
  <c r="T59" i="4" s="1"/>
  <c r="T97" i="4" s="1"/>
  <c r="I57" i="4"/>
  <c r="K57" i="4"/>
  <c r="J57" i="4"/>
  <c r="P57" i="4"/>
  <c r="P59" i="4" s="1"/>
  <c r="P97" i="4" s="1"/>
  <c r="Q57" i="4"/>
  <c r="Q59" i="4" s="1"/>
  <c r="Q97" i="4" s="1"/>
  <c r="N57" i="4"/>
  <c r="N59" i="4" s="1"/>
  <c r="N97" i="4" s="1"/>
  <c r="R57" i="4"/>
  <c r="R59" i="4" s="1"/>
  <c r="R97" i="4" s="1"/>
  <c r="G57" i="4"/>
  <c r="M57" i="4"/>
  <c r="M59" i="4" s="1"/>
  <c r="M97" i="4" s="1"/>
  <c r="N29" i="29"/>
  <c r="T374" i="4"/>
  <c r="T376" i="4" s="1"/>
  <c r="T413" i="4" s="1"/>
  <c r="T486" i="4" s="1"/>
  <c r="T487" i="4" s="1"/>
  <c r="F376" i="4"/>
  <c r="J374" i="4"/>
  <c r="L374" i="4"/>
  <c r="L376" i="4" s="1"/>
  <c r="L413" i="4" s="1"/>
  <c r="L486" i="4" s="1"/>
  <c r="L487" i="4" s="1"/>
  <c r="M374" i="4"/>
  <c r="M376" i="4" s="1"/>
  <c r="M413" i="4" s="1"/>
  <c r="M486" i="4" s="1"/>
  <c r="M487" i="4" s="1"/>
  <c r="P374" i="4"/>
  <c r="P376" i="4" s="1"/>
  <c r="P413" i="4" s="1"/>
  <c r="P486" i="4" s="1"/>
  <c r="P487" i="4" s="1"/>
  <c r="Q374" i="4"/>
  <c r="Q376" i="4" s="1"/>
  <c r="Q413" i="4" s="1"/>
  <c r="Q486" i="4" s="1"/>
  <c r="Q487" i="4" s="1"/>
  <c r="N374" i="4"/>
  <c r="N376" i="4" s="1"/>
  <c r="N413" i="4" s="1"/>
  <c r="N486" i="4" s="1"/>
  <c r="N487" i="4" s="1"/>
  <c r="S374" i="4"/>
  <c r="S376" i="4" s="1"/>
  <c r="S413" i="4" s="1"/>
  <c r="S486" i="4" s="1"/>
  <c r="S487" i="4" s="1"/>
  <c r="R374" i="4"/>
  <c r="R376" i="4" s="1"/>
  <c r="R413" i="4" s="1"/>
  <c r="R486" i="4" s="1"/>
  <c r="R487" i="4" s="1"/>
  <c r="H374" i="4"/>
  <c r="G374" i="4"/>
  <c r="K374" i="4"/>
  <c r="I374" i="4"/>
  <c r="O374" i="4"/>
  <c r="O376" i="4" s="1"/>
  <c r="O413" i="4" s="1"/>
  <c r="O486" i="4" s="1"/>
  <c r="O487" i="4" s="1"/>
  <c r="Q502" i="4"/>
  <c r="O525" i="4"/>
  <c r="K525" i="4"/>
  <c r="S525" i="4"/>
  <c r="J525" i="4"/>
  <c r="M502" i="4"/>
  <c r="L506" i="4"/>
  <c r="L498" i="4"/>
  <c r="Q498" i="4"/>
  <c r="H497" i="4"/>
  <c r="H498" i="4"/>
  <c r="F483" i="4"/>
  <c r="U152" i="4"/>
  <c r="V152" i="4" s="1"/>
  <c r="G189" i="4"/>
  <c r="G143" i="4"/>
  <c r="U106" i="4"/>
  <c r="V106" i="4" s="1"/>
  <c r="H483" i="4"/>
  <c r="H502" i="4"/>
  <c r="H525" i="4"/>
  <c r="I525" i="4"/>
  <c r="Q525" i="4"/>
  <c r="O502" i="4"/>
  <c r="K502" i="4"/>
  <c r="S502" i="4"/>
  <c r="J502" i="4"/>
  <c r="L497" i="4"/>
  <c r="Q506" i="4"/>
  <c r="Q497" i="4"/>
  <c r="H506" i="4"/>
  <c r="K59" i="4" l="1"/>
  <c r="K97" i="4" s="1"/>
  <c r="K523" i="4" s="1"/>
  <c r="M15" i="34"/>
  <c r="K376" i="4"/>
  <c r="K413" i="4" s="1"/>
  <c r="K486" i="4" s="1"/>
  <c r="K487" i="4" s="1"/>
  <c r="M31" i="34"/>
  <c r="N31" i="34" s="1"/>
  <c r="J376" i="4"/>
  <c r="J413" i="4" s="1"/>
  <c r="J486" i="4" s="1"/>
  <c r="J487" i="4" s="1"/>
  <c r="J59" i="4"/>
  <c r="J97" i="4" s="1"/>
  <c r="J523" i="4" s="1"/>
  <c r="I59" i="4"/>
  <c r="I97" i="4" s="1"/>
  <c r="I523" i="4" s="1"/>
  <c r="I376" i="4"/>
  <c r="I413" i="4" s="1"/>
  <c r="I486" i="4" s="1"/>
  <c r="I487" i="4" s="1"/>
  <c r="H376" i="4"/>
  <c r="H413" i="4" s="1"/>
  <c r="H486" i="4" s="1"/>
  <c r="H487" i="4" s="1"/>
  <c r="M31" i="29"/>
  <c r="N31" i="29" s="1"/>
  <c r="M523" i="4"/>
  <c r="R523" i="4"/>
  <c r="Q523" i="4"/>
  <c r="S523" i="4"/>
  <c r="L523" i="4"/>
  <c r="O523" i="4"/>
  <c r="U143" i="4"/>
  <c r="V143" i="4" s="1"/>
  <c r="G483" i="4"/>
  <c r="G525" i="4"/>
  <c r="N16" i="34" s="1"/>
  <c r="G502" i="4"/>
  <c r="U502" i="4" s="1"/>
  <c r="V502" i="4" s="1"/>
  <c r="G506" i="4"/>
  <c r="U506" i="4" s="1"/>
  <c r="V506" i="4" s="1"/>
  <c r="G498" i="4"/>
  <c r="U498" i="4" s="1"/>
  <c r="V498" i="4" s="1"/>
  <c r="G497" i="4"/>
  <c r="U189" i="4"/>
  <c r="V189" i="4" s="1"/>
  <c r="G376" i="4"/>
  <c r="M31" i="27"/>
  <c r="N31" i="27" s="1"/>
  <c r="U374" i="4"/>
  <c r="V374" i="4" s="1"/>
  <c r="F413" i="4"/>
  <c r="M15" i="27"/>
  <c r="U57" i="4"/>
  <c r="V57" i="4" s="1"/>
  <c r="G59" i="4"/>
  <c r="N523" i="4"/>
  <c r="P523" i="4"/>
  <c r="T523" i="4"/>
  <c r="M15" i="29"/>
  <c r="H59" i="4"/>
  <c r="H97" i="4" s="1"/>
  <c r="F97" i="4"/>
  <c r="T503" i="4" s="1"/>
  <c r="N15" i="34" l="1"/>
  <c r="M16" i="34" s="1"/>
  <c r="M17" i="34" s="1"/>
  <c r="F523" i="4"/>
  <c r="N15" i="29"/>
  <c r="H511" i="4"/>
  <c r="H507" i="4"/>
  <c r="H500" i="4"/>
  <c r="H513" i="4"/>
  <c r="H499" i="4"/>
  <c r="N33" i="29" s="1"/>
  <c r="H505" i="4"/>
  <c r="H523" i="4"/>
  <c r="H508" i="4"/>
  <c r="H503" i="4"/>
  <c r="T571" i="4"/>
  <c r="T527" i="4"/>
  <c r="T526" i="4"/>
  <c r="K526" i="4"/>
  <c r="U59" i="4"/>
  <c r="V59" i="4" s="1"/>
  <c r="G97" i="4"/>
  <c r="N15" i="27"/>
  <c r="F486" i="4"/>
  <c r="F487" i="4" s="1"/>
  <c r="U483" i="4"/>
  <c r="V483" i="4" s="1"/>
  <c r="L526" i="4"/>
  <c r="S571" i="4"/>
  <c r="S526" i="4"/>
  <c r="S527" i="4"/>
  <c r="I526" i="4"/>
  <c r="J526" i="4"/>
  <c r="R527" i="4"/>
  <c r="R571" i="4"/>
  <c r="R526" i="4"/>
  <c r="T513" i="4"/>
  <c r="T500" i="4"/>
  <c r="K503" i="4"/>
  <c r="K507" i="4"/>
  <c r="K499" i="4"/>
  <c r="N33" i="34" s="1"/>
  <c r="T508" i="4"/>
  <c r="T511" i="4"/>
  <c r="T499" i="4"/>
  <c r="T507" i="4"/>
  <c r="K508" i="4"/>
  <c r="K513" i="4"/>
  <c r="K505" i="4"/>
  <c r="P500" i="4"/>
  <c r="P505" i="4"/>
  <c r="P511" i="4"/>
  <c r="P503" i="4"/>
  <c r="P513" i="4"/>
  <c r="N511" i="4"/>
  <c r="N500" i="4"/>
  <c r="N499" i="4"/>
  <c r="N508" i="4"/>
  <c r="O508" i="4"/>
  <c r="O505" i="4"/>
  <c r="O511" i="4"/>
  <c r="O513" i="4"/>
  <c r="O507" i="4"/>
  <c r="L499" i="4"/>
  <c r="L508" i="4"/>
  <c r="L513" i="4"/>
  <c r="S508" i="4"/>
  <c r="S500" i="4"/>
  <c r="S503" i="4"/>
  <c r="S513" i="4"/>
  <c r="I505" i="4"/>
  <c r="I499" i="4"/>
  <c r="I503" i="4"/>
  <c r="J508" i="4"/>
  <c r="J503" i="4"/>
  <c r="J513" i="4"/>
  <c r="J499" i="4"/>
  <c r="Q505" i="4"/>
  <c r="Q503" i="4"/>
  <c r="Q507" i="4"/>
  <c r="Q500" i="4"/>
  <c r="R511" i="4"/>
  <c r="R507" i="4"/>
  <c r="R513" i="4"/>
  <c r="R503" i="4"/>
  <c r="M500" i="4"/>
  <c r="M505" i="4"/>
  <c r="M499" i="4"/>
  <c r="M513" i="4"/>
  <c r="P527" i="4"/>
  <c r="P526" i="4"/>
  <c r="P571" i="4"/>
  <c r="N571" i="4"/>
  <c r="N526" i="4"/>
  <c r="U376" i="4"/>
  <c r="V376" i="4" s="1"/>
  <c r="G413" i="4"/>
  <c r="U497" i="4"/>
  <c r="V497" i="4" s="1"/>
  <c r="U525" i="4"/>
  <c r="V525" i="4" s="1"/>
  <c r="N16" i="27"/>
  <c r="N16" i="29"/>
  <c r="O527" i="4"/>
  <c r="O526" i="4"/>
  <c r="O571" i="4"/>
  <c r="Q527" i="4"/>
  <c r="Q526" i="4"/>
  <c r="Q571" i="4"/>
  <c r="M526" i="4"/>
  <c r="M571" i="4" s="1"/>
  <c r="M527" i="4"/>
  <c r="T505" i="4"/>
  <c r="K511" i="4"/>
  <c r="K500" i="4"/>
  <c r="P508" i="4"/>
  <c r="P507" i="4"/>
  <c r="P499" i="4"/>
  <c r="N507" i="4"/>
  <c r="N505" i="4"/>
  <c r="N513" i="4"/>
  <c r="N503" i="4"/>
  <c r="O503" i="4"/>
  <c r="O500" i="4"/>
  <c r="O499" i="4"/>
  <c r="L511" i="4"/>
  <c r="L503" i="4"/>
  <c r="L500" i="4"/>
  <c r="L505" i="4"/>
  <c r="L507" i="4"/>
  <c r="S499" i="4"/>
  <c r="S507" i="4"/>
  <c r="S511" i="4"/>
  <c r="S505" i="4"/>
  <c r="I513" i="4"/>
  <c r="I507" i="4"/>
  <c r="I500" i="4"/>
  <c r="I511" i="4"/>
  <c r="I508" i="4"/>
  <c r="J500" i="4"/>
  <c r="J511" i="4"/>
  <c r="J505" i="4"/>
  <c r="J507" i="4"/>
  <c r="Q511" i="4"/>
  <c r="Q513" i="4"/>
  <c r="Q499" i="4"/>
  <c r="Q508" i="4"/>
  <c r="R508" i="4"/>
  <c r="R499" i="4"/>
  <c r="R505" i="4"/>
  <c r="R500" i="4"/>
  <c r="M503" i="4"/>
  <c r="M508" i="4"/>
  <c r="M511" i="4"/>
  <c r="M507" i="4"/>
  <c r="K33" i="34" l="1"/>
  <c r="F33" i="34"/>
  <c r="E33" i="34"/>
  <c r="M33" i="34"/>
  <c r="J33" i="34"/>
  <c r="G33" i="34"/>
  <c r="L33" i="34"/>
  <c r="I33" i="34"/>
  <c r="E16" i="34"/>
  <c r="I16" i="34"/>
  <c r="I17" i="34" s="1"/>
  <c r="K16" i="34"/>
  <c r="K17" i="34" s="1"/>
  <c r="F16" i="34"/>
  <c r="F17" i="34" s="1"/>
  <c r="L16" i="34"/>
  <c r="L17" i="34" s="1"/>
  <c r="J16" i="34"/>
  <c r="J17" i="34" s="1"/>
  <c r="G16" i="34"/>
  <c r="G17" i="34" s="1"/>
  <c r="M16" i="27"/>
  <c r="M17" i="27" s="1"/>
  <c r="Q644" i="4"/>
  <c r="Q509" i="4" s="1"/>
  <c r="Q515" i="4" s="1"/>
  <c r="Q517" i="4" s="1"/>
  <c r="O644" i="4"/>
  <c r="O509" i="4" s="1"/>
  <c r="O515" i="4" s="1"/>
  <c r="O517" i="4" s="1"/>
  <c r="M644" i="4"/>
  <c r="M509" i="4" s="1"/>
  <c r="M515" i="4" s="1"/>
  <c r="M517" i="4" s="1"/>
  <c r="I644" i="4"/>
  <c r="I509" i="4" s="1"/>
  <c r="I515" i="4" s="1"/>
  <c r="L644" i="4"/>
  <c r="L509" i="4" s="1"/>
  <c r="L515" i="4" s="1"/>
  <c r="K644" i="4"/>
  <c r="K509" i="4" s="1"/>
  <c r="K515" i="4" s="1"/>
  <c r="L571" i="4"/>
  <c r="G505" i="4"/>
  <c r="U505" i="4" s="1"/>
  <c r="V505" i="4" s="1"/>
  <c r="G507" i="4"/>
  <c r="U507" i="4" s="1"/>
  <c r="V507" i="4" s="1"/>
  <c r="G503" i="4"/>
  <c r="U503" i="4" s="1"/>
  <c r="V503" i="4" s="1"/>
  <c r="G523" i="4"/>
  <c r="U97" i="4"/>
  <c r="V97" i="4" s="1"/>
  <c r="G511" i="4"/>
  <c r="U511" i="4" s="1"/>
  <c r="V511" i="4" s="1"/>
  <c r="G513" i="4"/>
  <c r="U513" i="4" s="1"/>
  <c r="V513" i="4" s="1"/>
  <c r="G499" i="4"/>
  <c r="N33" i="27" s="1"/>
  <c r="G500" i="4"/>
  <c r="U500" i="4" s="1"/>
  <c r="V500" i="4" s="1"/>
  <c r="G508" i="4"/>
  <c r="U508" i="4" s="1"/>
  <c r="V508" i="4" s="1"/>
  <c r="F16" i="29"/>
  <c r="F17" i="29" s="1"/>
  <c r="J16" i="29"/>
  <c r="J17" i="29" s="1"/>
  <c r="E16" i="29"/>
  <c r="K16" i="29"/>
  <c r="K17" i="29" s="1"/>
  <c r="L16" i="29"/>
  <c r="L17" i="29" s="1"/>
  <c r="G16" i="29"/>
  <c r="G17" i="29" s="1"/>
  <c r="I16" i="29"/>
  <c r="I17" i="29" s="1"/>
  <c r="F526" i="4"/>
  <c r="R515" i="4"/>
  <c r="R517" i="4" s="1"/>
  <c r="S515" i="4"/>
  <c r="S517" i="4" s="1"/>
  <c r="M16" i="29"/>
  <c r="M17" i="29" s="1"/>
  <c r="P644" i="4"/>
  <c r="P509" i="4" s="1"/>
  <c r="P515" i="4" s="1"/>
  <c r="P517" i="4" s="1"/>
  <c r="U413" i="4"/>
  <c r="V413" i="4" s="1"/>
  <c r="G486" i="4"/>
  <c r="J644" i="4"/>
  <c r="J509" i="4" s="1"/>
  <c r="J515" i="4" s="1"/>
  <c r="N644" i="4"/>
  <c r="N509" i="4" s="1"/>
  <c r="N515" i="4" s="1"/>
  <c r="N517" i="4" s="1"/>
  <c r="J571" i="4"/>
  <c r="I571" i="4"/>
  <c r="F16" i="27"/>
  <c r="F17" i="27" s="1"/>
  <c r="J16" i="27"/>
  <c r="J17" i="27" s="1"/>
  <c r="E16" i="27"/>
  <c r="K16" i="27"/>
  <c r="K17" i="27" s="1"/>
  <c r="G16" i="27"/>
  <c r="G17" i="27" s="1"/>
  <c r="L16" i="27"/>
  <c r="L17" i="27" s="1"/>
  <c r="I16" i="27"/>
  <c r="I17" i="27" s="1"/>
  <c r="K571" i="4"/>
  <c r="H526" i="4"/>
  <c r="H644" i="4"/>
  <c r="H509" i="4" s="1"/>
  <c r="H515" i="4" s="1"/>
  <c r="T515" i="4"/>
  <c r="T517" i="4" s="1"/>
  <c r="H33" i="34" l="1"/>
  <c r="H16" i="34"/>
  <c r="E17" i="34"/>
  <c r="N624" i="4"/>
  <c r="N629" i="4" s="1"/>
  <c r="K517" i="4"/>
  <c r="M624" i="4"/>
  <c r="M629" i="4" s="1"/>
  <c r="Q624" i="4"/>
  <c r="Q629" i="4" s="1"/>
  <c r="J517" i="4"/>
  <c r="L517" i="4"/>
  <c r="O624" i="4"/>
  <c r="O629" i="4" s="1"/>
  <c r="H517" i="4"/>
  <c r="H16" i="27"/>
  <c r="E17" i="27"/>
  <c r="P624" i="4"/>
  <c r="P629" i="4" s="1"/>
  <c r="F571" i="4"/>
  <c r="U499" i="4"/>
  <c r="V499" i="4" s="1"/>
  <c r="G644" i="4"/>
  <c r="G526" i="4"/>
  <c r="U523" i="4"/>
  <c r="V523" i="4" s="1"/>
  <c r="F534" i="4"/>
  <c r="F517" i="4"/>
  <c r="M33" i="29"/>
  <c r="E33" i="29"/>
  <c r="F33" i="29"/>
  <c r="L33" i="29"/>
  <c r="G33" i="29"/>
  <c r="J33" i="29"/>
  <c r="K33" i="29"/>
  <c r="I33" i="29"/>
  <c r="H571" i="4"/>
  <c r="U486" i="4"/>
  <c r="V486" i="4" s="1"/>
  <c r="G487" i="4"/>
  <c r="H16" i="29"/>
  <c r="E17" i="29"/>
  <c r="I517" i="4"/>
  <c r="H17" i="34" l="1"/>
  <c r="N17" i="34"/>
  <c r="H624" i="4"/>
  <c r="H629" i="4" s="1"/>
  <c r="L624" i="4"/>
  <c r="L629" i="4" s="1"/>
  <c r="J624" i="4"/>
  <c r="J629" i="4" s="1"/>
  <c r="K624" i="4"/>
  <c r="K629" i="4" s="1"/>
  <c r="F521" i="4"/>
  <c r="F624" i="4"/>
  <c r="G571" i="4"/>
  <c r="U526" i="4"/>
  <c r="V526" i="4" s="1"/>
  <c r="I624" i="4"/>
  <c r="I629" i="4" s="1"/>
  <c r="N17" i="29"/>
  <c r="H17" i="29"/>
  <c r="U487" i="4"/>
  <c r="V487" i="4" s="1"/>
  <c r="U644" i="4"/>
  <c r="G509" i="4"/>
  <c r="M33" i="27"/>
  <c r="F33" i="27"/>
  <c r="L33" i="27"/>
  <c r="I33" i="27"/>
  <c r="E33" i="27"/>
  <c r="J33" i="27"/>
  <c r="K33" i="27"/>
  <c r="G33" i="27"/>
  <c r="H17" i="27"/>
  <c r="N17" i="27"/>
  <c r="H33" i="29"/>
  <c r="U509" i="4" l="1"/>
  <c r="V509" i="4" s="1"/>
  <c r="G515" i="4"/>
  <c r="U571" i="4"/>
  <c r="V571" i="4" s="1"/>
  <c r="F629" i="4"/>
  <c r="K519" i="4" s="1"/>
  <c r="F559" i="4"/>
  <c r="F569" i="4" s="1"/>
  <c r="F527" i="4"/>
  <c r="H33" i="27"/>
  <c r="I519" i="4"/>
  <c r="L519" i="4" l="1"/>
  <c r="L521" i="4" s="1"/>
  <c r="H519" i="4"/>
  <c r="J519" i="4"/>
  <c r="P27" i="34"/>
  <c r="K521" i="4"/>
  <c r="I521" i="4"/>
  <c r="R519" i="4"/>
  <c r="R521" i="4" s="1"/>
  <c r="R559" i="4" s="1"/>
  <c r="R569" i="4" s="1"/>
  <c r="S519" i="4"/>
  <c r="S521" i="4" s="1"/>
  <c r="S559" i="4" s="1"/>
  <c r="S569" i="4" s="1"/>
  <c r="T519" i="4"/>
  <c r="T521" i="4" s="1"/>
  <c r="T559" i="4" s="1"/>
  <c r="T569" i="4" s="1"/>
  <c r="O519" i="4"/>
  <c r="O521" i="4" s="1"/>
  <c r="O559" i="4" s="1"/>
  <c r="O569" i="4" s="1"/>
  <c r="O573" i="4" s="1"/>
  <c r="N519" i="4"/>
  <c r="N521" i="4" s="1"/>
  <c r="M519" i="4"/>
  <c r="M521" i="4" s="1"/>
  <c r="M559" i="4" s="1"/>
  <c r="M569" i="4" s="1"/>
  <c r="M573" i="4" s="1"/>
  <c r="Q519" i="4"/>
  <c r="Q521" i="4" s="1"/>
  <c r="Q559" i="4" s="1"/>
  <c r="Q569" i="4" s="1"/>
  <c r="Q573" i="4" s="1"/>
  <c r="P519" i="4"/>
  <c r="P521" i="4" s="1"/>
  <c r="P559" i="4" s="1"/>
  <c r="P569" i="4" s="1"/>
  <c r="P573" i="4" s="1"/>
  <c r="U515" i="4"/>
  <c r="V515" i="4" s="1"/>
  <c r="G517" i="4"/>
  <c r="J521" i="4" l="1"/>
  <c r="J527" i="4" s="1"/>
  <c r="P27" i="29"/>
  <c r="H521" i="4"/>
  <c r="H559" i="4" s="1"/>
  <c r="H569" i="4" s="1"/>
  <c r="N559" i="4"/>
  <c r="N569" i="4" s="1"/>
  <c r="N527" i="4"/>
  <c r="G624" i="4"/>
  <c r="U517" i="4"/>
  <c r="V517" i="4" s="1"/>
  <c r="I559" i="4"/>
  <c r="I527" i="4"/>
  <c r="L559" i="4"/>
  <c r="L569" i="4" s="1"/>
  <c r="L527" i="4"/>
  <c r="F573" i="4"/>
  <c r="K559" i="4"/>
  <c r="K527" i="4"/>
  <c r="J559" i="4" l="1"/>
  <c r="J569" i="4" s="1"/>
  <c r="J573" i="4" s="1"/>
  <c r="H527" i="4"/>
  <c r="I569" i="4"/>
  <c r="I573" i="4" s="1"/>
  <c r="K569" i="4"/>
  <c r="B19" i="26" s="1"/>
  <c r="H573" i="4"/>
  <c r="E19" i="29" s="1"/>
  <c r="N19" i="29" s="1"/>
  <c r="U624" i="4"/>
  <c r="V624" i="4" s="1"/>
  <c r="G629" i="4"/>
  <c r="L573" i="4"/>
  <c r="K573" i="4" l="1"/>
  <c r="B13" i="26" s="1"/>
  <c r="C13" i="26" s="1"/>
  <c r="C19" i="26" s="1"/>
  <c r="E21" i="29"/>
  <c r="E25" i="29" s="1"/>
  <c r="J19" i="29"/>
  <c r="J21" i="29" s="1"/>
  <c r="J25" i="29" s="1"/>
  <c r="G19" i="29"/>
  <c r="M19" i="29" s="1"/>
  <c r="M21" i="29" s="1"/>
  <c r="K19" i="29"/>
  <c r="K21" i="29" s="1"/>
  <c r="K25" i="29" s="1"/>
  <c r="I19" i="29"/>
  <c r="I21" i="29" s="1"/>
  <c r="I25" i="29" s="1"/>
  <c r="H19" i="29"/>
  <c r="F19" i="29"/>
  <c r="F21" i="29" s="1"/>
  <c r="G519" i="4"/>
  <c r="U629" i="4"/>
  <c r="V629" i="4" s="1"/>
  <c r="E19" i="34" l="1"/>
  <c r="F19" i="34" s="1"/>
  <c r="L19" i="34" s="1"/>
  <c r="L21" i="34" s="1"/>
  <c r="L25" i="34" s="1"/>
  <c r="D13" i="26"/>
  <c r="E13" i="26" s="1"/>
  <c r="G21" i="29"/>
  <c r="G25" i="29" s="1"/>
  <c r="L19" i="29"/>
  <c r="L21" i="29" s="1"/>
  <c r="L25" i="29" s="1"/>
  <c r="P27" i="27"/>
  <c r="U519" i="4"/>
  <c r="V519" i="4" s="1"/>
  <c r="G521" i="4"/>
  <c r="M25" i="29"/>
  <c r="F25" i="29"/>
  <c r="C21" i="26"/>
  <c r="G19" i="34" l="1"/>
  <c r="M19" i="34" s="1"/>
  <c r="M21" i="34" s="1"/>
  <c r="M25" i="34" s="1"/>
  <c r="E21" i="34"/>
  <c r="E25" i="34" s="1"/>
  <c r="F21" i="34"/>
  <c r="F25" i="34" s="1"/>
  <c r="K19" i="34"/>
  <c r="K21" i="34" s="1"/>
  <c r="K25" i="34" s="1"/>
  <c r="J19" i="34"/>
  <c r="J21" i="34" s="1"/>
  <c r="J25" i="34" s="1"/>
  <c r="N19" i="34"/>
  <c r="H19" i="34"/>
  <c r="I19" i="34"/>
  <c r="I21" i="34" s="1"/>
  <c r="I25" i="34" s="1"/>
  <c r="D19" i="26"/>
  <c r="D21" i="26" s="1"/>
  <c r="H21" i="29"/>
  <c r="N21" i="29"/>
  <c r="N25" i="29" s="1"/>
  <c r="M27" i="29" s="1"/>
  <c r="M35" i="29" s="1"/>
  <c r="G559" i="4"/>
  <c r="G569" i="4" s="1"/>
  <c r="U521" i="4"/>
  <c r="V521" i="4" s="1"/>
  <c r="G527" i="4"/>
  <c r="G21" i="34" l="1"/>
  <c r="G25" i="34" s="1"/>
  <c r="E19" i="26"/>
  <c r="E21" i="26" s="1"/>
  <c r="E25" i="26" s="1"/>
  <c r="H25" i="29"/>
  <c r="F27" i="29"/>
  <c r="F35" i="29" s="1"/>
  <c r="K27" i="29"/>
  <c r="K35" i="29" s="1"/>
  <c r="G27" i="29"/>
  <c r="G35" i="29" s="1"/>
  <c r="I27" i="29"/>
  <c r="I35" i="29" s="1"/>
  <c r="L27" i="29"/>
  <c r="L35" i="29" s="1"/>
  <c r="E27" i="29"/>
  <c r="J27" i="29"/>
  <c r="J35" i="29" s="1"/>
  <c r="U559" i="4"/>
  <c r="V559" i="4" s="1"/>
  <c r="N21" i="34" l="1"/>
  <c r="N25" i="34" s="1"/>
  <c r="K27" i="34" s="1"/>
  <c r="K35" i="34" s="1"/>
  <c r="H21" i="34"/>
  <c r="H25" i="34" s="1"/>
  <c r="E27" i="26"/>
  <c r="E29" i="26"/>
  <c r="I27" i="34"/>
  <c r="I35" i="34" s="1"/>
  <c r="F27" i="34"/>
  <c r="F35" i="34" s="1"/>
  <c r="E27" i="34"/>
  <c r="G27" i="34"/>
  <c r="G35" i="34" s="1"/>
  <c r="H27" i="29"/>
  <c r="H35" i="29" s="1"/>
  <c r="E35" i="29"/>
  <c r="N27" i="29"/>
  <c r="S27" i="29" s="1"/>
  <c r="U569" i="4"/>
  <c r="V569" i="4" s="1"/>
  <c r="G573" i="4"/>
  <c r="E19" i="27" s="1"/>
  <c r="M27" i="34" l="1"/>
  <c r="M35" i="34" s="1"/>
  <c r="J27" i="34"/>
  <c r="J35" i="34" s="1"/>
  <c r="L27" i="34"/>
  <c r="L35" i="34" s="1"/>
  <c r="H27" i="34"/>
  <c r="H35" i="34" s="1"/>
  <c r="E35" i="34"/>
  <c r="N35" i="29"/>
  <c r="I37" i="29" s="1"/>
  <c r="I39" i="29" s="1"/>
  <c r="I43" i="29" s="1"/>
  <c r="I19" i="27"/>
  <c r="I21" i="27" s="1"/>
  <c r="F19" i="27"/>
  <c r="J19" i="27"/>
  <c r="J21" i="27" s="1"/>
  <c r="H19" i="27"/>
  <c r="K19" i="27"/>
  <c r="K21" i="27" s="1"/>
  <c r="N19" i="27"/>
  <c r="G19" i="27"/>
  <c r="E21" i="27"/>
  <c r="N27" i="34" l="1"/>
  <c r="N35" i="34" s="1"/>
  <c r="L37" i="29"/>
  <c r="L39" i="29" s="1"/>
  <c r="G37" i="29"/>
  <c r="G39" i="29" s="1"/>
  <c r="G43" i="29" s="1"/>
  <c r="M37" i="29"/>
  <c r="M39" i="29" s="1"/>
  <c r="M43" i="29" s="1"/>
  <c r="N39" i="29"/>
  <c r="N47" i="29" s="1"/>
  <c r="F37" i="29"/>
  <c r="F39" i="29" s="1"/>
  <c r="F43" i="29" s="1"/>
  <c r="K37" i="29"/>
  <c r="K39" i="29" s="1"/>
  <c r="K43" i="29" s="1"/>
  <c r="E37" i="29"/>
  <c r="J37" i="29"/>
  <c r="J39" i="29" s="1"/>
  <c r="J43" i="29" s="1"/>
  <c r="E25" i="27"/>
  <c r="L19" i="27"/>
  <c r="L21" i="27" s="1"/>
  <c r="F21" i="27"/>
  <c r="M19" i="27"/>
  <c r="M21" i="27" s="1"/>
  <c r="G21" i="27"/>
  <c r="K25" i="27"/>
  <c r="J25" i="27"/>
  <c r="I25" i="27"/>
  <c r="L43" i="29" l="1"/>
  <c r="N39" i="34"/>
  <c r="N47" i="34" s="1"/>
  <c r="G37" i="34"/>
  <c r="G39" i="34" s="1"/>
  <c r="G43" i="34" s="1"/>
  <c r="K37" i="34"/>
  <c r="K39" i="34" s="1"/>
  <c r="K43" i="34" s="1"/>
  <c r="M37" i="34"/>
  <c r="M39" i="34" s="1"/>
  <c r="M43" i="34" s="1"/>
  <c r="I37" i="34"/>
  <c r="I39" i="34" s="1"/>
  <c r="I43" i="34" s="1"/>
  <c r="L37" i="34"/>
  <c r="L39" i="34" s="1"/>
  <c r="L43" i="34" s="1"/>
  <c r="F37" i="34"/>
  <c r="F39" i="34" s="1"/>
  <c r="F43" i="34" s="1"/>
  <c r="J37" i="34"/>
  <c r="J39" i="34" s="1"/>
  <c r="J43" i="34" s="1"/>
  <c r="E37" i="34"/>
  <c r="H37" i="29"/>
  <c r="E39" i="29"/>
  <c r="E43" i="29" s="1"/>
  <c r="H21" i="27"/>
  <c r="H25" i="27" s="1"/>
  <c r="M25" i="27"/>
  <c r="L25" i="27"/>
  <c r="G25" i="27"/>
  <c r="F25" i="27"/>
  <c r="N21" i="27"/>
  <c r="H37" i="34" l="1"/>
  <c r="E39" i="34"/>
  <c r="E43" i="34" s="1"/>
  <c r="H39" i="29"/>
  <c r="H43" i="29" s="1"/>
  <c r="N25" i="27"/>
  <c r="G27" i="27" s="1"/>
  <c r="G35" i="27" s="1"/>
  <c r="H39" i="34" l="1"/>
  <c r="H43" i="34" s="1"/>
  <c r="M27" i="27"/>
  <c r="M35" i="27" s="1"/>
  <c r="L27" i="27"/>
  <c r="L35" i="27" s="1"/>
  <c r="F27" i="27"/>
  <c r="F35" i="27" s="1"/>
  <c r="I27" i="27"/>
  <c r="I35" i="27" s="1"/>
  <c r="J27" i="27"/>
  <c r="J35" i="27" s="1"/>
  <c r="E27" i="27"/>
  <c r="K27" i="27"/>
  <c r="K35" i="27" s="1"/>
  <c r="N27" i="27" l="1"/>
  <c r="N35" i="27" s="1"/>
  <c r="N39" i="27" s="1"/>
  <c r="P39" i="34" s="1"/>
  <c r="H27" i="27"/>
  <c r="H35" i="27" s="1"/>
  <c r="E35" i="27"/>
  <c r="G37" i="27" l="1"/>
  <c r="G39" i="27" s="1"/>
  <c r="G43" i="27" s="1"/>
  <c r="M37" i="27"/>
  <c r="M39" i="27" s="1"/>
  <c r="M43" i="27" s="1"/>
  <c r="L37" i="27"/>
  <c r="L39" i="27" s="1"/>
  <c r="L43" i="27" s="1"/>
  <c r="F37" i="27"/>
  <c r="F39" i="27" s="1"/>
  <c r="F43" i="27" s="1"/>
  <c r="K37" i="27"/>
  <c r="K39" i="27" s="1"/>
  <c r="K43" i="27" s="1"/>
  <c r="I37" i="27"/>
  <c r="I39" i="27" s="1"/>
  <c r="J37" i="27"/>
  <c r="J39" i="27" s="1"/>
  <c r="E37" i="27"/>
  <c r="I43" i="27" l="1"/>
  <c r="J43" i="27"/>
  <c r="H37" i="27"/>
  <c r="E39" i="27"/>
  <c r="E43" i="27" s="1"/>
  <c r="H39" i="27" l="1"/>
  <c r="H43" i="27" l="1"/>
</calcChain>
</file>

<file path=xl/sharedStrings.xml><?xml version="1.0" encoding="utf-8"?>
<sst xmlns="http://schemas.openxmlformats.org/spreadsheetml/2006/main" count="2265" uniqueCount="885">
  <si>
    <t>ok</t>
  </si>
  <si>
    <t>Demand</t>
  </si>
  <si>
    <t>Commodity</t>
  </si>
  <si>
    <t>Storage</t>
  </si>
  <si>
    <t>Transmission</t>
  </si>
  <si>
    <t>Distribution</t>
  </si>
  <si>
    <t>Distribution Expenses</t>
  </si>
  <si>
    <t>Distribution Structures &amp; Equipment</t>
  </si>
  <si>
    <t>Distribution Mains</t>
  </si>
  <si>
    <t>Customer</t>
  </si>
  <si>
    <t>Services</t>
  </si>
  <si>
    <t>Meters</t>
  </si>
  <si>
    <t>Customer Accounts</t>
  </si>
  <si>
    <t>Customer Service</t>
  </si>
  <si>
    <t>Total</t>
  </si>
  <si>
    <t>Company</t>
  </si>
  <si>
    <t>Plant in Service</t>
  </si>
  <si>
    <t>Name</t>
  </si>
  <si>
    <t>Vector</t>
  </si>
  <si>
    <t>Description</t>
  </si>
  <si>
    <t>Check</t>
  </si>
  <si>
    <t>Status</t>
  </si>
  <si>
    <t>350-357</t>
  </si>
  <si>
    <t>F001</t>
  </si>
  <si>
    <t>PT350</t>
  </si>
  <si>
    <t>F003</t>
  </si>
  <si>
    <t>Land and Land Rights</t>
  </si>
  <si>
    <t>PT374</t>
  </si>
  <si>
    <t>F005</t>
  </si>
  <si>
    <t>Structures &amp; Improvements</t>
  </si>
  <si>
    <t>PT375</t>
  </si>
  <si>
    <t>Mains</t>
  </si>
  <si>
    <t>PT376</t>
  </si>
  <si>
    <t>Meas. &amp; Reg. Sta. Equip. - General</t>
  </si>
  <si>
    <t>PT378</t>
  </si>
  <si>
    <t>F007</t>
  </si>
  <si>
    <t>Meas. &amp; Reg. Sta. Equip. - City Gate</t>
  </si>
  <si>
    <t>PT379</t>
  </si>
  <si>
    <t>F008</t>
  </si>
  <si>
    <t>PT380</t>
  </si>
  <si>
    <t>F009</t>
  </si>
  <si>
    <t>PT381</t>
  </si>
  <si>
    <t>F010</t>
  </si>
  <si>
    <t>Meter Installations</t>
  </si>
  <si>
    <t>PT382</t>
  </si>
  <si>
    <t>F011</t>
  </si>
  <si>
    <t>House Regulators</t>
  </si>
  <si>
    <t>PT383</t>
  </si>
  <si>
    <t>F012</t>
  </si>
  <si>
    <t>House Regulator Installations</t>
  </si>
  <si>
    <t>PT384</t>
  </si>
  <si>
    <t>F013</t>
  </si>
  <si>
    <t>Industrial Meas. &amp; Reg. Equip.</t>
  </si>
  <si>
    <t>PT385</t>
  </si>
  <si>
    <t>Other Equipment</t>
  </si>
  <si>
    <t>PT387</t>
  </si>
  <si>
    <t>PTSUB</t>
  </si>
  <si>
    <t>301-303</t>
  </si>
  <si>
    <t>Intangible Plant</t>
  </si>
  <si>
    <t>PT301</t>
  </si>
  <si>
    <t>389-399</t>
  </si>
  <si>
    <t>General Plant</t>
  </si>
  <si>
    <t>PT389</t>
  </si>
  <si>
    <t>PTIS</t>
  </si>
  <si>
    <t>Distribution Plant</t>
  </si>
  <si>
    <t>Total Distribution Plant</t>
  </si>
  <si>
    <t>Storage-Transmission-Distribution Subtotal</t>
  </si>
  <si>
    <t>Total Plant in Service</t>
  </si>
  <si>
    <t>CWIPUS</t>
  </si>
  <si>
    <t>CWIPTR</t>
  </si>
  <si>
    <t>CWIPCO</t>
  </si>
  <si>
    <t>CWIP</t>
  </si>
  <si>
    <t>PTT</t>
  </si>
  <si>
    <t>Less:</t>
  </si>
  <si>
    <t>DEPRUS</t>
  </si>
  <si>
    <t>DEPRDI</t>
  </si>
  <si>
    <t>DEPRGE</t>
  </si>
  <si>
    <t>Total Depreciation Reserve</t>
  </si>
  <si>
    <t>DEPR</t>
  </si>
  <si>
    <t>Accum. Deferred Income Taxes</t>
  </si>
  <si>
    <t>DIT</t>
  </si>
  <si>
    <t>ITC</t>
  </si>
  <si>
    <t>Materials and Supplies</t>
  </si>
  <si>
    <t>MSP</t>
  </si>
  <si>
    <t>Prepayments</t>
  </si>
  <si>
    <t>PPY</t>
  </si>
  <si>
    <t>Gas Stored Underground</t>
  </si>
  <si>
    <t>GSU</t>
  </si>
  <si>
    <t>Cash Working Capital</t>
  </si>
  <si>
    <t>CWC</t>
  </si>
  <si>
    <t>OMT</t>
  </si>
  <si>
    <t>Net Cost Rate Base</t>
  </si>
  <si>
    <t>NCRB</t>
  </si>
  <si>
    <t>Reserve for Depreciation</t>
  </si>
  <si>
    <t>OM814</t>
  </si>
  <si>
    <t>OM815</t>
  </si>
  <si>
    <t>OM816</t>
  </si>
  <si>
    <t>Lines Expenses</t>
  </si>
  <si>
    <t>OM817</t>
  </si>
  <si>
    <t>OM818</t>
  </si>
  <si>
    <t>F002</t>
  </si>
  <si>
    <t>OM819</t>
  </si>
  <si>
    <t>OM820</t>
  </si>
  <si>
    <t>OM821</t>
  </si>
  <si>
    <t>OM823</t>
  </si>
  <si>
    <t>Other Expenses</t>
  </si>
  <si>
    <t>OM824</t>
  </si>
  <si>
    <t>OM825</t>
  </si>
  <si>
    <t>Rents</t>
  </si>
  <si>
    <t>OM826</t>
  </si>
  <si>
    <t>OM830</t>
  </si>
  <si>
    <t>Maintenance of Structures</t>
  </si>
  <si>
    <t>OM831</t>
  </si>
  <si>
    <t>OM832</t>
  </si>
  <si>
    <t>Maintenance of Lines</t>
  </si>
  <si>
    <t>OM833</t>
  </si>
  <si>
    <t>OM834</t>
  </si>
  <si>
    <t>OM835</t>
  </si>
  <si>
    <t>OM836</t>
  </si>
  <si>
    <t>OM837</t>
  </si>
  <si>
    <t>850-867</t>
  </si>
  <si>
    <t>OM850</t>
  </si>
  <si>
    <t>OM870</t>
  </si>
  <si>
    <t>OM871</t>
  </si>
  <si>
    <t>F004</t>
  </si>
  <si>
    <t>OM880</t>
  </si>
  <si>
    <t>OM881</t>
  </si>
  <si>
    <t>OM885</t>
  </si>
  <si>
    <t>OM886</t>
  </si>
  <si>
    <t>OM887</t>
  </si>
  <si>
    <t>OM888</t>
  </si>
  <si>
    <t>OM889</t>
  </si>
  <si>
    <t>OM890</t>
  </si>
  <si>
    <t>OM891</t>
  </si>
  <si>
    <t>OM892</t>
  </si>
  <si>
    <t>OM893</t>
  </si>
  <si>
    <t>OM894</t>
  </si>
  <si>
    <t>Supervision</t>
  </si>
  <si>
    <t>OM901</t>
  </si>
  <si>
    <t>Meter Reading</t>
  </si>
  <si>
    <t>OM902</t>
  </si>
  <si>
    <t>OM903</t>
  </si>
  <si>
    <t>Uncollectible Accounts</t>
  </si>
  <si>
    <t>OM904</t>
  </si>
  <si>
    <t>Miscellaneous</t>
  </si>
  <si>
    <t>OM905</t>
  </si>
  <si>
    <t>OMCA</t>
  </si>
  <si>
    <t>907-910</t>
  </si>
  <si>
    <t>Customer Service Expenses</t>
  </si>
  <si>
    <t>OM907</t>
  </si>
  <si>
    <t>911-916</t>
  </si>
  <si>
    <t>Sales Expenses</t>
  </si>
  <si>
    <t>OM911</t>
  </si>
  <si>
    <t>OM920</t>
  </si>
  <si>
    <t>LBSUB</t>
  </si>
  <si>
    <t>OM921</t>
  </si>
  <si>
    <t>OM922</t>
  </si>
  <si>
    <t>Outside Services Employed</t>
  </si>
  <si>
    <t>OM923</t>
  </si>
  <si>
    <t>OMSUB</t>
  </si>
  <si>
    <t>Property Insurance</t>
  </si>
  <si>
    <t>OM924</t>
  </si>
  <si>
    <t>Injuries and Damages</t>
  </si>
  <si>
    <t>OM925</t>
  </si>
  <si>
    <t>OM926</t>
  </si>
  <si>
    <t>OM927</t>
  </si>
  <si>
    <t>Regulatory Commission Fee</t>
  </si>
  <si>
    <t>OM928</t>
  </si>
  <si>
    <t>OM929</t>
  </si>
  <si>
    <t>OM931</t>
  </si>
  <si>
    <t>OM935</t>
  </si>
  <si>
    <t>Operation and Maintenance Expenses</t>
  </si>
  <si>
    <t>Administrative &amp; General</t>
  </si>
  <si>
    <t>Depreciation Expenses</t>
  </si>
  <si>
    <t>OTRE</t>
  </si>
  <si>
    <t>OTPP</t>
  </si>
  <si>
    <t>OTUN</t>
  </si>
  <si>
    <t>OTT</t>
  </si>
  <si>
    <t>Taxes Other Than Income Taxes</t>
  </si>
  <si>
    <t>Total Taxes Other Than Income Taxes</t>
  </si>
  <si>
    <t/>
  </si>
  <si>
    <t>PT365</t>
  </si>
  <si>
    <t>Total Storage Plant</t>
  </si>
  <si>
    <t>Adjustments:</t>
  </si>
  <si>
    <t>Unamortized Debt</t>
  </si>
  <si>
    <t>Depreciation Adjustment</t>
  </si>
  <si>
    <t>Total Transmission and Distribution Oper Exp</t>
  </si>
  <si>
    <t>Total Maintenance Labor</t>
  </si>
  <si>
    <t>Maintenance of General Plant</t>
  </si>
  <si>
    <t>Total Maintenance Expense</t>
  </si>
  <si>
    <t>Total Operation and Maintenance Expenses</t>
  </si>
  <si>
    <t>Functional Assignment Vectors</t>
  </si>
  <si>
    <t>Gas Supply Demand</t>
  </si>
  <si>
    <t>Gas Supply Commodity</t>
  </si>
  <si>
    <t>Storage Demand</t>
  </si>
  <si>
    <t>Storage Commodity</t>
  </si>
  <si>
    <t>Transmission Demand</t>
  </si>
  <si>
    <t>Distribution Expense Commodity</t>
  </si>
  <si>
    <t>PTST</t>
  </si>
  <si>
    <t>Sub-Total Distribution Plant</t>
  </si>
  <si>
    <t>PTDSUB</t>
  </si>
  <si>
    <t>Sub-Total CWIP</t>
  </si>
  <si>
    <t>Regulatory</t>
  </si>
  <si>
    <t>DEPREX</t>
  </si>
  <si>
    <t>Allocation</t>
  </si>
  <si>
    <t>System</t>
  </si>
  <si>
    <t>Total Check</t>
  </si>
  <si>
    <t xml:space="preserve">  Demand</t>
  </si>
  <si>
    <t xml:space="preserve">  Customer</t>
  </si>
  <si>
    <t>PLT</t>
  </si>
  <si>
    <t>RBCSC</t>
  </si>
  <si>
    <t>RBMC</t>
  </si>
  <si>
    <t>RBT</t>
  </si>
  <si>
    <t>OMCSC</t>
  </si>
  <si>
    <t>OMMC</t>
  </si>
  <si>
    <t>Other Taxes</t>
  </si>
  <si>
    <t>Operating Revenues</t>
  </si>
  <si>
    <t>REVMSR</t>
  </si>
  <si>
    <t>TOR</t>
  </si>
  <si>
    <t xml:space="preserve">   Operation and Maintenance Expenses</t>
  </si>
  <si>
    <t xml:space="preserve">   Depreciation and Amortization Expenses</t>
  </si>
  <si>
    <t xml:space="preserve">   Other Taxes</t>
  </si>
  <si>
    <t>Total Operating Expenses</t>
  </si>
  <si>
    <t>TOE</t>
  </si>
  <si>
    <t>TOM</t>
  </si>
  <si>
    <t>Allocation Factors</t>
  </si>
  <si>
    <t xml:space="preserve">  Commodity</t>
  </si>
  <si>
    <t>Total Storage</t>
  </si>
  <si>
    <t>Total Transmission</t>
  </si>
  <si>
    <t>Total Distribution Mains</t>
  </si>
  <si>
    <t>Ref</t>
  </si>
  <si>
    <t>PTISGSD</t>
  </si>
  <si>
    <t>PTISGSC</t>
  </si>
  <si>
    <t>PTISSD</t>
  </si>
  <si>
    <t>PTISSC</t>
  </si>
  <si>
    <t>PTISTD</t>
  </si>
  <si>
    <t>PTISTC</t>
  </si>
  <si>
    <t>PTISDEC</t>
  </si>
  <si>
    <t>PTISDSD</t>
  </si>
  <si>
    <t>PTISDMD</t>
  </si>
  <si>
    <t>PTISDMC</t>
  </si>
  <si>
    <t>PTISMC</t>
  </si>
  <si>
    <t>PTISCAC</t>
  </si>
  <si>
    <t>PTISCSC</t>
  </si>
  <si>
    <t>Other</t>
  </si>
  <si>
    <t>Rate Base</t>
  </si>
  <si>
    <t>RBGSC</t>
  </si>
  <si>
    <t>RBSD</t>
  </si>
  <si>
    <t>RBSC</t>
  </si>
  <si>
    <t>RBTD</t>
  </si>
  <si>
    <t>RBTC</t>
  </si>
  <si>
    <t>RBDEC</t>
  </si>
  <si>
    <t>RBDSD</t>
  </si>
  <si>
    <t>RBDMD</t>
  </si>
  <si>
    <t>RBDMC</t>
  </si>
  <si>
    <t>RBCAC</t>
  </si>
  <si>
    <t>RBGSD</t>
  </si>
  <si>
    <t>OMGSD</t>
  </si>
  <si>
    <t>OMSD</t>
  </si>
  <si>
    <t>OMSC</t>
  </si>
  <si>
    <t>OMTD</t>
  </si>
  <si>
    <t>OMTC</t>
  </si>
  <si>
    <t>OMDEC</t>
  </si>
  <si>
    <t>OMDSD</t>
  </si>
  <si>
    <t>OMDMD</t>
  </si>
  <si>
    <t>OMDMC</t>
  </si>
  <si>
    <t>OMCAC</t>
  </si>
  <si>
    <t>OMGSC</t>
  </si>
  <si>
    <t>DEGSC</t>
  </si>
  <si>
    <t>DESD</t>
  </si>
  <si>
    <t>DESC</t>
  </si>
  <si>
    <t>DETD</t>
  </si>
  <si>
    <t>DETC</t>
  </si>
  <si>
    <t>DEDEC</t>
  </si>
  <si>
    <t>DEDSD</t>
  </si>
  <si>
    <t>DEDMD</t>
  </si>
  <si>
    <t>DEDMC</t>
  </si>
  <si>
    <t>DEMC</t>
  </si>
  <si>
    <t>DECAC</t>
  </si>
  <si>
    <t>DECSC</t>
  </si>
  <si>
    <t>DEGSD</t>
  </si>
  <si>
    <t>OTTGSD</t>
  </si>
  <si>
    <t>OTTGSC</t>
  </si>
  <si>
    <t>OTTSD</t>
  </si>
  <si>
    <t>OTTSC</t>
  </si>
  <si>
    <t>OTTTD</t>
  </si>
  <si>
    <t>OTTTC</t>
  </si>
  <si>
    <t>OTTDEC</t>
  </si>
  <si>
    <t>OTTDSD</t>
  </si>
  <si>
    <t>OTTDMD</t>
  </si>
  <si>
    <t>OTTDMC</t>
  </si>
  <si>
    <t>OTTMC</t>
  </si>
  <si>
    <t>OTTCAC</t>
  </si>
  <si>
    <t>OTTCSC</t>
  </si>
  <si>
    <t>DET</t>
  </si>
  <si>
    <t>OTTT</t>
  </si>
  <si>
    <t>OMTT</t>
  </si>
  <si>
    <t>Income Taxes</t>
  </si>
  <si>
    <t>Transmission &amp; Distribution Mains</t>
  </si>
  <si>
    <t>TDMSUB</t>
  </si>
  <si>
    <t xml:space="preserve">  Sales and Transportation</t>
  </si>
  <si>
    <t>Residential</t>
  </si>
  <si>
    <t>Expenses</t>
  </si>
  <si>
    <t>Taxable Income</t>
  </si>
  <si>
    <t>Net Income Before Income Tax</t>
  </si>
  <si>
    <t>Net Income Before Income Taxes</t>
  </si>
  <si>
    <t>TXINC</t>
  </si>
  <si>
    <t>INT</t>
  </si>
  <si>
    <t>NIBIT</t>
  </si>
  <si>
    <t>Average Revenue per MCF ($/MCF)</t>
  </si>
  <si>
    <t>DEM01</t>
  </si>
  <si>
    <t>COM01</t>
  </si>
  <si>
    <t>DEM02</t>
  </si>
  <si>
    <t>COM02</t>
  </si>
  <si>
    <t>DEM03</t>
  </si>
  <si>
    <t>COM03</t>
  </si>
  <si>
    <t>COM04</t>
  </si>
  <si>
    <t>DEM04</t>
  </si>
  <si>
    <t>DEM05</t>
  </si>
  <si>
    <t>CUST02</t>
  </si>
  <si>
    <t>CUST03</t>
  </si>
  <si>
    <t>Distribution Structures</t>
  </si>
  <si>
    <t>Number of Customers</t>
  </si>
  <si>
    <t>Total Expense Adjustments</t>
  </si>
  <si>
    <t>EXADJ1</t>
  </si>
  <si>
    <t>EXADJ3</t>
  </si>
  <si>
    <t>EXADJ4</t>
  </si>
  <si>
    <t>EXADJ6</t>
  </si>
  <si>
    <t>EXADJ7</t>
  </si>
  <si>
    <t>EXADJ8</t>
  </si>
  <si>
    <t>EXADJ9</t>
  </si>
  <si>
    <t>EXADJ10</t>
  </si>
  <si>
    <t>ADJTOT</t>
  </si>
  <si>
    <t>OMGST</t>
  </si>
  <si>
    <t>OMST</t>
  </si>
  <si>
    <t>DEGST</t>
  </si>
  <si>
    <t>DEST</t>
  </si>
  <si>
    <t>DETT</t>
  </si>
  <si>
    <t>OTTGST</t>
  </si>
  <si>
    <t>OTTST</t>
  </si>
  <si>
    <t>OTTTT</t>
  </si>
  <si>
    <t>LBTOT</t>
  </si>
  <si>
    <t>Payroll Expenses</t>
  </si>
  <si>
    <t>LBGSC</t>
  </si>
  <si>
    <t>LBGST</t>
  </si>
  <si>
    <t>LBSD</t>
  </si>
  <si>
    <t>LBSC</t>
  </si>
  <si>
    <t>LBST</t>
  </si>
  <si>
    <t>LBTD</t>
  </si>
  <si>
    <t>LBTC</t>
  </si>
  <si>
    <t>LBTT</t>
  </si>
  <si>
    <t>LBDEC</t>
  </si>
  <si>
    <t>LBDSD</t>
  </si>
  <si>
    <t>LBDMD</t>
  </si>
  <si>
    <t>LBDMC</t>
  </si>
  <si>
    <t>LBMC</t>
  </si>
  <si>
    <t>LBCAC</t>
  </si>
  <si>
    <t>LBCSC</t>
  </si>
  <si>
    <t>LBGSD</t>
  </si>
  <si>
    <t>Test Year Operating Income</t>
  </si>
  <si>
    <t>Proposed Increase</t>
  </si>
  <si>
    <t>Net Operating Income Adjusted for Increase</t>
  </si>
  <si>
    <t>Rate of Return</t>
  </si>
  <si>
    <t>Load Factor</t>
  </si>
  <si>
    <t>Interest Expenses</t>
  </si>
  <si>
    <t>INTGSC</t>
  </si>
  <si>
    <t>INTGST</t>
  </si>
  <si>
    <t>INTSD</t>
  </si>
  <si>
    <t>INTSC</t>
  </si>
  <si>
    <t>INTST</t>
  </si>
  <si>
    <t>INTTD</t>
  </si>
  <si>
    <t>INTTC</t>
  </si>
  <si>
    <t>INTTT</t>
  </si>
  <si>
    <t>INTDEC</t>
  </si>
  <si>
    <t>INTDSD</t>
  </si>
  <si>
    <t>INTDMD</t>
  </si>
  <si>
    <t>INTDMC</t>
  </si>
  <si>
    <t>INTMC</t>
  </si>
  <si>
    <t>INTCAC</t>
  </si>
  <si>
    <t>INTCSC</t>
  </si>
  <si>
    <t>INTT</t>
  </si>
  <si>
    <t>INTGSD</t>
  </si>
  <si>
    <t>Billing Units</t>
  </si>
  <si>
    <t>Transmission Plant</t>
  </si>
  <si>
    <t>Total Labor Expenses</t>
  </si>
  <si>
    <t>Transmission and Distribution Payroll</t>
  </si>
  <si>
    <t>Transmission and Distribution Mains</t>
  </si>
  <si>
    <t>Internally Generated Functional Vectors</t>
  </si>
  <si>
    <t>Underground Storage Plant</t>
  </si>
  <si>
    <t>PT117</t>
  </si>
  <si>
    <t>Underground Storage</t>
  </si>
  <si>
    <t>Other Distribution</t>
  </si>
  <si>
    <t>Common</t>
  </si>
  <si>
    <t>DEPTR</t>
  </si>
  <si>
    <t>DEPRCO</t>
  </si>
  <si>
    <t>PTCP</t>
  </si>
  <si>
    <t>Customer Advances for Construction</t>
  </si>
  <si>
    <t>Operations Supervision and Engineer</t>
  </si>
  <si>
    <t>Maps and Records</t>
  </si>
  <si>
    <t>Well Expenses</t>
  </si>
  <si>
    <t>Compressor Station Fuel and Power</t>
  </si>
  <si>
    <t xml:space="preserve">Measurement and Regulator Station </t>
  </si>
  <si>
    <t>Gas losses</t>
  </si>
  <si>
    <t>Storage Well Royalities</t>
  </si>
  <si>
    <t>Maintenance Super and Eng.</t>
  </si>
  <si>
    <t>Maintenance of Resevoirs</t>
  </si>
  <si>
    <t>Main of Compressor Station Equipment</t>
  </si>
  <si>
    <t>Main of Meas and Reg Sta. Equip</t>
  </si>
  <si>
    <t>Main of Purification Equip</t>
  </si>
  <si>
    <t>Main of Other Equipment</t>
  </si>
  <si>
    <t>Operation Supr and Engr</t>
  </si>
  <si>
    <t>Dist Load Dispatching</t>
  </si>
  <si>
    <t>Compr. Station Fuel and Power</t>
  </si>
  <si>
    <t>Compr. Station Labor and Exp.</t>
  </si>
  <si>
    <t>Other Mains/Serv. Expenses</t>
  </si>
  <si>
    <t>Leak Survey-Mains</t>
  </si>
  <si>
    <t>Leak Survey - Service</t>
  </si>
  <si>
    <t>Locate Main per Request</t>
  </si>
  <si>
    <t>Check Stop Box Access</t>
  </si>
  <si>
    <t>Patrolling Mains</t>
  </si>
  <si>
    <t>Check/Grease Valves</t>
  </si>
  <si>
    <t>Opr. Odor Equipment</t>
  </si>
  <si>
    <t>Locate and Inspect Valve Boxes</t>
  </si>
  <si>
    <t>Cut Grass - Right of Way</t>
  </si>
  <si>
    <t>Meas and Reg Station Exp.- General</t>
  </si>
  <si>
    <t>Meas and Reg Station Exp.- Industrial</t>
  </si>
  <si>
    <t>Meas and Reg Station Exp. - City Gate</t>
  </si>
  <si>
    <t>Meter and House Reg. Expense</t>
  </si>
  <si>
    <t>Customer Installation Expense</t>
  </si>
  <si>
    <t>Transmission Expenses</t>
  </si>
  <si>
    <t>Operation</t>
  </si>
  <si>
    <t>Customer Records and Collections</t>
  </si>
  <si>
    <t>Misc. Cust Account Expenses</t>
  </si>
  <si>
    <t>Admin and General Salaries</t>
  </si>
  <si>
    <t>Office Supplies and Expense</t>
  </si>
  <si>
    <t>Admin. Expenses Transferred</t>
  </si>
  <si>
    <t>Employee Pensions and Benefits</t>
  </si>
  <si>
    <t>General Advertising Expense</t>
  </si>
  <si>
    <t>Misc. General Expense</t>
  </si>
  <si>
    <t>Maintenance Supr and Engr</t>
  </si>
  <si>
    <t>Maintenance Structures</t>
  </si>
  <si>
    <t>Maintenance Mains</t>
  </si>
  <si>
    <t>Maintenance Comp. Station Equip.</t>
  </si>
  <si>
    <t>Maintenance Meas and Reg. General</t>
  </si>
  <si>
    <t>Maintenance Meas and Reg - Industrial</t>
  </si>
  <si>
    <t>Maintenance Meas and Reg.-City Gate</t>
  </si>
  <si>
    <t>Maintenance Services</t>
  </si>
  <si>
    <t>Maintenance Meters and House Reg.</t>
  </si>
  <si>
    <t>Maintenance Other Equipment</t>
  </si>
  <si>
    <t>U-T-D Subtotal</t>
  </si>
  <si>
    <t>Total Storage Labor</t>
  </si>
  <si>
    <t>807-813</t>
  </si>
  <si>
    <t>Procurement Expenses</t>
  </si>
  <si>
    <t>Labor Expenses</t>
  </si>
  <si>
    <t>Storage Expenses</t>
  </si>
  <si>
    <t>Storage Expense</t>
  </si>
  <si>
    <t>Maintenance</t>
  </si>
  <si>
    <t>Labor Expenses (Continued)</t>
  </si>
  <si>
    <t>Total Maintenance Expenses</t>
  </si>
  <si>
    <t>Customer Accounts Expense</t>
  </si>
  <si>
    <t>Total Labor Expense</t>
  </si>
  <si>
    <t>Operation &amp; Maintenance Expenses</t>
  </si>
  <si>
    <t>Total Operation Expenses</t>
  </si>
  <si>
    <t>Total Storage Expense</t>
  </si>
  <si>
    <t>Operation &amp; Maintenance Expenses (Continued)</t>
  </si>
  <si>
    <t>Total Customer Accounts Expense</t>
  </si>
  <si>
    <t>Total Administrative and General Expense</t>
  </si>
  <si>
    <t>Total Operation &amp; Maintenance Expense</t>
  </si>
  <si>
    <t>Total Administrative and General Labor</t>
  </si>
  <si>
    <t>Total Customer Accounts Labor</t>
  </si>
  <si>
    <t>Total Operations Distribution Labor</t>
  </si>
  <si>
    <t>Total Operations Transmission and Distribution Labor</t>
  </si>
  <si>
    <t>Total Operations Distribution Expense</t>
  </si>
  <si>
    <t>LB807</t>
  </si>
  <si>
    <t>LB814</t>
  </si>
  <si>
    <t>LB815</t>
  </si>
  <si>
    <t>LB816</t>
  </si>
  <si>
    <t>LB817</t>
  </si>
  <si>
    <t>LB818</t>
  </si>
  <si>
    <t>LB819</t>
  </si>
  <si>
    <t>LB820</t>
  </si>
  <si>
    <t>LB821</t>
  </si>
  <si>
    <t>LB823</t>
  </si>
  <si>
    <t>LB824</t>
  </si>
  <si>
    <t>LB825</t>
  </si>
  <si>
    <t>LB826</t>
  </si>
  <si>
    <t>LB830</t>
  </si>
  <si>
    <t>LB831</t>
  </si>
  <si>
    <t>LB832</t>
  </si>
  <si>
    <t>LB833</t>
  </si>
  <si>
    <t>LB834</t>
  </si>
  <si>
    <t>LB835</t>
  </si>
  <si>
    <t>LB836</t>
  </si>
  <si>
    <t>LB837</t>
  </si>
  <si>
    <t>LBS</t>
  </si>
  <si>
    <t>LB850</t>
  </si>
  <si>
    <t>LB870</t>
  </si>
  <si>
    <t>LB871</t>
  </si>
  <si>
    <t>LB872</t>
  </si>
  <si>
    <t>LB873</t>
  </si>
  <si>
    <t>LB874.01</t>
  </si>
  <si>
    <t>LB874.02</t>
  </si>
  <si>
    <t>LB874.03</t>
  </si>
  <si>
    <t>LB874.04</t>
  </si>
  <si>
    <t>LB874.05</t>
  </si>
  <si>
    <t>LB874.06</t>
  </si>
  <si>
    <t>LB874.07</t>
  </si>
  <si>
    <t>LB874.08</t>
  </si>
  <si>
    <t>LB874.09</t>
  </si>
  <si>
    <t>LB874.10</t>
  </si>
  <si>
    <t>LB875</t>
  </si>
  <si>
    <t>LB876</t>
  </si>
  <si>
    <t>LB877</t>
  </si>
  <si>
    <t>LB878</t>
  </si>
  <si>
    <t>LB879</t>
  </si>
  <si>
    <t>LB880</t>
  </si>
  <si>
    <t>LB881</t>
  </si>
  <si>
    <t>LB885</t>
  </si>
  <si>
    <t>LB886</t>
  </si>
  <si>
    <t>LB887</t>
  </si>
  <si>
    <t>LB888</t>
  </si>
  <si>
    <t>LB889</t>
  </si>
  <si>
    <t>LB890</t>
  </si>
  <si>
    <t>LB891</t>
  </si>
  <si>
    <t>LB892</t>
  </si>
  <si>
    <t>LB893</t>
  </si>
  <si>
    <t>LB894</t>
  </si>
  <si>
    <t>LBDM</t>
  </si>
  <si>
    <t>LBDO</t>
  </si>
  <si>
    <t>LBTDO</t>
  </si>
  <si>
    <t>LBSM</t>
  </si>
  <si>
    <t>LBSO</t>
  </si>
  <si>
    <t>LB901</t>
  </si>
  <si>
    <t>LB902</t>
  </si>
  <si>
    <t>LB903</t>
  </si>
  <si>
    <t>LB904</t>
  </si>
  <si>
    <t>LB905</t>
  </si>
  <si>
    <t>LBCA</t>
  </si>
  <si>
    <t>LB907</t>
  </si>
  <si>
    <t>LB911</t>
  </si>
  <si>
    <t>LB920</t>
  </si>
  <si>
    <t>LB921</t>
  </si>
  <si>
    <t>LB922</t>
  </si>
  <si>
    <t>LB923</t>
  </si>
  <si>
    <t>LB924</t>
  </si>
  <si>
    <t>LB925</t>
  </si>
  <si>
    <t>LB926</t>
  </si>
  <si>
    <t>LB927</t>
  </si>
  <si>
    <t>LB928</t>
  </si>
  <si>
    <t>LB929</t>
  </si>
  <si>
    <t>LB930.1</t>
  </si>
  <si>
    <t>LB930.2</t>
  </si>
  <si>
    <t>LB931</t>
  </si>
  <si>
    <t>LB935</t>
  </si>
  <si>
    <t>LBAG</t>
  </si>
  <si>
    <t>OM807</t>
  </si>
  <si>
    <t>OMOE</t>
  </si>
  <si>
    <t>OMME</t>
  </si>
  <si>
    <t>OMS</t>
  </si>
  <si>
    <t>OM872</t>
  </si>
  <si>
    <t>OM873</t>
  </si>
  <si>
    <t>OM874.01</t>
  </si>
  <si>
    <t>OM874.02</t>
  </si>
  <si>
    <t>OM874.03</t>
  </si>
  <si>
    <t>OM874.04</t>
  </si>
  <si>
    <t>OM874.05</t>
  </si>
  <si>
    <t>OM874.06</t>
  </si>
  <si>
    <t>OM874.07</t>
  </si>
  <si>
    <t>OM874.08</t>
  </si>
  <si>
    <t>OM874.09</t>
  </si>
  <si>
    <t>OM874.10</t>
  </si>
  <si>
    <t>OM875</t>
  </si>
  <si>
    <t>OM876</t>
  </si>
  <si>
    <t>OM877</t>
  </si>
  <si>
    <t>OM878</t>
  </si>
  <si>
    <t>OM879</t>
  </si>
  <si>
    <t>OMDO</t>
  </si>
  <si>
    <t>OMTDO</t>
  </si>
  <si>
    <t>OMDE</t>
  </si>
  <si>
    <t>OM930.1</t>
  </si>
  <si>
    <t>OM930.2</t>
  </si>
  <si>
    <t>OMAGT</t>
  </si>
  <si>
    <t>Total Transmission &amp; Distribution Labor</t>
  </si>
  <si>
    <t>Total Transmission &amp; Distribution Expenses</t>
  </si>
  <si>
    <t>Gas Stored Underground/Non-Current</t>
  </si>
  <si>
    <t>Common Utility Plant</t>
  </si>
  <si>
    <t>CWIPDM</t>
  </si>
  <si>
    <t>CWIPOD</t>
  </si>
  <si>
    <t>Total Gas Utility Plant at Original Cost</t>
  </si>
  <si>
    <t>Customer Advances For Construction</t>
  </si>
  <si>
    <t>CAD</t>
  </si>
  <si>
    <t>PLUS:</t>
  </si>
  <si>
    <t>DP350</t>
  </si>
  <si>
    <t>DP365</t>
  </si>
  <si>
    <t>Land &amp; Land Rights</t>
  </si>
  <si>
    <t>Meas &amp; Reg Station Eq.-City Gate</t>
  </si>
  <si>
    <t>Meas &amp; Reg Station Eq.-Gen</t>
  </si>
  <si>
    <t>Industrial Meas &amp; Reg Equipment</t>
  </si>
  <si>
    <t>DP374</t>
  </si>
  <si>
    <t>DP375</t>
  </si>
  <si>
    <t>DP376</t>
  </si>
  <si>
    <t>DP378</t>
  </si>
  <si>
    <t>DP379</t>
  </si>
  <si>
    <t>DP380</t>
  </si>
  <si>
    <t>DP381</t>
  </si>
  <si>
    <t>DP382</t>
  </si>
  <si>
    <t>DP383</t>
  </si>
  <si>
    <t>DP384</t>
  </si>
  <si>
    <t>DP385</t>
  </si>
  <si>
    <t>DP387</t>
  </si>
  <si>
    <t>Total Distribution</t>
  </si>
  <si>
    <t>DP117</t>
  </si>
  <si>
    <t>DP301</t>
  </si>
  <si>
    <t>DP389</t>
  </si>
  <si>
    <t>DPCP</t>
  </si>
  <si>
    <t>Total Depreciation Expense</t>
  </si>
  <si>
    <t>Unemployment Insurance</t>
  </si>
  <si>
    <t>Federal Old Age &amp; Survivor Insurance</t>
  </si>
  <si>
    <t>Public Service Commission Fee</t>
  </si>
  <si>
    <t>OTFICA</t>
  </si>
  <si>
    <t>OTCF</t>
  </si>
  <si>
    <t>OTMISC</t>
  </si>
  <si>
    <t>(IGS)</t>
  </si>
  <si>
    <t>Commercial</t>
  </si>
  <si>
    <t>(CGS)</t>
  </si>
  <si>
    <t>Industrial</t>
  </si>
  <si>
    <t>(RGS)</t>
  </si>
  <si>
    <t>Firm Transportation Service</t>
  </si>
  <si>
    <t>(FT)</t>
  </si>
  <si>
    <t>Total Storage Operation Labor</t>
  </si>
  <si>
    <t>OSE</t>
  </si>
  <si>
    <t>MSE</t>
  </si>
  <si>
    <t>Procurement</t>
  </si>
  <si>
    <t>Mains &amp; Services</t>
  </si>
  <si>
    <t>CADAL</t>
  </si>
  <si>
    <t>DMCM</t>
  </si>
  <si>
    <t>Demand/Commodity Percent of Purchased Gas Cost</t>
  </si>
  <si>
    <t>DOES</t>
  </si>
  <si>
    <t>DMES</t>
  </si>
  <si>
    <t>Subtotal Labor Expenses</t>
  </si>
  <si>
    <t>Subtotal O&amp;M Expenses</t>
  </si>
  <si>
    <t>Storage-Transmission -Distribution Plant Subtotal</t>
  </si>
  <si>
    <t>Customer Service Expense</t>
  </si>
  <si>
    <t xml:space="preserve">  Forfeited Discounts</t>
  </si>
  <si>
    <t>Pro-Forma Adjustments to Revenues</t>
  </si>
  <si>
    <t>Pro-Forma Adjustments to Expenses</t>
  </si>
  <si>
    <t>Total Revenue Adjustments</t>
  </si>
  <si>
    <t xml:space="preserve">   Labor Adjustment</t>
  </si>
  <si>
    <t xml:space="preserve">   Depreciation Expenses</t>
  </si>
  <si>
    <t xml:space="preserve">   Rate Case Expenses</t>
  </si>
  <si>
    <t>Total Adjusted Revenue</t>
  </si>
  <si>
    <t>Interest Expense</t>
  </si>
  <si>
    <t>Unadjusted Net Cost Rate Base</t>
  </si>
  <si>
    <t>Adjusted Deliveries</t>
  </si>
  <si>
    <t>Total Procurement Expenses</t>
  </si>
  <si>
    <t>Gas Plant at Original Cost</t>
  </si>
  <si>
    <t>Gas Plant at Original Cost (Continued)</t>
  </si>
  <si>
    <t>Compressor Station Exp - Payroll</t>
  </si>
  <si>
    <t>Purification of Natural Gas</t>
  </si>
  <si>
    <t>Allocation Factors Continued</t>
  </si>
  <si>
    <t>OMTRT</t>
  </si>
  <si>
    <t>LBTRT</t>
  </si>
  <si>
    <t>Forfeited Discounts</t>
  </si>
  <si>
    <t>REVFD</t>
  </si>
  <si>
    <t>Depreciation Reserve - Distribution</t>
  </si>
  <si>
    <t>DEPRDIS</t>
  </si>
  <si>
    <t>Total Distribution Expense</t>
  </si>
  <si>
    <t>DISTRT</t>
  </si>
  <si>
    <t>Rate Base Adjustments</t>
  </si>
  <si>
    <t>(AAGS)</t>
  </si>
  <si>
    <t>O&amp;M Expenses</t>
  </si>
  <si>
    <t>Distribution Mains - Low &amp; Med. Pressure</t>
  </si>
  <si>
    <t>Distribution Mains -         High Pressure</t>
  </si>
  <si>
    <t>Distribution Mains -          High Pressure</t>
  </si>
  <si>
    <t xml:space="preserve">  High Pressure - Customer</t>
  </si>
  <si>
    <t xml:space="preserve">  Low/Medium Pressure - Customer</t>
  </si>
  <si>
    <t xml:space="preserve">  Low/Medium Pressure - Demand</t>
  </si>
  <si>
    <t xml:space="preserve">  High  Pressure - Demand</t>
  </si>
  <si>
    <t>Low/Medium Pressure Distribution Mains</t>
  </si>
  <si>
    <t>High Pressure Distribution Mains</t>
  </si>
  <si>
    <t>DEM05a</t>
  </si>
  <si>
    <t>Services Cost</t>
  </si>
  <si>
    <t>Duplicate Charges -Credit</t>
  </si>
  <si>
    <t>Franchise Requirement</t>
  </si>
  <si>
    <t>REVADJ4</t>
  </si>
  <si>
    <t xml:space="preserve">    Removal of DSM Revenues</t>
  </si>
  <si>
    <t xml:space="preserve">   Eliminate DSM Expenses</t>
  </si>
  <si>
    <t xml:space="preserve">  Miscellaneous Revenue</t>
  </si>
  <si>
    <t>Actual Revenue</t>
  </si>
  <si>
    <t>Interest Adjustment</t>
  </si>
  <si>
    <t>Net Operating Income (Pro-Forma)</t>
  </si>
  <si>
    <t>Rate of Return  -- Pro-Forma</t>
  </si>
  <si>
    <t>Net Cost Rate Base (Same as Above)</t>
  </si>
  <si>
    <t>Incremental Income Taxes</t>
  </si>
  <si>
    <t>DSM Allocation</t>
  </si>
  <si>
    <t>Maintenance Expense -- Distribution</t>
  </si>
  <si>
    <t>Storage Maintenance Expenses Labor Subtotal</t>
  </si>
  <si>
    <t>Storage Operation Expenses Labor Subtotal</t>
  </si>
  <si>
    <t>Distribution Operation Expenses Labor Subtotal</t>
  </si>
  <si>
    <t>Distribution Maintenance Expenses Labor Subtotal</t>
  </si>
  <si>
    <t>Asset Retire Obligation Gas Plant</t>
  </si>
  <si>
    <t xml:space="preserve">Misc. General Expense  </t>
  </si>
  <si>
    <t>General &amp; Intangible</t>
  </si>
  <si>
    <t xml:space="preserve">General </t>
  </si>
  <si>
    <t>PT388</t>
  </si>
  <si>
    <t>Asset Retire Obligation Gas Plant-Mains</t>
  </si>
  <si>
    <t>Asset Retire Obligation Gas Plant-City Gate</t>
  </si>
  <si>
    <t>DP388</t>
  </si>
  <si>
    <t>Total Underground Storage</t>
  </si>
  <si>
    <t>As Available Gas Service</t>
  </si>
  <si>
    <t>Reference</t>
  </si>
  <si>
    <t>(1)</t>
  </si>
  <si>
    <t>REVMISC</t>
  </si>
  <si>
    <t>Miscellaneous Revenue Allocation</t>
  </si>
  <si>
    <r>
      <t xml:space="preserve">Purification of Natural Gas </t>
    </r>
    <r>
      <rPr>
        <i/>
        <sz val="10"/>
        <rFont val="Times New Roman"/>
        <family val="1"/>
      </rPr>
      <t xml:space="preserve">  (1)</t>
    </r>
  </si>
  <si>
    <r>
      <t xml:space="preserve">Gas losses  </t>
    </r>
    <r>
      <rPr>
        <i/>
        <sz val="10"/>
        <rFont val="Times New Roman"/>
        <family val="1"/>
      </rPr>
      <t xml:space="preserve"> (2)</t>
    </r>
  </si>
  <si>
    <r>
      <t xml:space="preserve">Sales Expenses  </t>
    </r>
    <r>
      <rPr>
        <i/>
        <sz val="10"/>
        <rFont val="Times New Roman"/>
        <family val="1"/>
      </rPr>
      <t xml:space="preserve">  </t>
    </r>
  </si>
  <si>
    <r>
      <t xml:space="preserve">Injuries and Damages  </t>
    </r>
    <r>
      <rPr>
        <i/>
        <sz val="10"/>
        <rFont val="Times New Roman"/>
        <family val="1"/>
      </rPr>
      <t xml:space="preserve"> </t>
    </r>
  </si>
  <si>
    <r>
      <t xml:space="preserve">Employee Pensions and Benefits </t>
    </r>
    <r>
      <rPr>
        <i/>
        <sz val="10"/>
        <rFont val="Times New Roman"/>
        <family val="1"/>
      </rPr>
      <t xml:space="preserve"> </t>
    </r>
  </si>
  <si>
    <r>
      <t xml:space="preserve">General Advertising Expense </t>
    </r>
    <r>
      <rPr>
        <i/>
        <sz val="10"/>
        <rFont val="Times New Roman"/>
        <family val="1"/>
      </rPr>
      <t xml:space="preserve"> </t>
    </r>
  </si>
  <si>
    <t>Regulatory Credits</t>
  </si>
  <si>
    <t>Regulatory Credits and Accretion</t>
  </si>
  <si>
    <t>Accretion</t>
  </si>
  <si>
    <t>REGCR</t>
  </si>
  <si>
    <t>ACCRE</t>
  </si>
  <si>
    <t>ITCAM</t>
  </si>
  <si>
    <t>RCR</t>
  </si>
  <si>
    <t>Accretion Expense</t>
  </si>
  <si>
    <t>ITC Amortization</t>
  </si>
  <si>
    <t>ACC</t>
  </si>
  <si>
    <t xml:space="preserve">   Other Expenses (ITC amortization, Reg Credits, Accretion)</t>
  </si>
  <si>
    <t>FAS 109 Deferred Income taxes</t>
  </si>
  <si>
    <t>Asset Retirement Obligation-Net Assets</t>
  </si>
  <si>
    <t>Accum Depre reclassification</t>
  </si>
  <si>
    <t>Asset Retirement Obligation-Liabilities</t>
  </si>
  <si>
    <t>Asset Retirement Obligation-Regulatory Assets</t>
  </si>
  <si>
    <t>Asset Retirement Obligation-Regulatory Liabilities</t>
  </si>
  <si>
    <t>High Pressure System</t>
  </si>
  <si>
    <t>RBTHP</t>
  </si>
  <si>
    <t>Depreciation</t>
  </si>
  <si>
    <t>Taxes (Other than Income)</t>
  </si>
  <si>
    <t>Accretion Expenses</t>
  </si>
  <si>
    <t>Design-Day Demands</t>
  </si>
  <si>
    <t>Firm Rate Classes</t>
  </si>
  <si>
    <t>Return (at Rate FT ROR)</t>
  </si>
  <si>
    <t>Daily Utilization Charges Under Rate FT</t>
  </si>
  <si>
    <t>Louisville Gas and Electric Company</t>
  </si>
  <si>
    <t>Rate of Return -- Proposed</t>
  </si>
  <si>
    <t>Net Operating Income -- Proposed Rates</t>
  </si>
  <si>
    <t>Total Operating Revenues</t>
  </si>
  <si>
    <t>Annual Cost</t>
  </si>
  <si>
    <t>Monthly Cost</t>
  </si>
  <si>
    <t>Unit Cost at 100 Percent Load Factor</t>
  </si>
  <si>
    <t xml:space="preserve">  Interdepartmental Sales</t>
  </si>
  <si>
    <t xml:space="preserve">    Adjustment to eliminate gas supply cost recoveries</t>
  </si>
  <si>
    <t xml:space="preserve">   Property Insurance Adjmt.</t>
  </si>
  <si>
    <t xml:space="preserve">   Interest Rate Swap Amortization</t>
  </si>
  <si>
    <t xml:space="preserve">   Property Tax Adjmt.</t>
  </si>
  <si>
    <t xml:space="preserve">   Federal &amp; State Income Tax Adjmt.</t>
  </si>
  <si>
    <t xml:space="preserve">   Federal &amp; State Income Tax Interest Adjmt.</t>
  </si>
  <si>
    <t xml:space="preserve">   Prior Income tax true-ups &amp; adjustments</t>
  </si>
  <si>
    <t xml:space="preserve">   Adjustment to correct Edison Electric invoice</t>
  </si>
  <si>
    <t>PTISDIS</t>
  </si>
  <si>
    <t>Pro-Forma Adjustments</t>
  </si>
  <si>
    <t>PROFO</t>
  </si>
  <si>
    <t>REVGSC</t>
  </si>
  <si>
    <t>GSC Revenue</t>
  </si>
  <si>
    <t>REV01</t>
  </si>
  <si>
    <t>TREVADJ</t>
  </si>
  <si>
    <t xml:space="preserve">   Pensions/Post Retirement Benefits Adjmt.</t>
  </si>
  <si>
    <t xml:space="preserve">   Eliminate Advertising Expenses </t>
  </si>
  <si>
    <t xml:space="preserve">   Normalize 925 Injuries/Damages Adjmt.</t>
  </si>
  <si>
    <t>Unit Cost of Service Based on the Cost of Service Study</t>
  </si>
  <si>
    <t>Customer Costs</t>
  </si>
  <si>
    <t>Customer-Related</t>
  </si>
  <si>
    <t xml:space="preserve">Demand Related </t>
  </si>
  <si>
    <t>Low Pressure</t>
  </si>
  <si>
    <t>High Pressure</t>
  </si>
  <si>
    <t>Demand-Related</t>
  </si>
  <si>
    <t>Mains Costs</t>
  </si>
  <si>
    <t>Main Costs</t>
  </si>
  <si>
    <t>Direct Costs</t>
  </si>
  <si>
    <t>Costs</t>
  </si>
  <si>
    <t>Total Costs</t>
  </si>
  <si>
    <t>(2)</t>
  </si>
  <si>
    <t>(3)</t>
  </si>
  <si>
    <t>(1)+(2)</t>
  </si>
  <si>
    <t>(4)</t>
  </si>
  <si>
    <t>(5)</t>
  </si>
  <si>
    <t>(3) x (4)</t>
  </si>
  <si>
    <t>(6)</t>
  </si>
  <si>
    <t>(7)</t>
  </si>
  <si>
    <t>(5) - (6)</t>
  </si>
  <si>
    <t>(8)</t>
  </si>
  <si>
    <t>(9)</t>
  </si>
  <si>
    <t>(10)</t>
  </si>
  <si>
    <t>(11)</t>
  </si>
  <si>
    <t>(12)</t>
  </si>
  <si>
    <t>(13)</t>
  </si>
  <si>
    <t>(14)</t>
  </si>
  <si>
    <t>Less: Misc Revenue</t>
  </si>
  <si>
    <t>(15)</t>
  </si>
  <si>
    <t>(13) - (14)</t>
  </si>
  <si>
    <t>(16)</t>
  </si>
  <si>
    <t>(17)</t>
  </si>
  <si>
    <t>(15) / (16)</t>
  </si>
  <si>
    <t>Rate RGS</t>
  </si>
  <si>
    <t>(18)</t>
  </si>
  <si>
    <t>See Note Below</t>
  </si>
  <si>
    <t>Compressor</t>
  </si>
  <si>
    <t>LG&amp;E System</t>
  </si>
  <si>
    <t>Transmission Costs</t>
  </si>
  <si>
    <t>Storage Costs</t>
  </si>
  <si>
    <t>Firm Rate Classes are RGS, CGS, IGS</t>
  </si>
  <si>
    <t>807 &amp; 813</t>
  </si>
  <si>
    <t xml:space="preserve">   Remove out of period items.</t>
  </si>
  <si>
    <t xml:space="preserve">   General Management audit regulatory asset</t>
  </si>
  <si>
    <t xml:space="preserve">   Swap termination regulatory asset</t>
  </si>
  <si>
    <t xml:space="preserve">   Gas Supply Uncollectible Accounts Expense</t>
  </si>
  <si>
    <t>392-396</t>
  </si>
  <si>
    <t>Common Utility Plant Amortization</t>
  </si>
  <si>
    <t xml:space="preserve">   Adjustment for amortization of investment tax credit</t>
  </si>
  <si>
    <t>Conroy Exhibit C10 Page 2</t>
  </si>
  <si>
    <t>Conroy Exhibit C10 Page 12</t>
  </si>
  <si>
    <t>Conroy Exhibit C10 Page 10</t>
  </si>
  <si>
    <t>Conroy Exhibit C10 Page 3</t>
  </si>
  <si>
    <t>Conroy Exhibit C10 Page 5</t>
  </si>
  <si>
    <t>Conroy Exhibit C10 Page 9</t>
  </si>
  <si>
    <t>Conroy Exhibit C10 Pages 6,7 &amp; 8</t>
  </si>
  <si>
    <t>Conroy Exhibit C10 Page 11</t>
  </si>
  <si>
    <t>Conroy Exhibit C10 Page 14</t>
  </si>
  <si>
    <t>Proposed Class ROR</t>
  </si>
  <si>
    <t>(4)+(8)+(9)+(10)+(11)+(12)+(13)</t>
  </si>
  <si>
    <t>Rate Base as Adjusted [(1) + (2)]</t>
  </si>
  <si>
    <t>Return [(3) x (4)]</t>
  </si>
  <si>
    <t>Net Income [(5) - (6)]</t>
  </si>
  <si>
    <t>Total Cost of Service [(4)+(8)+(9)+(10)+(11)+(12)+(13)]</t>
  </si>
  <si>
    <t>Net Cost of Service [(13) - (14)]</t>
  </si>
  <si>
    <t>Unit Costs [(15) / (16)]</t>
  </si>
  <si>
    <t>Cash Working Capital Adjustment</t>
  </si>
  <si>
    <t>N/A</t>
  </si>
  <si>
    <t xml:space="preserve">    Adjustment to eliminate gas line tracker revenues</t>
  </si>
  <si>
    <t>Low/Med Pres. Distrib Mains</t>
  </si>
  <si>
    <t>Expense Adjustments (Non-Income Tax)</t>
  </si>
  <si>
    <t>Straight Fixed Variable Customer Charge</t>
  </si>
  <si>
    <t>Incremental Uncollectable Accounts Expense</t>
  </si>
  <si>
    <t>Incremental Commission Fees</t>
  </si>
  <si>
    <t xml:space="preserve">    Adj to eliminate GSC recoveries Interdepartmental Sales</t>
  </si>
  <si>
    <t>365-372</t>
  </si>
  <si>
    <t>Construction Work in Progress</t>
  </si>
  <si>
    <t xml:space="preserve">  Storage Related</t>
  </si>
  <si>
    <t>Transmission Storage Related</t>
  </si>
  <si>
    <t>Amortization of Investment Tax Credits</t>
  </si>
  <si>
    <t>Transmission Non-Storage Related</t>
  </si>
  <si>
    <t xml:space="preserve">  Demand Non-Storage Related</t>
  </si>
  <si>
    <t>Removal of GLT Revenue</t>
  </si>
  <si>
    <t>REVGLT</t>
  </si>
  <si>
    <t>Net Operating Income -- Adjusted Forecast Period</t>
  </si>
  <si>
    <t>Net Operating Income -- Adjusted Forecast Period (Cont.)</t>
  </si>
  <si>
    <t>Storage/Transmission</t>
  </si>
  <si>
    <t>Transmission and</t>
  </si>
  <si>
    <t>For the 12 Months Ended June 30, 2018</t>
  </si>
  <si>
    <t>Rate FT</t>
  </si>
  <si>
    <t>Customer Count (12 Month Average)</t>
  </si>
  <si>
    <t>High Pressure Distrib Mains (13 Month Avg.)</t>
  </si>
  <si>
    <t>Customer Count (13 Month Average)</t>
  </si>
  <si>
    <t>Customer Plant Allocators</t>
  </si>
  <si>
    <t>CUSTPT01</t>
  </si>
  <si>
    <t>CUSTPT01a</t>
  </si>
  <si>
    <t>CUSTPT04</t>
  </si>
  <si>
    <t>CUSTPT05</t>
  </si>
  <si>
    <t>Customer O&amp;M Allocators</t>
  </si>
  <si>
    <t>CUSTOM01</t>
  </si>
  <si>
    <t>CUSTOM01a</t>
  </si>
  <si>
    <t>CUSTOM04</t>
  </si>
  <si>
    <t>CUSTOM05</t>
  </si>
  <si>
    <t>117 &amp; 352</t>
  </si>
  <si>
    <t>Adjustment to Forefeited Discounts</t>
  </si>
  <si>
    <t>Adjustment to Returned Check Fees</t>
  </si>
  <si>
    <t>Exhibit WSS-9</t>
  </si>
  <si>
    <t>Page 1 of 1</t>
  </si>
  <si>
    <t>Exhibit WSS-12</t>
  </si>
  <si>
    <t>Exhibit WSS-10</t>
  </si>
  <si>
    <t>Exhibit WSS-11</t>
  </si>
  <si>
    <t>Rate CGS (and SGSS-C)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</si>
</sst>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&quot;$&quot;* #,##0.0000_);_(&quot;$&quot;* \(#,##0.0000\);_(&quot;$&quot;* &quot;-&quot;??_);_(@_)"/>
    <numFmt numFmtId="172" formatCode="_(* #,##0.0000000_);_(* \(#,##0.0000000\);_(* &quot;-&quot;??_);_(@_)"/>
    <numFmt numFmtId="173" formatCode="_([$€-2]* #,##0.00_);_([$€-2]* \(#,##0.00\);_([$€-2]* &quot;-&quot;??_)"/>
    <numFmt numFmtId="174" formatCode="&quot;$&quot;#,##0\ ;\(&quot;$&quot;#,##0\)"/>
    <numFmt numFmtId="175" formatCode="0.0%"/>
    <numFmt numFmtId="176" formatCode="0.000%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0"/>
      <color rgb="FF000000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 applyProtection="0"/>
    <xf numFmtId="0" fontId="6" fillId="0" borderId="0" applyProtection="0"/>
    <xf numFmtId="0" fontId="9" fillId="0" borderId="0" applyProtection="0"/>
    <xf numFmtId="0" fontId="10" fillId="0" borderId="0" applyProtection="0"/>
    <xf numFmtId="0" fontId="1" fillId="0" borderId="0" applyProtection="0"/>
    <xf numFmtId="0" fontId="4" fillId="0" borderId="0" applyProtection="0"/>
    <xf numFmtId="0" fontId="11" fillId="0" borderId="0" applyProtection="0"/>
    <xf numFmtId="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" applyNumberFormat="0" applyFont="0" applyFill="0" applyAlignment="0" applyProtection="0"/>
    <xf numFmtId="0" fontId="20" fillId="0" borderId="0"/>
  </cellStyleXfs>
  <cellXfs count="202">
    <xf numFmtId="0" fontId="0" fillId="0" borderId="0" xfId="0"/>
    <xf numFmtId="0" fontId="2" fillId="0" borderId="0" xfId="0" applyFont="1" applyAlignment="1">
      <alignment horizontal="right"/>
    </xf>
    <xf numFmtId="164" fontId="0" fillId="0" borderId="0" xfId="1" applyNumberFormat="1" applyFont="1"/>
    <xf numFmtId="164" fontId="0" fillId="0" borderId="0" xfId="0" applyNumberFormat="1"/>
    <xf numFmtId="10" fontId="0" fillId="0" borderId="0" xfId="0" applyNumberFormat="1"/>
    <xf numFmtId="164" fontId="0" fillId="0" borderId="2" xfId="1" applyNumberFormat="1" applyFont="1" applyBorder="1"/>
    <xf numFmtId="0" fontId="7" fillId="0" borderId="0" xfId="0" applyFont="1" applyFill="1"/>
    <xf numFmtId="164" fontId="14" fillId="0" borderId="0" xfId="1" applyNumberFormat="1" applyFont="1" applyFill="1"/>
    <xf numFmtId="164" fontId="14" fillId="0" borderId="0" xfId="1" applyNumberFormat="1" applyFont="1" applyFill="1" applyBorder="1"/>
    <xf numFmtId="164" fontId="14" fillId="0" borderId="0" xfId="1" applyNumberFormat="1" applyFont="1" applyFill="1" applyAlignment="1">
      <alignment horizontal="right"/>
    </xf>
    <xf numFmtId="43" fontId="14" fillId="0" borderId="0" xfId="1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3" xfId="0" applyFont="1" applyFill="1" applyBorder="1" applyAlignment="1">
      <alignment horizontal="right"/>
    </xf>
    <xf numFmtId="168" fontId="0" fillId="0" borderId="0" xfId="0" applyNumberFormat="1"/>
    <xf numFmtId="44" fontId="0" fillId="0" borderId="0" xfId="5" applyFont="1"/>
    <xf numFmtId="0" fontId="6" fillId="0" borderId="0" xfId="0" applyFont="1" applyFill="1"/>
    <xf numFmtId="164" fontId="6" fillId="0" borderId="0" xfId="1" applyNumberFormat="1" applyFont="1" applyFill="1"/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5" fontId="6" fillId="0" borderId="0" xfId="5" applyNumberFormat="1" applyFont="1" applyFill="1"/>
    <xf numFmtId="165" fontId="6" fillId="0" borderId="0" xfId="0" applyNumberFormat="1" applyFont="1" applyFill="1"/>
    <xf numFmtId="175" fontId="3" fillId="0" borderId="0" xfId="0" applyNumberFormat="1" applyFont="1" applyFill="1"/>
    <xf numFmtId="0" fontId="7" fillId="0" borderId="0" xfId="21" applyFont="1" applyBorder="1" applyAlignment="1">
      <alignment horizontal="center"/>
    </xf>
    <xf numFmtId="0" fontId="6" fillId="0" borderId="0" xfId="21" applyFont="1" applyBorder="1"/>
    <xf numFmtId="0" fontId="6" fillId="0" borderId="0" xfId="21" applyFont="1"/>
    <xf numFmtId="165" fontId="6" fillId="0" borderId="0" xfId="21" applyNumberFormat="1" applyFont="1"/>
    <xf numFmtId="165" fontId="6" fillId="0" borderId="0" xfId="6" applyNumberFormat="1" applyFont="1"/>
    <xf numFmtId="164" fontId="6" fillId="0" borderId="0" xfId="21" applyNumberFormat="1" applyFont="1"/>
    <xf numFmtId="0" fontId="6" fillId="0" borderId="0" xfId="21" applyNumberFormat="1" applyFont="1"/>
    <xf numFmtId="0" fontId="7" fillId="0" borderId="0" xfId="21" applyFont="1" applyBorder="1"/>
    <xf numFmtId="44" fontId="6" fillId="0" borderId="0" xfId="6" applyNumberFormat="1" applyFont="1" applyBorder="1"/>
    <xf numFmtId="44" fontId="6" fillId="0" borderId="0" xfId="6" applyFont="1" applyBorder="1"/>
    <xf numFmtId="171" fontId="6" fillId="0" borderId="0" xfId="6" applyNumberFormat="1" applyFont="1" applyBorder="1"/>
    <xf numFmtId="171" fontId="6" fillId="0" borderId="0" xfId="5" applyNumberFormat="1" applyFont="1" applyBorder="1"/>
    <xf numFmtId="164" fontId="6" fillId="0" borderId="0" xfId="21" applyNumberFormat="1" applyFont="1" applyBorder="1"/>
    <xf numFmtId="0" fontId="14" fillId="0" borderId="0" xfId="21" applyFont="1"/>
    <xf numFmtId="0" fontId="15" fillId="0" borderId="4" xfId="21" applyFont="1" applyBorder="1" applyAlignment="1">
      <alignment horizontal="center"/>
    </xf>
    <xf numFmtId="0" fontId="15" fillId="0" borderId="0" xfId="21" applyFont="1" applyBorder="1" applyAlignment="1">
      <alignment horizontal="center"/>
    </xf>
    <xf numFmtId="0" fontId="15" fillId="0" borderId="5" xfId="21" applyFont="1" applyBorder="1" applyAlignment="1">
      <alignment horizontal="center"/>
    </xf>
    <xf numFmtId="0" fontId="14" fillId="0" borderId="0" xfId="21" applyFont="1" applyBorder="1"/>
    <xf numFmtId="0" fontId="14" fillId="0" borderId="5" xfId="21" applyFont="1" applyBorder="1"/>
    <xf numFmtId="0" fontId="14" fillId="0" borderId="6" xfId="21" applyFont="1" applyBorder="1"/>
    <xf numFmtId="0" fontId="14" fillId="0" borderId="7" xfId="21" applyFont="1" applyBorder="1"/>
    <xf numFmtId="0" fontId="14" fillId="0" borderId="8" xfId="21" applyFont="1" applyBorder="1"/>
    <xf numFmtId="0" fontId="14" fillId="0" borderId="9" xfId="21" applyFont="1" applyBorder="1"/>
    <xf numFmtId="0" fontId="14" fillId="0" borderId="10" xfId="21" applyFont="1" applyBorder="1"/>
    <xf numFmtId="0" fontId="15" fillId="0" borderId="9" xfId="21" applyFont="1" applyBorder="1" applyAlignment="1">
      <alignment horizontal="center"/>
    </xf>
    <xf numFmtId="0" fontId="15" fillId="0" borderId="10" xfId="21" applyFont="1" applyBorder="1"/>
    <xf numFmtId="0" fontId="14" fillId="0" borderId="4" xfId="21" applyFont="1" applyBorder="1"/>
    <xf numFmtId="0" fontId="14" fillId="0" borderId="11" xfId="21" applyFont="1" applyBorder="1"/>
    <xf numFmtId="0" fontId="15" fillId="0" borderId="11" xfId="21" applyFont="1" applyBorder="1" applyAlignment="1">
      <alignment horizontal="center"/>
    </xf>
    <xf numFmtId="0" fontId="15" fillId="0" borderId="7" xfId="21" applyFont="1" applyBorder="1"/>
    <xf numFmtId="0" fontId="15" fillId="0" borderId="12" xfId="21" applyFont="1" applyBorder="1" applyAlignment="1">
      <alignment horizontal="center"/>
    </xf>
    <xf numFmtId="0" fontId="15" fillId="0" borderId="6" xfId="21" applyFont="1" applyBorder="1" applyAlignment="1">
      <alignment horizontal="center"/>
    </xf>
    <xf numFmtId="0" fontId="15" fillId="0" borderId="3" xfId="21" applyFont="1" applyBorder="1" applyAlignment="1">
      <alignment horizontal="center"/>
    </xf>
    <xf numFmtId="0" fontId="15" fillId="0" borderId="7" xfId="21" applyFont="1" applyBorder="1" applyAlignment="1">
      <alignment horizontal="center"/>
    </xf>
    <xf numFmtId="0" fontId="14" fillId="0" borderId="8" xfId="21" applyFont="1" applyBorder="1" applyAlignment="1">
      <alignment horizontal="center"/>
    </xf>
    <xf numFmtId="0" fontId="14" fillId="0" borderId="13" xfId="21" applyFont="1" applyBorder="1"/>
    <xf numFmtId="0" fontId="14" fillId="0" borderId="4" xfId="21" quotePrefix="1" applyFont="1" applyBorder="1"/>
    <xf numFmtId="0" fontId="14" fillId="0" borderId="5" xfId="21" applyFont="1" applyFill="1" applyBorder="1"/>
    <xf numFmtId="0" fontId="14" fillId="0" borderId="4" xfId="21" applyFont="1" applyBorder="1" applyAlignment="1">
      <alignment horizontal="center"/>
    </xf>
    <xf numFmtId="165" fontId="14" fillId="0" borderId="4" xfId="6" applyNumberFormat="1" applyFont="1" applyBorder="1"/>
    <xf numFmtId="165" fontId="14" fillId="0" borderId="0" xfId="6" applyNumberFormat="1" applyFont="1" applyBorder="1"/>
    <xf numFmtId="165" fontId="14" fillId="0" borderId="5" xfId="21" applyNumberFormat="1" applyFont="1" applyBorder="1"/>
    <xf numFmtId="165" fontId="14" fillId="0" borderId="4" xfId="21" applyNumberFormat="1" applyFont="1" applyBorder="1"/>
    <xf numFmtId="165" fontId="14" fillId="0" borderId="11" xfId="6" applyNumberFormat="1" applyFont="1" applyBorder="1"/>
    <xf numFmtId="165" fontId="14" fillId="0" borderId="5" xfId="6" applyNumberFormat="1" applyFont="1" applyBorder="1"/>
    <xf numFmtId="165" fontId="14" fillId="0" borderId="11" xfId="21" applyNumberFormat="1" applyFont="1" applyBorder="1"/>
    <xf numFmtId="164" fontId="14" fillId="0" borderId="4" xfId="2" applyNumberFormat="1" applyFont="1" applyBorder="1"/>
    <xf numFmtId="164" fontId="14" fillId="0" borderId="0" xfId="2" applyNumberFormat="1" applyFont="1" applyBorder="1"/>
    <xf numFmtId="164" fontId="14" fillId="0" borderId="5" xfId="2" applyNumberFormat="1" applyFont="1" applyBorder="1"/>
    <xf numFmtId="164" fontId="14" fillId="0" borderId="11" xfId="2" applyNumberFormat="1" applyFont="1" applyBorder="1"/>
    <xf numFmtId="165" fontId="14" fillId="0" borderId="11" xfId="21" applyNumberFormat="1" applyFont="1" applyFill="1" applyBorder="1"/>
    <xf numFmtId="10" fontId="14" fillId="0" borderId="4" xfId="21" applyNumberFormat="1" applyFont="1" applyBorder="1"/>
    <xf numFmtId="10" fontId="14" fillId="0" borderId="0" xfId="21" applyNumberFormat="1" applyFont="1" applyBorder="1"/>
    <xf numFmtId="10" fontId="14" fillId="0" borderId="5" xfId="21" applyNumberFormat="1" applyFont="1" applyBorder="1"/>
    <xf numFmtId="10" fontId="14" fillId="0" borderId="11" xfId="21" applyNumberFormat="1" applyFont="1" applyBorder="1"/>
    <xf numFmtId="165" fontId="14" fillId="0" borderId="0" xfId="21" applyNumberFormat="1" applyFont="1" applyBorder="1"/>
    <xf numFmtId="0" fontId="14" fillId="0" borderId="4" xfId="21" quotePrefix="1" applyFont="1" applyBorder="1" applyAlignment="1">
      <alignment horizontal="center"/>
    </xf>
    <xf numFmtId="0" fontId="14" fillId="0" borderId="6" xfId="21" quotePrefix="1" applyFont="1" applyBorder="1"/>
    <xf numFmtId="0" fontId="14" fillId="0" borderId="7" xfId="21" applyFont="1" applyFill="1" applyBorder="1"/>
    <xf numFmtId="0" fontId="14" fillId="0" borderId="6" xfId="21" applyFont="1" applyBorder="1" applyAlignment="1">
      <alignment horizontal="center"/>
    </xf>
    <xf numFmtId="44" fontId="14" fillId="0" borderId="6" xfId="6" applyNumberFormat="1" applyFont="1" applyBorder="1" applyAlignment="1">
      <alignment horizontal="right"/>
    </xf>
    <xf numFmtId="44" fontId="14" fillId="0" borderId="3" xfId="6" applyNumberFormat="1" applyFont="1" applyBorder="1" applyAlignment="1">
      <alignment horizontal="right"/>
    </xf>
    <xf numFmtId="44" fontId="14" fillId="0" borderId="14" xfId="6" applyNumberFormat="1" applyFont="1" applyBorder="1" applyAlignment="1">
      <alignment horizontal="right"/>
    </xf>
    <xf numFmtId="171" fontId="14" fillId="0" borderId="15" xfId="6" applyNumberFormat="1" applyFont="1" applyBorder="1" applyAlignment="1">
      <alignment horizontal="right"/>
    </xf>
    <xf numFmtId="0" fontId="14" fillId="0" borderId="12" xfId="21" applyFont="1" applyBorder="1"/>
    <xf numFmtId="0" fontId="14" fillId="0" borderId="0" xfId="21" applyNumberFormat="1" applyFont="1"/>
    <xf numFmtId="0" fontId="6" fillId="0" borderId="0" xfId="0" applyFont="1" applyFill="1" applyAlignment="1">
      <alignment horizontal="right"/>
    </xf>
    <xf numFmtId="0" fontId="7" fillId="0" borderId="3" xfId="0" applyFont="1" applyFill="1" applyBorder="1"/>
    <xf numFmtId="0" fontId="17" fillId="0" borderId="0" xfId="0" applyFont="1" applyFill="1"/>
    <xf numFmtId="0" fontId="7" fillId="0" borderId="0" xfId="0" applyFont="1" applyFill="1" applyAlignment="1">
      <alignment horizontal="left"/>
    </xf>
    <xf numFmtId="0" fontId="6" fillId="0" borderId="3" xfId="0" applyFont="1" applyFill="1" applyBorder="1"/>
    <xf numFmtId="0" fontId="6" fillId="0" borderId="0" xfId="0" applyFont="1" applyFill="1" applyAlignment="1"/>
    <xf numFmtId="0" fontId="6" fillId="0" borderId="0" xfId="23" applyFont="1" applyFill="1" applyAlignment="1">
      <alignment horizontal="center"/>
    </xf>
    <xf numFmtId="43" fontId="6" fillId="0" borderId="0" xfId="5" applyNumberFormat="1" applyFont="1" applyFill="1"/>
    <xf numFmtId="10" fontId="6" fillId="0" borderId="0" xfId="24" applyNumberFormat="1" applyFont="1" applyFill="1"/>
    <xf numFmtId="43" fontId="6" fillId="0" borderId="0" xfId="0" applyNumberFormat="1" applyFont="1" applyFill="1"/>
    <xf numFmtId="164" fontId="6" fillId="0" borderId="0" xfId="0" applyNumberFormat="1" applyFont="1" applyFill="1"/>
    <xf numFmtId="43" fontId="6" fillId="0" borderId="0" xfId="1" applyFont="1" applyFill="1" applyAlignment="1">
      <alignment horizontal="right"/>
    </xf>
    <xf numFmtId="43" fontId="6" fillId="0" borderId="0" xfId="1" applyFont="1" applyFill="1"/>
    <xf numFmtId="16" fontId="6" fillId="0" borderId="0" xfId="0" quotePrefix="1" applyNumberFormat="1" applyFont="1" applyFill="1" applyAlignment="1">
      <alignment horizontal="center"/>
    </xf>
    <xf numFmtId="166" fontId="6" fillId="0" borderId="0" xfId="0" applyNumberFormat="1" applyFont="1" applyFill="1"/>
    <xf numFmtId="166" fontId="6" fillId="0" borderId="0" xfId="0" applyNumberFormat="1" applyFont="1" applyFill="1" applyAlignment="1">
      <alignment horizontal="right"/>
    </xf>
    <xf numFmtId="170" fontId="6" fillId="0" borderId="0" xfId="1" applyNumberFormat="1" applyFont="1" applyFill="1"/>
    <xf numFmtId="169" fontId="6" fillId="0" borderId="0" xfId="1" applyNumberFormat="1" applyFont="1" applyFill="1"/>
    <xf numFmtId="10" fontId="6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4" fillId="0" borderId="0" xfId="0" applyFont="1" applyFill="1"/>
    <xf numFmtId="0" fontId="15" fillId="0" borderId="3" xfId="0" applyFont="1" applyFill="1" applyBorder="1"/>
    <xf numFmtId="0" fontId="15" fillId="0" borderId="3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right"/>
    </xf>
    <xf numFmtId="0" fontId="15" fillId="0" borderId="3" xfId="0" applyFont="1" applyFill="1" applyBorder="1" applyAlignment="1">
      <alignment horizontal="right" wrapText="1"/>
    </xf>
    <xf numFmtId="0" fontId="16" fillId="0" borderId="0" xfId="0" applyFont="1" applyFill="1"/>
    <xf numFmtId="0" fontId="14" fillId="0" borderId="0" xfId="0" quotePrefix="1" applyFont="1" applyFill="1"/>
    <xf numFmtId="165" fontId="14" fillId="0" borderId="0" xfId="5" applyNumberFormat="1" applyFont="1" applyFill="1"/>
    <xf numFmtId="165" fontId="14" fillId="0" borderId="0" xfId="0" applyNumberFormat="1" applyFont="1" applyFill="1"/>
    <xf numFmtId="43" fontId="14" fillId="0" borderId="0" xfId="0" applyNumberFormat="1" applyFont="1" applyFill="1"/>
    <xf numFmtId="0" fontId="14" fillId="0" borderId="0" xfId="0" applyFont="1" applyFill="1" applyAlignment="1">
      <alignment horizontal="right"/>
    </xf>
    <xf numFmtId="10" fontId="14" fillId="0" borderId="0" xfId="24" applyNumberFormat="1" applyFont="1" applyFill="1"/>
    <xf numFmtId="0" fontId="14" fillId="0" borderId="0" xfId="0" quotePrefix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16" xfId="0" applyFont="1" applyFill="1" applyBorder="1"/>
    <xf numFmtId="10" fontId="15" fillId="0" borderId="14" xfId="24" applyNumberFormat="1" applyFont="1" applyFill="1" applyBorder="1"/>
    <xf numFmtId="0" fontId="15" fillId="0" borderId="0" xfId="0" applyFont="1" applyFill="1" applyBorder="1"/>
    <xf numFmtId="10" fontId="15" fillId="0" borderId="0" xfId="24" applyNumberFormat="1" applyFont="1" applyFill="1" applyBorder="1"/>
    <xf numFmtId="0" fontId="14" fillId="0" borderId="0" xfId="0" applyFont="1" applyFill="1" applyBorder="1"/>
    <xf numFmtId="168" fontId="14" fillId="0" borderId="0" xfId="1" applyNumberFormat="1" applyFont="1" applyFill="1"/>
    <xf numFmtId="10" fontId="14" fillId="0" borderId="0" xfId="24" applyNumberFormat="1" applyFont="1" applyFill="1" applyBorder="1"/>
    <xf numFmtId="164" fontId="14" fillId="0" borderId="0" xfId="0" applyNumberFormat="1" applyFont="1" applyFill="1"/>
    <xf numFmtId="164" fontId="14" fillId="0" borderId="0" xfId="1" applyNumberFormat="1" applyFont="1" applyFill="1" applyAlignment="1">
      <alignment horizontal="center"/>
    </xf>
    <xf numFmtId="170" fontId="14" fillId="0" borderId="0" xfId="1" applyNumberFormat="1" applyFont="1" applyFill="1"/>
    <xf numFmtId="164" fontId="14" fillId="0" borderId="0" xfId="2" applyNumberFormat="1" applyFont="1" applyFill="1"/>
    <xf numFmtId="43" fontId="14" fillId="0" borderId="0" xfId="1" applyNumberFormat="1" applyFont="1" applyFill="1"/>
    <xf numFmtId="172" fontId="14" fillId="0" borderId="0" xfId="1" applyNumberFormat="1" applyFont="1" applyFill="1"/>
    <xf numFmtId="0" fontId="14" fillId="0" borderId="0" xfId="1" applyNumberFormat="1" applyFont="1" applyFill="1" applyAlignment="1">
      <alignment horizontal="left"/>
    </xf>
    <xf numFmtId="165" fontId="14" fillId="0" borderId="0" xfId="0" applyNumberFormat="1" applyFont="1" applyFill="1" applyBorder="1"/>
    <xf numFmtId="10" fontId="14" fillId="0" borderId="0" xfId="0" applyNumberFormat="1" applyFont="1" applyFill="1" applyBorder="1"/>
    <xf numFmtId="165" fontId="14" fillId="0" borderId="0" xfId="5" applyNumberFormat="1" applyFont="1" applyFill="1" applyBorder="1"/>
    <xf numFmtId="167" fontId="14" fillId="0" borderId="0" xfId="1" applyNumberFormat="1" applyFont="1" applyFill="1" applyBorder="1"/>
    <xf numFmtId="165" fontId="14" fillId="0" borderId="0" xfId="24" applyNumberFormat="1" applyFont="1" applyFill="1"/>
    <xf numFmtId="164" fontId="14" fillId="0" borderId="0" xfId="0" applyNumberFormat="1" applyFont="1" applyFill="1" applyBorder="1"/>
    <xf numFmtId="169" fontId="14" fillId="0" borderId="0" xfId="1" applyNumberFormat="1" applyFont="1" applyFill="1" applyBorder="1"/>
    <xf numFmtId="169" fontId="14" fillId="0" borderId="0" xfId="0" applyNumberFormat="1" applyFont="1" applyFill="1"/>
    <xf numFmtId="169" fontId="14" fillId="0" borderId="0" xfId="0" applyNumberFormat="1" applyFont="1" applyFill="1" applyBorder="1"/>
    <xf numFmtId="165" fontId="14" fillId="0" borderId="0" xfId="1" applyNumberFormat="1" applyFont="1" applyFill="1"/>
    <xf numFmtId="165" fontId="14" fillId="0" borderId="0" xfId="21" applyNumberFormat="1" applyFont="1"/>
    <xf numFmtId="0" fontId="7" fillId="0" borderId="0" xfId="21" applyFont="1" applyAlignment="1">
      <alignment horizontal="right"/>
    </xf>
    <xf numFmtId="44" fontId="7" fillId="0" borderId="0" xfId="5" applyFont="1"/>
    <xf numFmtId="44" fontId="6" fillId="0" borderId="0" xfId="5" applyNumberFormat="1" applyFont="1" applyBorder="1"/>
    <xf numFmtId="0" fontId="17" fillId="0" borderId="0" xfId="0" applyFont="1" applyFill="1" applyAlignment="1">
      <alignment horizontal="left"/>
    </xf>
    <xf numFmtId="164" fontId="6" fillId="0" borderId="0" xfId="5" applyNumberFormat="1" applyFont="1" applyFill="1"/>
    <xf numFmtId="6" fontId="6" fillId="0" borderId="0" xfId="0" applyNumberFormat="1" applyFont="1" applyFill="1"/>
    <xf numFmtId="165" fontId="6" fillId="0" borderId="0" xfId="5" applyNumberFormat="1" applyFont="1" applyFill="1" applyBorder="1"/>
    <xf numFmtId="0" fontId="6" fillId="0" borderId="0" xfId="0" applyFont="1" applyFill="1" applyBorder="1"/>
    <xf numFmtId="0" fontId="8" fillId="0" borderId="0" xfId="0" applyFont="1" applyFill="1" applyAlignment="1">
      <alignment horizontal="left"/>
    </xf>
    <xf numFmtId="0" fontId="8" fillId="0" borderId="0" xfId="0" quotePrefix="1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164" fontId="6" fillId="0" borderId="0" xfId="1" applyNumberFormat="1" applyFont="1" applyFill="1" applyBorder="1"/>
    <xf numFmtId="0" fontId="8" fillId="0" borderId="0" xfId="0" applyFont="1" applyFill="1"/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9" fillId="0" borderId="0" xfId="0" applyFont="1" applyFill="1"/>
    <xf numFmtId="165" fontId="19" fillId="0" borderId="0" xfId="0" applyNumberFormat="1" applyFont="1" applyFill="1"/>
    <xf numFmtId="0" fontId="15" fillId="0" borderId="15" xfId="0" applyFont="1" applyFill="1" applyBorder="1"/>
    <xf numFmtId="0" fontId="15" fillId="0" borderId="10" xfId="21" applyFont="1" applyBorder="1" applyAlignment="1">
      <alignment horizontal="center"/>
    </xf>
    <xf numFmtId="0" fontId="15" fillId="0" borderId="0" xfId="21" applyFont="1" applyBorder="1" applyAlignment="1">
      <alignment horizontal="center"/>
    </xf>
    <xf numFmtId="44" fontId="14" fillId="0" borderId="0" xfId="5" applyFont="1" applyFill="1"/>
    <xf numFmtId="164" fontId="0" fillId="0" borderId="2" xfId="0" applyNumberFormat="1" applyBorder="1"/>
    <xf numFmtId="44" fontId="6" fillId="0" borderId="0" xfId="5" applyFont="1"/>
    <xf numFmtId="171" fontId="6" fillId="0" borderId="0" xfId="21" applyNumberFormat="1" applyFont="1"/>
    <xf numFmtId="0" fontId="17" fillId="0" borderId="0" xfId="0" quotePrefix="1" applyFont="1" applyFill="1" applyAlignment="1">
      <alignment horizontal="left"/>
    </xf>
    <xf numFmtId="2" fontId="6" fillId="0" borderId="0" xfId="0" applyNumberFormat="1" applyFont="1" applyFill="1" applyAlignment="1">
      <alignment horizontal="left"/>
    </xf>
    <xf numFmtId="0" fontId="6" fillId="0" borderId="0" xfId="0" quotePrefix="1" applyFont="1" applyFill="1"/>
    <xf numFmtId="1" fontId="6" fillId="0" borderId="0" xfId="0" applyNumberFormat="1" applyFont="1" applyFill="1" applyAlignment="1">
      <alignment horizontal="left"/>
    </xf>
    <xf numFmtId="1" fontId="6" fillId="0" borderId="0" xfId="0" quotePrefix="1" applyNumberFormat="1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2" fontId="17" fillId="0" borderId="0" xfId="0" applyNumberFormat="1" applyFont="1" applyFill="1" applyAlignment="1">
      <alignment horizontal="left"/>
    </xf>
    <xf numFmtId="0" fontId="0" fillId="0" borderId="0" xfId="0" applyFill="1"/>
    <xf numFmtId="0" fontId="6" fillId="0" borderId="0" xfId="0" quotePrefix="1" applyFont="1" applyFill="1" applyAlignment="1">
      <alignment horizontal="left"/>
    </xf>
    <xf numFmtId="43" fontId="6" fillId="0" borderId="0" xfId="21" applyNumberFormat="1" applyFont="1"/>
    <xf numFmtId="176" fontId="14" fillId="0" borderId="0" xfId="24" applyNumberFormat="1" applyFont="1" applyFill="1"/>
    <xf numFmtId="0" fontId="15" fillId="0" borderId="0" xfId="21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21" applyFont="1" applyBorder="1" applyAlignment="1">
      <alignment horizontal="left"/>
    </xf>
    <xf numFmtId="0" fontId="21" fillId="0" borderId="0" xfId="21" applyFont="1" applyBorder="1" applyAlignment="1">
      <alignment horizontal="left"/>
    </xf>
    <xf numFmtId="0" fontId="15" fillId="0" borderId="0" xfId="21" applyFont="1" applyBorder="1" applyAlignment="1">
      <alignment horizontal="right"/>
    </xf>
    <xf numFmtId="0" fontId="14" fillId="0" borderId="0" xfId="21" applyFont="1" applyBorder="1" applyAlignment="1"/>
    <xf numFmtId="0" fontId="13" fillId="0" borderId="0" xfId="0" applyFont="1"/>
    <xf numFmtId="0" fontId="3" fillId="0" borderId="0" xfId="0" applyFont="1" applyFill="1"/>
    <xf numFmtId="164" fontId="1" fillId="0" borderId="0" xfId="1" applyNumberFormat="1" applyFont="1" applyFill="1"/>
    <xf numFmtId="0" fontId="15" fillId="0" borderId="15" xfId="21" applyFont="1" applyBorder="1" applyAlignment="1">
      <alignment horizontal="center"/>
    </xf>
    <xf numFmtId="0" fontId="15" fillId="0" borderId="16" xfId="21" applyFont="1" applyBorder="1" applyAlignment="1">
      <alignment horizontal="center"/>
    </xf>
    <xf numFmtId="0" fontId="15" fillId="0" borderId="17" xfId="21" applyFont="1" applyBorder="1" applyAlignment="1">
      <alignment horizontal="center"/>
    </xf>
  </cellXfs>
  <cellStyles count="34">
    <cellStyle name="Comma" xfId="1" builtinId="3"/>
    <cellStyle name="Comma 2" xfId="2"/>
    <cellStyle name="Comma 86" xfId="3"/>
    <cellStyle name="Comma0" xfId="4"/>
    <cellStyle name="Currency" xfId="5" builtinId="4"/>
    <cellStyle name="Currency 2" xfId="6"/>
    <cellStyle name="Currency 5" xfId="7"/>
    <cellStyle name="Currency0" xfId="8"/>
    <cellStyle name="Date" xfId="9"/>
    <cellStyle name="Euro" xfId="10"/>
    <cellStyle name="F2" xfId="11"/>
    <cellStyle name="F3" xfId="12"/>
    <cellStyle name="F4" xfId="13"/>
    <cellStyle name="F5" xfId="14"/>
    <cellStyle name="F6" xfId="15"/>
    <cellStyle name="F7" xfId="16"/>
    <cellStyle name="F8" xfId="17"/>
    <cellStyle name="Fixed" xfId="18"/>
    <cellStyle name="Heading 1" xfId="19" builtinId="16" customBuiltin="1"/>
    <cellStyle name="Heading 2" xfId="20" builtinId="17" customBuiltin="1"/>
    <cellStyle name="Normal" xfId="0" builtinId="0"/>
    <cellStyle name="Normal 14" xfId="21"/>
    <cellStyle name="Normal 3" xfId="22"/>
    <cellStyle name="Normal 48" xfId="33"/>
    <cellStyle name="Normal_LCEC 1998 Cost of Service Study" xfId="23"/>
    <cellStyle name="Percent" xfId="24" builtinId="5"/>
    <cellStyle name="Percent 2" xfId="25"/>
    <cellStyle name="STYL5 - Style5" xfId="26"/>
    <cellStyle name="STYL6 - Style6" xfId="27"/>
    <cellStyle name="STYLE1 - Style1" xfId="28"/>
    <cellStyle name="STYLE2 - Style2" xfId="29"/>
    <cellStyle name="STYLE3 - Style3" xfId="30"/>
    <cellStyle name="STYLE4 - Style4" xfId="31"/>
    <cellStyle name="Total" xfId="3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DAVID/PSC/M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WINDOWS/TEMP/1999/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06Plan/Utility%20Plan/Supporting%20Schedules/Gross%20Margin/Gross%20Margin%202006-2008%20Pl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My%20Documents/BellarExhibi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WINNT/Profiles/e004977/Temporary%20Internet%20Files/OLK2D/Rate%20Case%20LGE%20La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05Plan/Utility%20Plan/Margin/100504%20Version%20of%20GM%202005%20Plan/KU-Whsle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05Plan/Utility%20Plan/Margin/100504%20Version%20of%20GM%202005%20Plan/KU-Whsle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Documents%20and%20Settings/e011661/Local%20Settings/Temporary%20Internet%20Files/OLK29/Rate%20Case%20KU%2012mosJune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643"/>
  <sheetViews>
    <sheetView tabSelected="1" view="pageBreakPreview" zoomScaleNormal="65" zoomScaleSheetLayoutView="10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3" sqref="G3"/>
    </sheetView>
  </sheetViews>
  <sheetFormatPr defaultColWidth="9.140625" defaultRowHeight="12.75" x14ac:dyDescent="0.2"/>
  <cols>
    <col min="1" max="1" width="10.5703125" style="16" customWidth="1"/>
    <col min="2" max="2" width="42.5703125" style="16" bestFit="1" customWidth="1"/>
    <col min="3" max="4" width="10.42578125" style="90" customWidth="1"/>
    <col min="5" max="5" width="3.85546875" style="90" customWidth="1"/>
    <col min="6" max="6" width="19.42578125" style="16" customWidth="1"/>
    <col min="7" max="14" width="19.42578125" style="90" customWidth="1"/>
    <col min="15" max="22" width="19.42578125" style="16" customWidth="1"/>
    <col min="23" max="24" width="14.28515625" style="16" customWidth="1"/>
    <col min="25" max="25" width="11.28515625" style="16" bestFit="1" customWidth="1"/>
    <col min="26" max="16384" width="9.140625" style="16"/>
  </cols>
  <sheetData>
    <row r="1" spans="1:32" ht="49.5" customHeight="1" x14ac:dyDescent="0.2">
      <c r="F1" s="11" t="s">
        <v>14</v>
      </c>
      <c r="G1" s="11" t="s">
        <v>632</v>
      </c>
      <c r="H1" s="11" t="s">
        <v>632</v>
      </c>
      <c r="I1" s="11" t="s">
        <v>3</v>
      </c>
      <c r="J1" s="11" t="s">
        <v>3</v>
      </c>
      <c r="K1" s="12" t="s">
        <v>853</v>
      </c>
      <c r="L1" s="12" t="s">
        <v>851</v>
      </c>
      <c r="M1" s="12" t="s">
        <v>5</v>
      </c>
      <c r="N1" s="12" t="s">
        <v>7</v>
      </c>
      <c r="O1" s="12" t="s">
        <v>671</v>
      </c>
      <c r="P1" s="12" t="s">
        <v>671</v>
      </c>
      <c r="Q1" s="12" t="s">
        <v>672</v>
      </c>
      <c r="R1" s="12" t="s">
        <v>673</v>
      </c>
      <c r="S1" s="11" t="s">
        <v>10</v>
      </c>
      <c r="T1" s="11" t="s">
        <v>11</v>
      </c>
      <c r="U1" s="12" t="s">
        <v>12</v>
      </c>
      <c r="V1" s="12" t="s">
        <v>642</v>
      </c>
      <c r="W1" s="11" t="s">
        <v>14</v>
      </c>
      <c r="X1" s="11"/>
    </row>
    <row r="2" spans="1:32" ht="13.5" thickBot="1" x14ac:dyDescent="0.25">
      <c r="A2" s="91" t="s">
        <v>19</v>
      </c>
      <c r="B2" s="94"/>
      <c r="C2" s="13" t="s">
        <v>17</v>
      </c>
      <c r="D2" s="13" t="s">
        <v>18</v>
      </c>
      <c r="E2" s="13"/>
      <c r="F2" s="13" t="s">
        <v>15</v>
      </c>
      <c r="G2" s="13" t="s">
        <v>1</v>
      </c>
      <c r="H2" s="13" t="s">
        <v>2</v>
      </c>
      <c r="I2" s="13" t="s">
        <v>1</v>
      </c>
      <c r="J2" s="13" t="s">
        <v>2</v>
      </c>
      <c r="K2" s="13" t="s">
        <v>1</v>
      </c>
      <c r="L2" s="13" t="s">
        <v>1</v>
      </c>
      <c r="M2" s="13" t="s">
        <v>2</v>
      </c>
      <c r="N2" s="13" t="s">
        <v>1</v>
      </c>
      <c r="O2" s="13" t="s">
        <v>1</v>
      </c>
      <c r="P2" s="13" t="s">
        <v>9</v>
      </c>
      <c r="Q2" s="13" t="s">
        <v>1</v>
      </c>
      <c r="R2" s="13" t="s">
        <v>9</v>
      </c>
      <c r="S2" s="13" t="s">
        <v>9</v>
      </c>
      <c r="T2" s="13" t="s">
        <v>9</v>
      </c>
      <c r="U2" s="13" t="s">
        <v>9</v>
      </c>
      <c r="V2" s="13" t="s">
        <v>9</v>
      </c>
      <c r="W2" s="13" t="s">
        <v>20</v>
      </c>
      <c r="X2" s="13" t="s">
        <v>21</v>
      </c>
    </row>
    <row r="4" spans="1:32" x14ac:dyDescent="0.2">
      <c r="A4" s="92" t="s">
        <v>655</v>
      </c>
    </row>
    <row r="5" spans="1:32" x14ac:dyDescent="0.2">
      <c r="A5" s="92"/>
    </row>
    <row r="6" spans="1:32" x14ac:dyDescent="0.2">
      <c r="A6" s="6" t="s">
        <v>388</v>
      </c>
    </row>
    <row r="7" spans="1:32" x14ac:dyDescent="0.2">
      <c r="A7" s="18" t="s">
        <v>22</v>
      </c>
      <c r="B7" s="95" t="s">
        <v>388</v>
      </c>
      <c r="C7" s="90" t="s">
        <v>24</v>
      </c>
      <c r="D7" s="90" t="s">
        <v>25</v>
      </c>
      <c r="F7" s="21">
        <v>178442952.89331335</v>
      </c>
      <c r="G7" s="17">
        <f>(VLOOKUP($D7,$C$6:$AJ$991,5,)/VLOOKUP($D7,$C$6:$AJ$991,4,))*$F7</f>
        <v>0</v>
      </c>
      <c r="H7" s="17">
        <f>(VLOOKUP($D7,$C$6:$AJ$991,6,)/VLOOKUP($D7,$C$6:$AJ$991,4,))*$F7</f>
        <v>0</v>
      </c>
      <c r="I7" s="17">
        <f>(VLOOKUP($D7,$C$6:$AJ$991,7,)/VLOOKUP($D7,$C$6:$AJ$991,4,))*$F7</f>
        <v>178442952.89331335</v>
      </c>
      <c r="J7" s="17">
        <f>(VLOOKUP($D7,$C$6:$AJ$991,8,)/VLOOKUP($D7,$C$6:$AJ$991,4,))*$F7</f>
        <v>0</v>
      </c>
      <c r="K7" s="17">
        <f>(VLOOKUP($D7,$C$6:$AJ$991,9,)/VLOOKUP($D7,$C$6:$AJ$991,4,))*$F7</f>
        <v>0</v>
      </c>
      <c r="L7" s="17">
        <f>(VLOOKUP($D7,$C$6:$AJ$991,10,)/VLOOKUP($D7,$C$6:$AJ$991,4,))*$F7</f>
        <v>0</v>
      </c>
      <c r="M7" s="17">
        <f>(VLOOKUP($D7,$C$6:$AJ$991,11,)/VLOOKUP($D7,$C$6:$AJ$991,4,))*$F7</f>
        <v>0</v>
      </c>
      <c r="N7" s="17">
        <f>(VLOOKUP($D7,$C$6:$AJ$991,12,)/VLOOKUP($D7,$C$6:$AJ$991,4,))*$F7</f>
        <v>0</v>
      </c>
      <c r="O7" s="17">
        <f>(VLOOKUP($D7,$C$6:$AJ$991,13,)/VLOOKUP($D7,$C$6:$AJ$991,4,))*$F7</f>
        <v>0</v>
      </c>
      <c r="P7" s="17">
        <f>(VLOOKUP($D7,$C$6:$AJ$991,14,)/VLOOKUP($D7,$C$6:$AJ$991,4,))*$F7</f>
        <v>0</v>
      </c>
      <c r="Q7" s="17">
        <f>(VLOOKUP($D7,$C$6:$AJ$991,15,)/VLOOKUP($D7,$C$6:$AJ$991,4,))*$F7</f>
        <v>0</v>
      </c>
      <c r="R7" s="17">
        <f>(VLOOKUP($D7,$C$6:$AJ$991,16,)/VLOOKUP($D7,$C$6:$AJ$991,4,))*$F7</f>
        <v>0</v>
      </c>
      <c r="S7" s="17">
        <f>(VLOOKUP($D7,$C$6:$AJ$991,17,)/VLOOKUP($D7,$C$6:$AJ$991,4,))*$F7</f>
        <v>0</v>
      </c>
      <c r="T7" s="17">
        <f>(VLOOKUP($D7,$C$6:$AJ$991,18,)/VLOOKUP($D7,$C$6:$AJ$991,4,))*$F7</f>
        <v>0</v>
      </c>
      <c r="U7" s="17">
        <f>(VLOOKUP($D7,$C$6:$AJ$991,19,)/VLOOKUP($D7,$C$6:$AJ$991,4,))*$F7</f>
        <v>0</v>
      </c>
      <c r="V7" s="17">
        <f>(VLOOKUP($D7,$C$6:$AJ$991,20,)/VLOOKUP($D7,$C$6:$AJ$991,4,))*$F7</f>
        <v>0</v>
      </c>
      <c r="W7" s="17">
        <f>SUM(G7:V7)</f>
        <v>178442952.89331335</v>
      </c>
      <c r="X7" s="96" t="str">
        <f>IF(ABS(W7-F7)&lt;1,"ok","err")</f>
        <v>ok</v>
      </c>
      <c r="Y7" s="97"/>
      <c r="Z7" s="97"/>
      <c r="AA7" s="97"/>
      <c r="AB7" s="97"/>
      <c r="AC7" s="97"/>
      <c r="AD7" s="97"/>
      <c r="AE7" s="17"/>
      <c r="AF7" s="96"/>
    </row>
    <row r="8" spans="1:32" x14ac:dyDescent="0.2">
      <c r="A8" s="18">
        <v>358</v>
      </c>
      <c r="B8" s="95" t="s">
        <v>700</v>
      </c>
      <c r="C8" s="90" t="s">
        <v>24</v>
      </c>
      <c r="D8" s="90" t="s">
        <v>25</v>
      </c>
      <c r="F8" s="21">
        <v>0</v>
      </c>
      <c r="G8" s="17">
        <f>(VLOOKUP($D8,$C$6:$AJ$991,5,)/VLOOKUP($D8,$C$6:$AJ$991,4,))*$F8</f>
        <v>0</v>
      </c>
      <c r="H8" s="17">
        <f>(VLOOKUP($D8,$C$6:$AJ$991,6,)/VLOOKUP($D8,$C$6:$AJ$991,4,))*$F8</f>
        <v>0</v>
      </c>
      <c r="I8" s="17">
        <f>(VLOOKUP($D8,$C$6:$AJ$991,7,)/VLOOKUP($D8,$C$6:$AJ$991,4,))*$F8</f>
        <v>0</v>
      </c>
      <c r="J8" s="17">
        <f>(VLOOKUP($D8,$C$6:$AJ$991,8,)/VLOOKUP($D8,$C$6:$AJ$991,4,))*$F8</f>
        <v>0</v>
      </c>
      <c r="K8" s="17">
        <f>(VLOOKUP($D8,$C$6:$AJ$991,9,)/VLOOKUP($D8,$C$6:$AJ$991,4,))*$F8</f>
        <v>0</v>
      </c>
      <c r="L8" s="17">
        <f>(VLOOKUP($D8,$C$6:$AJ$991,10,)/VLOOKUP($D8,$C$6:$AJ$991,4,))*$F8</f>
        <v>0</v>
      </c>
      <c r="M8" s="17">
        <f>(VLOOKUP($D8,$C$6:$AJ$991,11,)/VLOOKUP($D8,$C$6:$AJ$991,4,))*$F8</f>
        <v>0</v>
      </c>
      <c r="N8" s="17">
        <f>(VLOOKUP($D8,$C$6:$AJ$991,12,)/VLOOKUP($D8,$C$6:$AJ$991,4,))*$F8</f>
        <v>0</v>
      </c>
      <c r="O8" s="17">
        <f>(VLOOKUP($D8,$C$6:$AJ$991,13,)/VLOOKUP($D8,$C$6:$AJ$991,4,))*$F8</f>
        <v>0</v>
      </c>
      <c r="P8" s="17">
        <f>(VLOOKUP($D8,$C$6:$AJ$991,14,)/VLOOKUP($D8,$C$6:$AJ$991,4,))*$F8</f>
        <v>0</v>
      </c>
      <c r="Q8" s="17">
        <f>(VLOOKUP($D8,$C$6:$AJ$991,15,)/VLOOKUP($D8,$C$6:$AJ$991,4,))*$F8</f>
        <v>0</v>
      </c>
      <c r="R8" s="17">
        <f>(VLOOKUP($D8,$C$6:$AJ$991,16,)/VLOOKUP($D8,$C$6:$AJ$991,4,))*$F8</f>
        <v>0</v>
      </c>
      <c r="S8" s="17">
        <f>(VLOOKUP($D8,$C$6:$AJ$991,17,)/VLOOKUP($D8,$C$6:$AJ$991,4,))*$F8</f>
        <v>0</v>
      </c>
      <c r="T8" s="17">
        <f>(VLOOKUP($D8,$C$6:$AJ$991,18,)/VLOOKUP($D8,$C$6:$AJ$991,4,))*$F8</f>
        <v>0</v>
      </c>
      <c r="U8" s="17">
        <f>(VLOOKUP($D8,$C$6:$AJ$991,19,)/VLOOKUP($D8,$C$6:$AJ$991,4,))*$F8</f>
        <v>0</v>
      </c>
      <c r="V8" s="17">
        <f>(VLOOKUP($D8,$C$6:$AJ$991,20,)/VLOOKUP($D8,$C$6:$AJ$991,4,))*$F8</f>
        <v>0</v>
      </c>
      <c r="W8" s="17">
        <f>SUM(G8:V8)</f>
        <v>0</v>
      </c>
      <c r="X8" s="96" t="str">
        <f>IF(ABS(W8-F8)&lt;1,"ok","err")</f>
        <v>ok</v>
      </c>
      <c r="Y8" s="97"/>
      <c r="Z8" s="97"/>
      <c r="AA8" s="97"/>
      <c r="AB8" s="97"/>
      <c r="AC8" s="97"/>
      <c r="AD8" s="97"/>
      <c r="AE8" s="17"/>
      <c r="AF8" s="96"/>
    </row>
    <row r="9" spans="1:32" x14ac:dyDescent="0.2">
      <c r="A9" s="18"/>
      <c r="B9" s="95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96"/>
    </row>
    <row r="10" spans="1:32" x14ac:dyDescent="0.2">
      <c r="A10" s="18" t="s">
        <v>182</v>
      </c>
      <c r="B10" s="95"/>
      <c r="C10" s="90" t="s">
        <v>198</v>
      </c>
      <c r="F10" s="21">
        <f t="shared" ref="F10:V10" si="0">SUM(F7:F9)</f>
        <v>178442952.89331335</v>
      </c>
      <c r="G10" s="21">
        <f t="shared" si="0"/>
        <v>0</v>
      </c>
      <c r="H10" s="21">
        <f t="shared" si="0"/>
        <v>0</v>
      </c>
      <c r="I10" s="21">
        <f t="shared" si="0"/>
        <v>178442952.89331335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>SUM(Q7:Q9)</f>
        <v>0</v>
      </c>
      <c r="R10" s="21">
        <f>SUM(R7:R9)</f>
        <v>0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17">
        <f>SUM(G10:V10)</f>
        <v>178442952.89331335</v>
      </c>
      <c r="X10" s="96" t="str">
        <f>IF(ABS(W10-F10)&lt;1,"ok","err")</f>
        <v>ok</v>
      </c>
    </row>
    <row r="11" spans="1:32" x14ac:dyDescent="0.2">
      <c r="A11" s="90"/>
    </row>
    <row r="12" spans="1:32" x14ac:dyDescent="0.2">
      <c r="A12" s="6" t="s">
        <v>383</v>
      </c>
    </row>
    <row r="13" spans="1:32" x14ac:dyDescent="0.2">
      <c r="A13" s="18" t="s">
        <v>848</v>
      </c>
      <c r="B13" s="16" t="s">
        <v>4</v>
      </c>
      <c r="C13" s="90" t="s">
        <v>181</v>
      </c>
      <c r="D13" s="90" t="s">
        <v>28</v>
      </c>
      <c r="F13" s="21">
        <v>55633842.260598131</v>
      </c>
      <c r="G13" s="17">
        <f>(VLOOKUP($D13,$C$6:$AJ$991,5,)/VLOOKUP($D13,$C$6:$AJ$991,4,))*$F13</f>
        <v>0</v>
      </c>
      <c r="H13" s="17">
        <f>(VLOOKUP($D13,$C$6:$AJ$991,6,)/VLOOKUP($D13,$C$6:$AJ$991,4,))*$F13</f>
        <v>0</v>
      </c>
      <c r="I13" s="17">
        <f>(VLOOKUP($D13,$C$6:$AJ$991,7,)/VLOOKUP($D13,$C$6:$AJ$991,4,))*$F13</f>
        <v>0</v>
      </c>
      <c r="J13" s="17">
        <f>(VLOOKUP($D13,$C$6:$AJ$991,8,)/VLOOKUP($D13,$C$6:$AJ$991,4,))*$F13</f>
        <v>0</v>
      </c>
      <c r="K13" s="17">
        <f>(VLOOKUP($D13,$C$6:$AJ$991,9,)/VLOOKUP($D13,$C$6:$AJ$991,4,))*$F13</f>
        <v>16194566.411322031</v>
      </c>
      <c r="L13" s="17">
        <f>(VLOOKUP($D13,$C$6:$AJ$991,10,)/VLOOKUP($D13,$C$6:$AJ$991,4,))*$F13</f>
        <v>39439275.849276096</v>
      </c>
      <c r="M13" s="17">
        <f>(VLOOKUP($D13,$C$6:$AJ$991,11,)/VLOOKUP($D13,$C$6:$AJ$991,4,))*$F13</f>
        <v>0</v>
      </c>
      <c r="N13" s="17">
        <f>(VLOOKUP($D13,$C$6:$AJ$991,12,)/VLOOKUP($D13,$C$6:$AJ$991,4,))*$F13</f>
        <v>0</v>
      </c>
      <c r="O13" s="17">
        <f>(VLOOKUP($D13,$C$6:$AJ$991,13,)/VLOOKUP($D13,$C$6:$AJ$991,4,))*$F13</f>
        <v>0</v>
      </c>
      <c r="P13" s="17">
        <f>(VLOOKUP($D13,$C$6:$AJ$991,14,)/VLOOKUP($D13,$C$6:$AJ$991,4,))*$F13</f>
        <v>0</v>
      </c>
      <c r="Q13" s="17">
        <f>(VLOOKUP($D13,$C$6:$AJ$991,15,)/VLOOKUP($D13,$C$6:$AJ$991,4,))*$F13</f>
        <v>0</v>
      </c>
      <c r="R13" s="17">
        <f>(VLOOKUP($D13,$C$6:$AJ$991,16,)/VLOOKUP($D13,$C$6:$AJ$991,4,))*$F13</f>
        <v>0</v>
      </c>
      <c r="S13" s="17">
        <f>(VLOOKUP($D13,$C$6:$AJ$991,17,)/VLOOKUP($D13,$C$6:$AJ$991,4,))*$F13</f>
        <v>0</v>
      </c>
      <c r="T13" s="17">
        <f>(VLOOKUP($D13,$C$6:$AJ$991,18,)/VLOOKUP($D13,$C$6:$AJ$991,4,))*$F13</f>
        <v>0</v>
      </c>
      <c r="U13" s="17">
        <f>(VLOOKUP($D13,$C$6:$AJ$991,19,)/VLOOKUP($D13,$C$6:$AJ$991,4,))*$F13</f>
        <v>0</v>
      </c>
      <c r="V13" s="17">
        <f>(VLOOKUP($D13,$C$6:$AJ$991,20,)/VLOOKUP($D13,$C$6:$AJ$991,4,))*$F13</f>
        <v>0</v>
      </c>
      <c r="W13" s="17">
        <f>SUM(G13:V13)</f>
        <v>55633842.260598123</v>
      </c>
      <c r="X13" s="96" t="str">
        <f>IF(ABS(W13-F13)&lt;1,"ok","err")</f>
        <v>ok</v>
      </c>
    </row>
    <row r="14" spans="1:32" x14ac:dyDescent="0.2">
      <c r="A14" s="90"/>
    </row>
    <row r="15" spans="1:32" x14ac:dyDescent="0.2">
      <c r="A15" s="6" t="s">
        <v>64</v>
      </c>
    </row>
    <row r="16" spans="1:32" x14ac:dyDescent="0.2">
      <c r="A16" s="182">
        <v>374</v>
      </c>
      <c r="B16" s="16" t="s">
        <v>26</v>
      </c>
      <c r="C16" s="90" t="s">
        <v>27</v>
      </c>
      <c r="D16" s="90" t="s">
        <v>38</v>
      </c>
      <c r="F16" s="21">
        <v>708808.18952000001</v>
      </c>
      <c r="G16" s="17">
        <f t="shared" ref="G16:G29" si="1">(VLOOKUP($D16,$C$6:$AJ$991,5,)/VLOOKUP($D16,$C$6:$AJ$991,4,))*$F16</f>
        <v>0</v>
      </c>
      <c r="H16" s="17">
        <f t="shared" ref="H16:H29" si="2">(VLOOKUP($D16,$C$6:$AJ$991,6,)/VLOOKUP($D16,$C$6:$AJ$991,4,))*$F16</f>
        <v>0</v>
      </c>
      <c r="I16" s="17">
        <f t="shared" ref="I16:I29" si="3">(VLOOKUP($D16,$C$6:$AJ$991,7,)/VLOOKUP($D16,$C$6:$AJ$991,4,))*$F16</f>
        <v>0</v>
      </c>
      <c r="J16" s="17">
        <f t="shared" ref="J16:J29" si="4">(VLOOKUP($D16,$C$6:$AJ$991,8,)/VLOOKUP($D16,$C$6:$AJ$991,4,))*$F16</f>
        <v>0</v>
      </c>
      <c r="K16" s="17">
        <f t="shared" ref="K16:K29" si="5">(VLOOKUP($D16,$C$6:$AJ$991,9,)/VLOOKUP($D16,$C$6:$AJ$991,4,))*$F16</f>
        <v>0</v>
      </c>
      <c r="L16" s="17">
        <f t="shared" ref="L16:L29" si="6">(VLOOKUP($D16,$C$6:$AJ$991,10,)/VLOOKUP($D16,$C$6:$AJ$991,4,))*$F16</f>
        <v>0</v>
      </c>
      <c r="M16" s="17">
        <f t="shared" ref="M16:M29" si="7">(VLOOKUP($D16,$C$6:$AJ$991,11,)/VLOOKUP($D16,$C$6:$AJ$991,4,))*$F16</f>
        <v>0</v>
      </c>
      <c r="N16" s="17">
        <f t="shared" ref="N16:N29" si="8">(VLOOKUP($D16,$C$6:$AJ$991,12,)/VLOOKUP($D16,$C$6:$AJ$991,4,))*$F16</f>
        <v>708808.18952000001</v>
      </c>
      <c r="O16" s="17">
        <f t="shared" ref="O16:O29" si="9">(VLOOKUP($D16,$C$6:$AJ$991,13,)/VLOOKUP($D16,$C$6:$AJ$991,4,))*$F16</f>
        <v>0</v>
      </c>
      <c r="P16" s="17">
        <f t="shared" ref="P16:P29" si="10">(VLOOKUP($D16,$C$6:$AJ$991,14,)/VLOOKUP($D16,$C$6:$AJ$991,4,))*$F16</f>
        <v>0</v>
      </c>
      <c r="Q16" s="17">
        <f t="shared" ref="Q16:Q29" si="11">(VLOOKUP($D16,$C$6:$AJ$991,15,)/VLOOKUP($D16,$C$6:$AJ$991,4,))*$F16</f>
        <v>0</v>
      </c>
      <c r="R16" s="17">
        <f t="shared" ref="R16:R29" si="12">(VLOOKUP($D16,$C$6:$AJ$991,16,)/VLOOKUP($D16,$C$6:$AJ$991,4,))*$F16</f>
        <v>0</v>
      </c>
      <c r="S16" s="17">
        <f t="shared" ref="S16:S29" si="13">(VLOOKUP($D16,$C$6:$AJ$991,17,)/VLOOKUP($D16,$C$6:$AJ$991,4,))*$F16</f>
        <v>0</v>
      </c>
      <c r="T16" s="17">
        <f t="shared" ref="T16:T29" si="14">(VLOOKUP($D16,$C$6:$AJ$991,18,)/VLOOKUP($D16,$C$6:$AJ$991,4,))*$F16</f>
        <v>0</v>
      </c>
      <c r="U16" s="17">
        <f t="shared" ref="U16:U29" si="15">(VLOOKUP($D16,$C$6:$AJ$991,19,)/VLOOKUP($D16,$C$6:$AJ$991,4,))*$F16</f>
        <v>0</v>
      </c>
      <c r="V16" s="17">
        <f t="shared" ref="V16:V29" si="16">(VLOOKUP($D16,$C$6:$AJ$991,20,)/VLOOKUP($D16,$C$6:$AJ$991,4,))*$F16</f>
        <v>0</v>
      </c>
      <c r="W16" s="17">
        <f t="shared" ref="W16:W26" si="17">SUM(G16:V16)</f>
        <v>708808.18952000001</v>
      </c>
      <c r="X16" s="96" t="str">
        <f t="shared" ref="X16:X26" si="18">IF(ABS(W16-F16)&lt;1,"ok","err")</f>
        <v>ok</v>
      </c>
    </row>
    <row r="17" spans="1:31" x14ac:dyDescent="0.2">
      <c r="A17" s="182">
        <v>375</v>
      </c>
      <c r="B17" s="16" t="s">
        <v>29</v>
      </c>
      <c r="C17" s="90" t="s">
        <v>30</v>
      </c>
      <c r="D17" s="90" t="s">
        <v>38</v>
      </c>
      <c r="F17" s="17">
        <v>1282493.6795199998</v>
      </c>
      <c r="G17" s="17">
        <f t="shared" si="1"/>
        <v>0</v>
      </c>
      <c r="H17" s="17">
        <f t="shared" si="2"/>
        <v>0</v>
      </c>
      <c r="I17" s="17">
        <f t="shared" si="3"/>
        <v>0</v>
      </c>
      <c r="J17" s="17">
        <f t="shared" si="4"/>
        <v>0</v>
      </c>
      <c r="K17" s="17">
        <f t="shared" si="5"/>
        <v>0</v>
      </c>
      <c r="L17" s="17">
        <f t="shared" si="6"/>
        <v>0</v>
      </c>
      <c r="M17" s="17">
        <f t="shared" si="7"/>
        <v>0</v>
      </c>
      <c r="N17" s="17">
        <f t="shared" si="8"/>
        <v>1282493.6795199998</v>
      </c>
      <c r="O17" s="17">
        <f t="shared" si="9"/>
        <v>0</v>
      </c>
      <c r="P17" s="17">
        <f t="shared" si="10"/>
        <v>0</v>
      </c>
      <c r="Q17" s="17">
        <f t="shared" si="11"/>
        <v>0</v>
      </c>
      <c r="R17" s="17">
        <f t="shared" si="12"/>
        <v>0</v>
      </c>
      <c r="S17" s="17">
        <f t="shared" si="13"/>
        <v>0</v>
      </c>
      <c r="T17" s="17">
        <f t="shared" si="14"/>
        <v>0</v>
      </c>
      <c r="U17" s="17">
        <f t="shared" si="15"/>
        <v>0</v>
      </c>
      <c r="V17" s="17">
        <f t="shared" si="16"/>
        <v>0</v>
      </c>
      <c r="W17" s="17">
        <f t="shared" si="17"/>
        <v>1282493.6795199998</v>
      </c>
      <c r="X17" s="96" t="str">
        <f t="shared" si="18"/>
        <v>ok</v>
      </c>
    </row>
    <row r="18" spans="1:31" x14ac:dyDescent="0.2">
      <c r="A18" s="182">
        <v>376</v>
      </c>
      <c r="B18" s="16" t="s">
        <v>31</v>
      </c>
      <c r="C18" s="90" t="s">
        <v>32</v>
      </c>
      <c r="D18" s="90" t="s">
        <v>40</v>
      </c>
      <c r="F18" s="166">
        <v>436907129.3173458</v>
      </c>
      <c r="G18" s="17">
        <f t="shared" si="1"/>
        <v>0</v>
      </c>
      <c r="H18" s="17">
        <f t="shared" si="2"/>
        <v>0</v>
      </c>
      <c r="I18" s="17">
        <f t="shared" si="3"/>
        <v>0</v>
      </c>
      <c r="J18" s="17">
        <f t="shared" si="4"/>
        <v>0</v>
      </c>
      <c r="K18" s="17">
        <f t="shared" si="5"/>
        <v>0</v>
      </c>
      <c r="L18" s="17">
        <f t="shared" si="6"/>
        <v>0</v>
      </c>
      <c r="M18" s="17">
        <f t="shared" si="7"/>
        <v>0</v>
      </c>
      <c r="N18" s="17">
        <f t="shared" si="8"/>
        <v>0</v>
      </c>
      <c r="O18" s="17">
        <f t="shared" si="9"/>
        <v>132950839.45126833</v>
      </c>
      <c r="P18" s="17">
        <f t="shared" si="10"/>
        <v>261947669.3822147</v>
      </c>
      <c r="Q18" s="17">
        <f t="shared" si="11"/>
        <v>22723539.795795154</v>
      </c>
      <c r="R18" s="17">
        <f t="shared" si="12"/>
        <v>19285080.688067641</v>
      </c>
      <c r="S18" s="17">
        <f t="shared" si="13"/>
        <v>0</v>
      </c>
      <c r="T18" s="17">
        <f t="shared" si="14"/>
        <v>0</v>
      </c>
      <c r="U18" s="17">
        <f t="shared" si="15"/>
        <v>0</v>
      </c>
      <c r="V18" s="17">
        <f t="shared" si="16"/>
        <v>0</v>
      </c>
      <c r="W18" s="17">
        <f>SUM(G18:V18)</f>
        <v>436907129.3173458</v>
      </c>
      <c r="X18" s="96" t="str">
        <f t="shared" si="18"/>
        <v>ok</v>
      </c>
      <c r="Y18" s="98"/>
      <c r="Z18" s="98"/>
      <c r="AA18" s="98"/>
      <c r="AB18" s="98"/>
      <c r="AC18" s="98"/>
      <c r="AD18" s="98"/>
      <c r="AE18" s="98"/>
    </row>
    <row r="19" spans="1:31" x14ac:dyDescent="0.2">
      <c r="A19" s="182">
        <v>378</v>
      </c>
      <c r="B19" s="16" t="s">
        <v>33</v>
      </c>
      <c r="C19" s="90" t="s">
        <v>34</v>
      </c>
      <c r="D19" s="90" t="s">
        <v>38</v>
      </c>
      <c r="F19" s="17">
        <v>32981367.674242079</v>
      </c>
      <c r="G19" s="17">
        <f t="shared" si="1"/>
        <v>0</v>
      </c>
      <c r="H19" s="17">
        <f t="shared" si="2"/>
        <v>0</v>
      </c>
      <c r="I19" s="17">
        <f t="shared" si="3"/>
        <v>0</v>
      </c>
      <c r="J19" s="17">
        <f t="shared" si="4"/>
        <v>0</v>
      </c>
      <c r="K19" s="17">
        <f t="shared" si="5"/>
        <v>0</v>
      </c>
      <c r="L19" s="17">
        <f t="shared" si="6"/>
        <v>0</v>
      </c>
      <c r="M19" s="17">
        <f t="shared" si="7"/>
        <v>0</v>
      </c>
      <c r="N19" s="17">
        <f t="shared" si="8"/>
        <v>32981367.674242079</v>
      </c>
      <c r="O19" s="17">
        <f t="shared" si="9"/>
        <v>0</v>
      </c>
      <c r="P19" s="17">
        <f t="shared" si="10"/>
        <v>0</v>
      </c>
      <c r="Q19" s="17">
        <f t="shared" si="11"/>
        <v>0</v>
      </c>
      <c r="R19" s="17">
        <f t="shared" si="12"/>
        <v>0</v>
      </c>
      <c r="S19" s="17">
        <f t="shared" si="13"/>
        <v>0</v>
      </c>
      <c r="T19" s="17">
        <f t="shared" si="14"/>
        <v>0</v>
      </c>
      <c r="U19" s="17">
        <f t="shared" si="15"/>
        <v>0</v>
      </c>
      <c r="V19" s="17">
        <f t="shared" si="16"/>
        <v>0</v>
      </c>
      <c r="W19" s="17">
        <f t="shared" si="17"/>
        <v>32981367.674242079</v>
      </c>
      <c r="X19" s="96" t="str">
        <f t="shared" si="18"/>
        <v>ok</v>
      </c>
    </row>
    <row r="20" spans="1:31" x14ac:dyDescent="0.2">
      <c r="A20" s="182">
        <v>379</v>
      </c>
      <c r="B20" s="16" t="s">
        <v>36</v>
      </c>
      <c r="C20" s="90" t="s">
        <v>37</v>
      </c>
      <c r="D20" s="90" t="s">
        <v>38</v>
      </c>
      <c r="F20" s="17">
        <v>14804265.28308792</v>
      </c>
      <c r="G20" s="17">
        <f t="shared" si="1"/>
        <v>0</v>
      </c>
      <c r="H20" s="17">
        <f t="shared" si="2"/>
        <v>0</v>
      </c>
      <c r="I20" s="17">
        <f t="shared" si="3"/>
        <v>0</v>
      </c>
      <c r="J20" s="17">
        <f t="shared" si="4"/>
        <v>0</v>
      </c>
      <c r="K20" s="17">
        <f t="shared" si="5"/>
        <v>0</v>
      </c>
      <c r="L20" s="17">
        <f t="shared" si="6"/>
        <v>0</v>
      </c>
      <c r="M20" s="17">
        <f t="shared" si="7"/>
        <v>0</v>
      </c>
      <c r="N20" s="17">
        <f t="shared" si="8"/>
        <v>14804265.28308792</v>
      </c>
      <c r="O20" s="17">
        <f t="shared" si="9"/>
        <v>0</v>
      </c>
      <c r="P20" s="17">
        <f t="shared" si="10"/>
        <v>0</v>
      </c>
      <c r="Q20" s="17">
        <f t="shared" si="11"/>
        <v>0</v>
      </c>
      <c r="R20" s="17">
        <f t="shared" si="12"/>
        <v>0</v>
      </c>
      <c r="S20" s="17">
        <f t="shared" si="13"/>
        <v>0</v>
      </c>
      <c r="T20" s="17">
        <f t="shared" si="14"/>
        <v>0</v>
      </c>
      <c r="U20" s="17">
        <f t="shared" si="15"/>
        <v>0</v>
      </c>
      <c r="V20" s="17">
        <f t="shared" si="16"/>
        <v>0</v>
      </c>
      <c r="W20" s="17">
        <f t="shared" si="17"/>
        <v>14804265.28308792</v>
      </c>
      <c r="X20" s="96" t="str">
        <f t="shared" si="18"/>
        <v>ok</v>
      </c>
    </row>
    <row r="21" spans="1:31" x14ac:dyDescent="0.2">
      <c r="A21" s="182">
        <v>380</v>
      </c>
      <c r="B21" s="16" t="s">
        <v>10</v>
      </c>
      <c r="C21" s="90" t="s">
        <v>39</v>
      </c>
      <c r="D21" s="90" t="s">
        <v>42</v>
      </c>
      <c r="F21" s="166">
        <v>390673489.95223749</v>
      </c>
      <c r="G21" s="17">
        <f t="shared" si="1"/>
        <v>0</v>
      </c>
      <c r="H21" s="17">
        <f t="shared" si="2"/>
        <v>0</v>
      </c>
      <c r="I21" s="17">
        <f t="shared" si="3"/>
        <v>0</v>
      </c>
      <c r="J21" s="17">
        <f t="shared" si="4"/>
        <v>0</v>
      </c>
      <c r="K21" s="17">
        <f t="shared" si="5"/>
        <v>0</v>
      </c>
      <c r="L21" s="17">
        <f t="shared" si="6"/>
        <v>0</v>
      </c>
      <c r="M21" s="17">
        <f t="shared" si="7"/>
        <v>0</v>
      </c>
      <c r="N21" s="17">
        <f t="shared" si="8"/>
        <v>0</v>
      </c>
      <c r="O21" s="17">
        <f t="shared" si="9"/>
        <v>0</v>
      </c>
      <c r="P21" s="17">
        <f t="shared" si="10"/>
        <v>0</v>
      </c>
      <c r="Q21" s="17">
        <f t="shared" si="11"/>
        <v>0</v>
      </c>
      <c r="R21" s="17">
        <f t="shared" si="12"/>
        <v>0</v>
      </c>
      <c r="S21" s="17">
        <f t="shared" si="13"/>
        <v>390673489.95223749</v>
      </c>
      <c r="T21" s="17">
        <f t="shared" si="14"/>
        <v>0</v>
      </c>
      <c r="U21" s="17">
        <f t="shared" si="15"/>
        <v>0</v>
      </c>
      <c r="V21" s="17">
        <f t="shared" si="16"/>
        <v>0</v>
      </c>
      <c r="W21" s="17">
        <f t="shared" si="17"/>
        <v>390673489.95223749</v>
      </c>
      <c r="X21" s="96" t="str">
        <f t="shared" si="18"/>
        <v>ok</v>
      </c>
    </row>
    <row r="22" spans="1:31" x14ac:dyDescent="0.2">
      <c r="A22" s="182">
        <v>381</v>
      </c>
      <c r="B22" s="16" t="s">
        <v>11</v>
      </c>
      <c r="C22" s="90" t="s">
        <v>41</v>
      </c>
      <c r="D22" s="90" t="s">
        <v>45</v>
      </c>
      <c r="F22" s="17">
        <v>64793099.592828974</v>
      </c>
      <c r="G22" s="17">
        <f t="shared" si="1"/>
        <v>0</v>
      </c>
      <c r="H22" s="17">
        <f t="shared" si="2"/>
        <v>0</v>
      </c>
      <c r="I22" s="17">
        <f t="shared" si="3"/>
        <v>0</v>
      </c>
      <c r="J22" s="17">
        <f t="shared" si="4"/>
        <v>0</v>
      </c>
      <c r="K22" s="17">
        <f t="shared" si="5"/>
        <v>0</v>
      </c>
      <c r="L22" s="17">
        <f t="shared" si="6"/>
        <v>0</v>
      </c>
      <c r="M22" s="17">
        <f t="shared" si="7"/>
        <v>0</v>
      </c>
      <c r="N22" s="17">
        <f t="shared" si="8"/>
        <v>0</v>
      </c>
      <c r="O22" s="17">
        <f t="shared" si="9"/>
        <v>0</v>
      </c>
      <c r="P22" s="17">
        <f t="shared" si="10"/>
        <v>0</v>
      </c>
      <c r="Q22" s="17">
        <f t="shared" si="11"/>
        <v>0</v>
      </c>
      <c r="R22" s="17">
        <f t="shared" si="12"/>
        <v>0</v>
      </c>
      <c r="S22" s="17">
        <f t="shared" si="13"/>
        <v>0</v>
      </c>
      <c r="T22" s="17">
        <f t="shared" si="14"/>
        <v>64793099.592828974</v>
      </c>
      <c r="U22" s="17">
        <f t="shared" si="15"/>
        <v>0</v>
      </c>
      <c r="V22" s="17">
        <f t="shared" si="16"/>
        <v>0</v>
      </c>
      <c r="W22" s="17">
        <f t="shared" si="17"/>
        <v>64793099.592828974</v>
      </c>
      <c r="X22" s="96" t="str">
        <f t="shared" si="18"/>
        <v>ok</v>
      </c>
    </row>
    <row r="23" spans="1:31" x14ac:dyDescent="0.2">
      <c r="A23" s="182">
        <v>382</v>
      </c>
      <c r="B23" s="16" t="s">
        <v>43</v>
      </c>
      <c r="C23" s="90" t="s">
        <v>44</v>
      </c>
      <c r="D23" s="90" t="s">
        <v>45</v>
      </c>
      <c r="F23" s="17"/>
      <c r="G23" s="17">
        <f t="shared" si="1"/>
        <v>0</v>
      </c>
      <c r="H23" s="17">
        <f t="shared" si="2"/>
        <v>0</v>
      </c>
      <c r="I23" s="17">
        <f t="shared" si="3"/>
        <v>0</v>
      </c>
      <c r="J23" s="17">
        <f t="shared" si="4"/>
        <v>0</v>
      </c>
      <c r="K23" s="17">
        <f t="shared" si="5"/>
        <v>0</v>
      </c>
      <c r="L23" s="17">
        <f t="shared" si="6"/>
        <v>0</v>
      </c>
      <c r="M23" s="17">
        <f t="shared" si="7"/>
        <v>0</v>
      </c>
      <c r="N23" s="17">
        <f t="shared" si="8"/>
        <v>0</v>
      </c>
      <c r="O23" s="17">
        <f t="shared" si="9"/>
        <v>0</v>
      </c>
      <c r="P23" s="17">
        <f t="shared" si="10"/>
        <v>0</v>
      </c>
      <c r="Q23" s="17">
        <f t="shared" si="11"/>
        <v>0</v>
      </c>
      <c r="R23" s="17">
        <f t="shared" si="12"/>
        <v>0</v>
      </c>
      <c r="S23" s="17">
        <f t="shared" si="13"/>
        <v>0</v>
      </c>
      <c r="T23" s="17">
        <f t="shared" si="14"/>
        <v>0</v>
      </c>
      <c r="U23" s="17">
        <f t="shared" si="15"/>
        <v>0</v>
      </c>
      <c r="V23" s="17">
        <f t="shared" si="16"/>
        <v>0</v>
      </c>
      <c r="W23" s="17">
        <f t="shared" si="17"/>
        <v>0</v>
      </c>
      <c r="X23" s="96" t="str">
        <f t="shared" si="18"/>
        <v>ok</v>
      </c>
    </row>
    <row r="24" spans="1:31" x14ac:dyDescent="0.2">
      <c r="A24" s="182">
        <v>383</v>
      </c>
      <c r="B24" s="16" t="s">
        <v>46</v>
      </c>
      <c r="C24" s="90" t="s">
        <v>47</v>
      </c>
      <c r="D24" s="90" t="s">
        <v>45</v>
      </c>
      <c r="F24" s="17">
        <v>26838418.079186898</v>
      </c>
      <c r="G24" s="17">
        <f t="shared" si="1"/>
        <v>0</v>
      </c>
      <c r="H24" s="17">
        <f t="shared" si="2"/>
        <v>0</v>
      </c>
      <c r="I24" s="17">
        <f t="shared" si="3"/>
        <v>0</v>
      </c>
      <c r="J24" s="17">
        <f t="shared" si="4"/>
        <v>0</v>
      </c>
      <c r="K24" s="17">
        <f t="shared" si="5"/>
        <v>0</v>
      </c>
      <c r="L24" s="17">
        <f t="shared" si="6"/>
        <v>0</v>
      </c>
      <c r="M24" s="17">
        <f t="shared" si="7"/>
        <v>0</v>
      </c>
      <c r="N24" s="17">
        <f t="shared" si="8"/>
        <v>0</v>
      </c>
      <c r="O24" s="17">
        <f t="shared" si="9"/>
        <v>0</v>
      </c>
      <c r="P24" s="17">
        <f t="shared" si="10"/>
        <v>0</v>
      </c>
      <c r="Q24" s="17">
        <f t="shared" si="11"/>
        <v>0</v>
      </c>
      <c r="R24" s="17">
        <f t="shared" si="12"/>
        <v>0</v>
      </c>
      <c r="S24" s="17">
        <f t="shared" si="13"/>
        <v>0</v>
      </c>
      <c r="T24" s="17">
        <f t="shared" si="14"/>
        <v>26838418.079186898</v>
      </c>
      <c r="U24" s="17">
        <f t="shared" si="15"/>
        <v>0</v>
      </c>
      <c r="V24" s="17">
        <f t="shared" si="16"/>
        <v>0</v>
      </c>
      <c r="W24" s="17">
        <f t="shared" si="17"/>
        <v>26838418.079186898</v>
      </c>
      <c r="X24" s="96" t="str">
        <f t="shared" si="18"/>
        <v>ok</v>
      </c>
    </row>
    <row r="25" spans="1:31" x14ac:dyDescent="0.2">
      <c r="A25" s="182">
        <v>384</v>
      </c>
      <c r="B25" s="16" t="s">
        <v>49</v>
      </c>
      <c r="C25" s="90" t="s">
        <v>50</v>
      </c>
      <c r="D25" s="90" t="s">
        <v>45</v>
      </c>
      <c r="F25" s="17"/>
      <c r="G25" s="17">
        <f t="shared" si="1"/>
        <v>0</v>
      </c>
      <c r="H25" s="17">
        <f t="shared" si="2"/>
        <v>0</v>
      </c>
      <c r="I25" s="17">
        <f t="shared" si="3"/>
        <v>0</v>
      </c>
      <c r="J25" s="17">
        <f t="shared" si="4"/>
        <v>0</v>
      </c>
      <c r="K25" s="17">
        <f t="shared" si="5"/>
        <v>0</v>
      </c>
      <c r="L25" s="17">
        <f t="shared" si="6"/>
        <v>0</v>
      </c>
      <c r="M25" s="17">
        <f t="shared" si="7"/>
        <v>0</v>
      </c>
      <c r="N25" s="17">
        <f t="shared" si="8"/>
        <v>0</v>
      </c>
      <c r="O25" s="17">
        <f t="shared" si="9"/>
        <v>0</v>
      </c>
      <c r="P25" s="17">
        <f t="shared" si="10"/>
        <v>0</v>
      </c>
      <c r="Q25" s="17">
        <f t="shared" si="11"/>
        <v>0</v>
      </c>
      <c r="R25" s="17">
        <f t="shared" si="12"/>
        <v>0</v>
      </c>
      <c r="S25" s="17">
        <f t="shared" si="13"/>
        <v>0</v>
      </c>
      <c r="T25" s="17">
        <f t="shared" si="14"/>
        <v>0</v>
      </c>
      <c r="U25" s="17">
        <f t="shared" si="15"/>
        <v>0</v>
      </c>
      <c r="V25" s="17">
        <f t="shared" si="16"/>
        <v>0</v>
      </c>
      <c r="W25" s="17">
        <f t="shared" si="17"/>
        <v>0</v>
      </c>
      <c r="X25" s="96" t="str">
        <f t="shared" si="18"/>
        <v>ok</v>
      </c>
    </row>
    <row r="26" spans="1:31" x14ac:dyDescent="0.2">
      <c r="A26" s="182">
        <v>385</v>
      </c>
      <c r="B26" s="16" t="s">
        <v>52</v>
      </c>
      <c r="C26" s="90" t="s">
        <v>53</v>
      </c>
      <c r="D26" s="90" t="s">
        <v>45</v>
      </c>
      <c r="F26" s="17">
        <v>2121117.5876850709</v>
      </c>
      <c r="G26" s="17">
        <f t="shared" si="1"/>
        <v>0</v>
      </c>
      <c r="H26" s="17">
        <f t="shared" si="2"/>
        <v>0</v>
      </c>
      <c r="I26" s="17">
        <f t="shared" si="3"/>
        <v>0</v>
      </c>
      <c r="J26" s="17">
        <f t="shared" si="4"/>
        <v>0</v>
      </c>
      <c r="K26" s="17">
        <f t="shared" si="5"/>
        <v>0</v>
      </c>
      <c r="L26" s="17">
        <f t="shared" si="6"/>
        <v>0</v>
      </c>
      <c r="M26" s="17">
        <f t="shared" si="7"/>
        <v>0</v>
      </c>
      <c r="N26" s="17">
        <f t="shared" si="8"/>
        <v>0</v>
      </c>
      <c r="O26" s="17">
        <f t="shared" si="9"/>
        <v>0</v>
      </c>
      <c r="P26" s="17">
        <f t="shared" si="10"/>
        <v>0</v>
      </c>
      <c r="Q26" s="17">
        <f t="shared" si="11"/>
        <v>0</v>
      </c>
      <c r="R26" s="17">
        <f t="shared" si="12"/>
        <v>0</v>
      </c>
      <c r="S26" s="17">
        <f t="shared" si="13"/>
        <v>0</v>
      </c>
      <c r="T26" s="17">
        <f t="shared" si="14"/>
        <v>2121117.5876850709</v>
      </c>
      <c r="U26" s="17">
        <f t="shared" si="15"/>
        <v>0</v>
      </c>
      <c r="V26" s="17">
        <f t="shared" si="16"/>
        <v>0</v>
      </c>
      <c r="W26" s="17">
        <f t="shared" si="17"/>
        <v>2121117.5876850709</v>
      </c>
      <c r="X26" s="96" t="str">
        <f t="shared" si="18"/>
        <v>ok</v>
      </c>
    </row>
    <row r="27" spans="1:31" x14ac:dyDescent="0.2">
      <c r="A27" s="183">
        <v>387</v>
      </c>
      <c r="B27" s="16" t="s">
        <v>54</v>
      </c>
      <c r="C27" s="90" t="s">
        <v>55</v>
      </c>
      <c r="D27" s="90" t="s">
        <v>45</v>
      </c>
      <c r="F27" s="17">
        <v>609908.34385069157</v>
      </c>
      <c r="G27" s="17">
        <f t="shared" si="1"/>
        <v>0</v>
      </c>
      <c r="H27" s="17">
        <f t="shared" si="2"/>
        <v>0</v>
      </c>
      <c r="I27" s="17">
        <f t="shared" si="3"/>
        <v>0</v>
      </c>
      <c r="J27" s="17">
        <f t="shared" si="4"/>
        <v>0</v>
      </c>
      <c r="K27" s="17">
        <f t="shared" si="5"/>
        <v>0</v>
      </c>
      <c r="L27" s="17">
        <f t="shared" si="6"/>
        <v>0</v>
      </c>
      <c r="M27" s="17">
        <f t="shared" si="7"/>
        <v>0</v>
      </c>
      <c r="N27" s="17">
        <f t="shared" si="8"/>
        <v>0</v>
      </c>
      <c r="O27" s="17">
        <f t="shared" si="9"/>
        <v>0</v>
      </c>
      <c r="P27" s="17">
        <f t="shared" si="10"/>
        <v>0</v>
      </c>
      <c r="Q27" s="17">
        <f t="shared" si="11"/>
        <v>0</v>
      </c>
      <c r="R27" s="17">
        <f t="shared" si="12"/>
        <v>0</v>
      </c>
      <c r="S27" s="17">
        <f t="shared" si="13"/>
        <v>0</v>
      </c>
      <c r="T27" s="17">
        <f t="shared" si="14"/>
        <v>609908.34385069157</v>
      </c>
      <c r="U27" s="17">
        <f t="shared" si="15"/>
        <v>0</v>
      </c>
      <c r="V27" s="17">
        <f t="shared" si="16"/>
        <v>0</v>
      </c>
      <c r="W27" s="17">
        <f>SUM(G27:V27)</f>
        <v>609908.34385069157</v>
      </c>
      <c r="X27" s="96" t="str">
        <f>IF(ABS(W27-F27)&lt;1,"ok","err")</f>
        <v>ok</v>
      </c>
    </row>
    <row r="28" spans="1:31" x14ac:dyDescent="0.2">
      <c r="A28" s="183">
        <v>388</v>
      </c>
      <c r="B28" s="16" t="s">
        <v>706</v>
      </c>
      <c r="C28" s="90" t="s">
        <v>704</v>
      </c>
      <c r="D28" s="90" t="str">
        <f>+D20</f>
        <v>F008</v>
      </c>
      <c r="F28" s="17">
        <v>0</v>
      </c>
      <c r="G28" s="17">
        <f t="shared" si="1"/>
        <v>0</v>
      </c>
      <c r="H28" s="17">
        <f t="shared" si="2"/>
        <v>0</v>
      </c>
      <c r="I28" s="17">
        <f t="shared" si="3"/>
        <v>0</v>
      </c>
      <c r="J28" s="17">
        <f t="shared" si="4"/>
        <v>0</v>
      </c>
      <c r="K28" s="17">
        <f t="shared" si="5"/>
        <v>0</v>
      </c>
      <c r="L28" s="17">
        <f t="shared" si="6"/>
        <v>0</v>
      </c>
      <c r="M28" s="17">
        <f t="shared" si="7"/>
        <v>0</v>
      </c>
      <c r="N28" s="17">
        <f t="shared" si="8"/>
        <v>0</v>
      </c>
      <c r="O28" s="17">
        <f t="shared" si="9"/>
        <v>0</v>
      </c>
      <c r="P28" s="17">
        <f t="shared" si="10"/>
        <v>0</v>
      </c>
      <c r="Q28" s="17">
        <f t="shared" si="11"/>
        <v>0</v>
      </c>
      <c r="R28" s="17">
        <f t="shared" si="12"/>
        <v>0</v>
      </c>
      <c r="S28" s="17">
        <f t="shared" si="13"/>
        <v>0</v>
      </c>
      <c r="T28" s="17">
        <f t="shared" si="14"/>
        <v>0</v>
      </c>
      <c r="U28" s="17">
        <f t="shared" si="15"/>
        <v>0</v>
      </c>
      <c r="V28" s="17">
        <f t="shared" si="16"/>
        <v>0</v>
      </c>
      <c r="W28" s="17">
        <f>SUM(G28:V28)</f>
        <v>0</v>
      </c>
      <c r="X28" s="96" t="str">
        <f>IF(ABS(W28-F28)&lt;1,"ok","err")</f>
        <v>ok</v>
      </c>
    </row>
    <row r="29" spans="1:31" x14ac:dyDescent="0.2">
      <c r="A29" s="183">
        <v>388</v>
      </c>
      <c r="B29" s="16" t="s">
        <v>705</v>
      </c>
      <c r="C29" s="90" t="s">
        <v>704</v>
      </c>
      <c r="D29" s="90" t="str">
        <f>+D18</f>
        <v>F009</v>
      </c>
      <c r="F29" s="17">
        <v>0</v>
      </c>
      <c r="G29" s="17">
        <f t="shared" si="1"/>
        <v>0</v>
      </c>
      <c r="H29" s="17">
        <f t="shared" si="2"/>
        <v>0</v>
      </c>
      <c r="I29" s="17">
        <f t="shared" si="3"/>
        <v>0</v>
      </c>
      <c r="J29" s="17">
        <f t="shared" si="4"/>
        <v>0</v>
      </c>
      <c r="K29" s="17">
        <f t="shared" si="5"/>
        <v>0</v>
      </c>
      <c r="L29" s="17">
        <f t="shared" si="6"/>
        <v>0</v>
      </c>
      <c r="M29" s="17">
        <f t="shared" si="7"/>
        <v>0</v>
      </c>
      <c r="N29" s="17">
        <f t="shared" si="8"/>
        <v>0</v>
      </c>
      <c r="O29" s="17">
        <f t="shared" si="9"/>
        <v>0</v>
      </c>
      <c r="P29" s="17">
        <f t="shared" si="10"/>
        <v>0</v>
      </c>
      <c r="Q29" s="17">
        <f t="shared" si="11"/>
        <v>0</v>
      </c>
      <c r="R29" s="17">
        <f t="shared" si="12"/>
        <v>0</v>
      </c>
      <c r="S29" s="17">
        <f t="shared" si="13"/>
        <v>0</v>
      </c>
      <c r="T29" s="17">
        <f t="shared" si="14"/>
        <v>0</v>
      </c>
      <c r="U29" s="17">
        <f t="shared" si="15"/>
        <v>0</v>
      </c>
      <c r="V29" s="17">
        <f t="shared" si="16"/>
        <v>0</v>
      </c>
      <c r="W29" s="17">
        <f>SUM(G29:V29)</f>
        <v>0</v>
      </c>
      <c r="X29" s="96" t="str">
        <f>IF(ABS(W29-F29)&lt;1,"ok","err")</f>
        <v>ok</v>
      </c>
    </row>
    <row r="30" spans="1:31" x14ac:dyDescent="0.2">
      <c r="A30" s="180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96"/>
    </row>
    <row r="31" spans="1:31" x14ac:dyDescent="0.2">
      <c r="A31" s="180" t="s">
        <v>199</v>
      </c>
      <c r="C31" s="90" t="s">
        <v>200</v>
      </c>
      <c r="F31" s="21">
        <f>SUM(F16:F29)</f>
        <v>971720097.69950497</v>
      </c>
      <c r="G31" s="21">
        <f t="shared" ref="G31:V31" si="19">SUM(G16:G29)</f>
        <v>0</v>
      </c>
      <c r="H31" s="21">
        <f t="shared" si="19"/>
        <v>0</v>
      </c>
      <c r="I31" s="21">
        <f t="shared" si="19"/>
        <v>0</v>
      </c>
      <c r="J31" s="21">
        <f t="shared" si="19"/>
        <v>0</v>
      </c>
      <c r="K31" s="21">
        <f t="shared" si="19"/>
        <v>0</v>
      </c>
      <c r="L31" s="21">
        <f t="shared" si="19"/>
        <v>0</v>
      </c>
      <c r="M31" s="21">
        <f t="shared" si="19"/>
        <v>0</v>
      </c>
      <c r="N31" s="21">
        <f t="shared" si="19"/>
        <v>49776934.826370001</v>
      </c>
      <c r="O31" s="21">
        <f t="shared" si="19"/>
        <v>132950839.45126833</v>
      </c>
      <c r="P31" s="21">
        <f t="shared" si="19"/>
        <v>261947669.3822147</v>
      </c>
      <c r="Q31" s="21">
        <f t="shared" si="19"/>
        <v>22723539.795795154</v>
      </c>
      <c r="R31" s="21">
        <f t="shared" si="19"/>
        <v>19285080.688067641</v>
      </c>
      <c r="S31" s="21">
        <f t="shared" si="19"/>
        <v>390673489.95223749</v>
      </c>
      <c r="T31" s="21">
        <f t="shared" si="19"/>
        <v>94362543.603551641</v>
      </c>
      <c r="U31" s="21">
        <f t="shared" si="19"/>
        <v>0</v>
      </c>
      <c r="V31" s="21">
        <f t="shared" si="19"/>
        <v>0</v>
      </c>
      <c r="W31" s="17">
        <f>SUM(G31:V31)</f>
        <v>971720097.69950485</v>
      </c>
      <c r="X31" s="96" t="str">
        <f>IF(ABS(W31-F31)&lt;1,"ok","err")</f>
        <v>ok</v>
      </c>
      <c r="Y31" s="99"/>
    </row>
    <row r="32" spans="1:31" x14ac:dyDescent="0.2">
      <c r="A32" s="180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96"/>
    </row>
    <row r="33" spans="1:24" x14ac:dyDescent="0.2">
      <c r="A33" s="180" t="s">
        <v>449</v>
      </c>
      <c r="C33" s="90" t="s">
        <v>56</v>
      </c>
      <c r="F33" s="21">
        <f>+F10+F13+F31</f>
        <v>1205796892.8534164</v>
      </c>
      <c r="G33" s="17">
        <f t="shared" ref="G33:W33" si="20">+G10+G13+G31</f>
        <v>0</v>
      </c>
      <c r="H33" s="17">
        <f t="shared" si="20"/>
        <v>0</v>
      </c>
      <c r="I33" s="17">
        <f t="shared" si="20"/>
        <v>178442952.89331335</v>
      </c>
      <c r="J33" s="17">
        <f t="shared" si="20"/>
        <v>0</v>
      </c>
      <c r="K33" s="17">
        <f t="shared" si="20"/>
        <v>16194566.411322031</v>
      </c>
      <c r="L33" s="17">
        <f t="shared" si="20"/>
        <v>39439275.849276096</v>
      </c>
      <c r="M33" s="17">
        <f t="shared" si="20"/>
        <v>0</v>
      </c>
      <c r="N33" s="17">
        <f t="shared" si="20"/>
        <v>49776934.826370001</v>
      </c>
      <c r="O33" s="17">
        <f t="shared" si="20"/>
        <v>132950839.45126833</v>
      </c>
      <c r="P33" s="17">
        <f t="shared" si="20"/>
        <v>261947669.3822147</v>
      </c>
      <c r="Q33" s="17">
        <f t="shared" si="20"/>
        <v>22723539.795795154</v>
      </c>
      <c r="R33" s="17">
        <f t="shared" si="20"/>
        <v>19285080.688067641</v>
      </c>
      <c r="S33" s="17">
        <f t="shared" si="20"/>
        <v>390673489.95223749</v>
      </c>
      <c r="T33" s="17">
        <f t="shared" si="20"/>
        <v>94362543.603551641</v>
      </c>
      <c r="U33" s="17">
        <f t="shared" si="20"/>
        <v>0</v>
      </c>
      <c r="V33" s="17">
        <f t="shared" si="20"/>
        <v>0</v>
      </c>
      <c r="W33" s="17">
        <f t="shared" si="20"/>
        <v>1205796892.8534164</v>
      </c>
      <c r="X33" s="96" t="str">
        <f>IF(ABS(W33-F33)&lt;1,"ok","err")</f>
        <v>ok</v>
      </c>
    </row>
    <row r="34" spans="1:24" x14ac:dyDescent="0.2">
      <c r="A34" s="180"/>
      <c r="F34" s="2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96"/>
    </row>
    <row r="35" spans="1:24" x14ac:dyDescent="0.2">
      <c r="A35" s="184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96"/>
    </row>
    <row r="36" spans="1:24" x14ac:dyDescent="0.2">
      <c r="A36" s="18" t="s">
        <v>876</v>
      </c>
      <c r="B36" s="16" t="s">
        <v>584</v>
      </c>
      <c r="C36" s="90" t="s">
        <v>389</v>
      </c>
      <c r="D36" s="90" t="s">
        <v>25</v>
      </c>
      <c r="F36" s="21">
        <v>11788844.999999996</v>
      </c>
      <c r="G36" s="17">
        <f>(VLOOKUP($D36,$C$6:$AJ$991,5,)/VLOOKUP($D36,$C$6:$AJ$991,4,))*$F36</f>
        <v>0</v>
      </c>
      <c r="H36" s="17">
        <f>(VLOOKUP($D36,$C$6:$AJ$991,6,)/VLOOKUP($D36,$C$6:$AJ$991,4,))*$F36</f>
        <v>0</v>
      </c>
      <c r="I36" s="17">
        <f>(VLOOKUP($D36,$C$6:$AJ$991,7,)/VLOOKUP($D36,$C$6:$AJ$991,4,))*$F36</f>
        <v>11788844.999999996</v>
      </c>
      <c r="J36" s="17">
        <f>(VLOOKUP($D36,$C$6:$AJ$991,8,)/VLOOKUP($D36,$C$6:$AJ$991,4,))*$F36</f>
        <v>0</v>
      </c>
      <c r="K36" s="17">
        <f>(VLOOKUP($D36,$C$6:$AJ$991,9,)/VLOOKUP($D36,$C$6:$AJ$991,4,))*$F36</f>
        <v>0</v>
      </c>
      <c r="L36" s="17">
        <f>(VLOOKUP($D36,$C$6:$AJ$991,10,)/VLOOKUP($D36,$C$6:$AJ$991,4,))*$F36</f>
        <v>0</v>
      </c>
      <c r="M36" s="17">
        <f>(VLOOKUP($D36,$C$6:$AJ$991,11,)/VLOOKUP($D36,$C$6:$AJ$991,4,))*$F36</f>
        <v>0</v>
      </c>
      <c r="N36" s="17">
        <f>(VLOOKUP($D36,$C$6:$AJ$991,12,)/VLOOKUP($D36,$C$6:$AJ$991,4,))*$F36</f>
        <v>0</v>
      </c>
      <c r="O36" s="17">
        <f>(VLOOKUP($D36,$C$6:$AJ$991,13,)/VLOOKUP($D36,$C$6:$AJ$991,4,))*$F36</f>
        <v>0</v>
      </c>
      <c r="P36" s="17">
        <f>(VLOOKUP($D36,$C$6:$AJ$991,14,)/VLOOKUP($D36,$C$6:$AJ$991,4,))*$F36</f>
        <v>0</v>
      </c>
      <c r="Q36" s="17">
        <f>(VLOOKUP($D36,$C$6:$AJ$991,15,)/VLOOKUP($D36,$C$6:$AJ$991,4,))*$F36</f>
        <v>0</v>
      </c>
      <c r="R36" s="17">
        <f>(VLOOKUP($D36,$C$6:$AJ$991,16,)/VLOOKUP($D36,$C$6:$AJ$991,4,))*$F36</f>
        <v>0</v>
      </c>
      <c r="S36" s="17">
        <f>(VLOOKUP($D36,$C$6:$AJ$991,17,)/VLOOKUP($D36,$C$6:$AJ$991,4,))*$F36</f>
        <v>0</v>
      </c>
      <c r="T36" s="17">
        <f>(VLOOKUP($D36,$C$6:$AJ$991,18,)/VLOOKUP($D36,$C$6:$AJ$991,4,))*$F36</f>
        <v>0</v>
      </c>
      <c r="U36" s="17">
        <f>(VLOOKUP($D36,$C$6:$AJ$991,19,)/VLOOKUP($D36,$C$6:$AJ$991,4,))*$F36</f>
        <v>0</v>
      </c>
      <c r="V36" s="17">
        <f>(VLOOKUP($D36,$C$6:$AJ$991,20,)/VLOOKUP($D36,$C$6:$AJ$991,4,))*$F36</f>
        <v>0</v>
      </c>
      <c r="W36" s="17">
        <f>SUM(G36:V36)</f>
        <v>11788844.999999996</v>
      </c>
      <c r="X36" s="96" t="str">
        <f>IF(ABS(W36-F36)&lt;1,"ok","err")</f>
        <v>ok</v>
      </c>
    </row>
    <row r="37" spans="1:24" x14ac:dyDescent="0.2">
      <c r="A37" s="180" t="s">
        <v>57</v>
      </c>
      <c r="B37" s="16" t="s">
        <v>58</v>
      </c>
      <c r="C37" s="90" t="s">
        <v>59</v>
      </c>
      <c r="D37" s="90" t="s">
        <v>56</v>
      </c>
      <c r="F37" s="17">
        <v>387.49</v>
      </c>
      <c r="G37" s="17">
        <f>(VLOOKUP($D37,$C$6:$AJ$991,5,)/VLOOKUP($D37,$C$6:$AJ$991,4,))*$F37</f>
        <v>0</v>
      </c>
      <c r="H37" s="17">
        <f>(VLOOKUP($D37,$C$6:$AJ$991,6,)/VLOOKUP($D37,$C$6:$AJ$991,4,))*$F37</f>
        <v>0</v>
      </c>
      <c r="I37" s="17">
        <f>(VLOOKUP($D37,$C$6:$AJ$991,7,)/VLOOKUP($D37,$C$6:$AJ$991,4,))*$F37</f>
        <v>57.343703758436902</v>
      </c>
      <c r="J37" s="17">
        <f>(VLOOKUP($D37,$C$6:$AJ$991,8,)/VLOOKUP($D37,$C$6:$AJ$991,4,))*$F37</f>
        <v>0</v>
      </c>
      <c r="K37" s="17">
        <f>(VLOOKUP($D37,$C$6:$AJ$991,9,)/VLOOKUP($D37,$C$6:$AJ$991,4,))*$F37</f>
        <v>5.2042201932311887</v>
      </c>
      <c r="L37" s="17">
        <f>(VLOOKUP($D37,$C$6:$AJ$991,10,)/VLOOKUP($D37,$C$6:$AJ$991,4,))*$F37</f>
        <v>12.67404576128212</v>
      </c>
      <c r="M37" s="17">
        <f>(VLOOKUP($D37,$C$6:$AJ$991,11,)/VLOOKUP($D37,$C$6:$AJ$991,4,))*$F37</f>
        <v>0</v>
      </c>
      <c r="N37" s="17">
        <f>(VLOOKUP($D37,$C$6:$AJ$991,12,)/VLOOKUP($D37,$C$6:$AJ$991,4,))*$F37</f>
        <v>15.996113931116986</v>
      </c>
      <c r="O37" s="17">
        <f>(VLOOKUP($D37,$C$6:$AJ$991,13,)/VLOOKUP($D37,$C$6:$AJ$991,4,))*$F37</f>
        <v>42.724542652503487</v>
      </c>
      <c r="P37" s="17">
        <f>(VLOOKUP($D37,$C$6:$AJ$991,14,)/VLOOKUP($D37,$C$6:$AJ$991,4,))*$F37</f>
        <v>84.178440839002519</v>
      </c>
      <c r="Q37" s="17">
        <f>(VLOOKUP($D37,$C$6:$AJ$991,15,)/VLOOKUP($D37,$C$6:$AJ$991,4,))*$F37</f>
        <v>7.3023446051814203</v>
      </c>
      <c r="R37" s="17">
        <f>(VLOOKUP($D37,$C$6:$AJ$991,16,)/VLOOKUP($D37,$C$6:$AJ$991,4,))*$F37</f>
        <v>6.1973753292195326</v>
      </c>
      <c r="S37" s="17">
        <f>(VLOOKUP($D37,$C$6:$AJ$991,17,)/VLOOKUP($D37,$C$6:$AJ$991,4,))*$F37</f>
        <v>125.54524855621383</v>
      </c>
      <c r="T37" s="17">
        <f>(VLOOKUP($D37,$C$6:$AJ$991,18,)/VLOOKUP($D37,$C$6:$AJ$991,4,))*$F37</f>
        <v>30.323964373812018</v>
      </c>
      <c r="U37" s="17">
        <f>(VLOOKUP($D37,$C$6:$AJ$991,19,)/VLOOKUP($D37,$C$6:$AJ$991,4,))*$F37</f>
        <v>0</v>
      </c>
      <c r="V37" s="17">
        <f>(VLOOKUP($D37,$C$6:$AJ$991,20,)/VLOOKUP($D37,$C$6:$AJ$991,4,))*$F37</f>
        <v>0</v>
      </c>
      <c r="W37" s="17">
        <f>SUM(G37:V37)</f>
        <v>387.49</v>
      </c>
      <c r="X37" s="96" t="str">
        <f>IF(ABS(W37-F37)&lt;1,"ok","err")</f>
        <v>ok</v>
      </c>
    </row>
    <row r="38" spans="1:24" x14ac:dyDescent="0.2">
      <c r="A38" s="16" t="s">
        <v>819</v>
      </c>
      <c r="B38" s="16" t="s">
        <v>61</v>
      </c>
      <c r="C38" s="90" t="s">
        <v>62</v>
      </c>
      <c r="D38" s="90" t="s">
        <v>56</v>
      </c>
      <c r="F38" s="17">
        <v>14950036.534786073</v>
      </c>
      <c r="G38" s="17">
        <f>(VLOOKUP($D38,$C$6:$AJ$991,5,)/VLOOKUP($D38,$C$6:$AJ$991,4,))*$F38</f>
        <v>0</v>
      </c>
      <c r="H38" s="17">
        <f>(VLOOKUP($D38,$C$6:$AJ$991,6,)/VLOOKUP($D38,$C$6:$AJ$991,4,))*$F38</f>
        <v>0</v>
      </c>
      <c r="I38" s="17">
        <f>(VLOOKUP($D38,$C$6:$AJ$991,7,)/VLOOKUP($D38,$C$6:$AJ$991,4,))*$F38</f>
        <v>2212419.5881921626</v>
      </c>
      <c r="J38" s="17">
        <f>(VLOOKUP($D38,$C$6:$AJ$991,8,)/VLOOKUP($D38,$C$6:$AJ$991,4,))*$F38</f>
        <v>0</v>
      </c>
      <c r="K38" s="17">
        <f>(VLOOKUP($D38,$C$6:$AJ$991,9,)/VLOOKUP($D38,$C$6:$AJ$991,4,))*$F38</f>
        <v>200787.84490923048</v>
      </c>
      <c r="L38" s="17">
        <f>(VLOOKUP($D38,$C$6:$AJ$991,10,)/VLOOKUP($D38,$C$6:$AJ$991,4,))*$F38</f>
        <v>488986.67623607902</v>
      </c>
      <c r="M38" s="17">
        <f>(VLOOKUP($D38,$C$6:$AJ$991,11,)/VLOOKUP($D38,$C$6:$AJ$991,4,))*$F38</f>
        <v>0</v>
      </c>
      <c r="N38" s="17">
        <f>(VLOOKUP($D38,$C$6:$AJ$991,12,)/VLOOKUP($D38,$C$6:$AJ$991,4,))*$F38</f>
        <v>617157.83035639476</v>
      </c>
      <c r="O38" s="17">
        <f>(VLOOKUP($D38,$C$6:$AJ$991,13,)/VLOOKUP($D38,$C$6:$AJ$991,4,))*$F38</f>
        <v>1648386.9869853493</v>
      </c>
      <c r="P38" s="17">
        <f>(VLOOKUP($D38,$C$6:$AJ$991,14,)/VLOOKUP($D38,$C$6:$AJ$991,4,))*$F38</f>
        <v>3247750.3057741248</v>
      </c>
      <c r="Q38" s="17">
        <f>(VLOOKUP($D38,$C$6:$AJ$991,15,)/VLOOKUP($D38,$C$6:$AJ$991,4,))*$F38</f>
        <v>281737.1251827408</v>
      </c>
      <c r="R38" s="17">
        <f>(VLOOKUP($D38,$C$6:$AJ$991,16,)/VLOOKUP($D38,$C$6:$AJ$991,4,))*$F38</f>
        <v>239105.4932814108</v>
      </c>
      <c r="S38" s="17">
        <f>(VLOOKUP($D38,$C$6:$AJ$991,17,)/VLOOKUP($D38,$C$6:$AJ$991,4,))*$F38</f>
        <v>4843753.5231469078</v>
      </c>
      <c r="T38" s="17">
        <f>(VLOOKUP($D38,$C$6:$AJ$991,18,)/VLOOKUP($D38,$C$6:$AJ$991,4,))*$F38</f>
        <v>1169951.1607216727</v>
      </c>
      <c r="U38" s="17">
        <f>(VLOOKUP($D38,$C$6:$AJ$991,19,)/VLOOKUP($D38,$C$6:$AJ$991,4,))*$F38</f>
        <v>0</v>
      </c>
      <c r="V38" s="17">
        <f>(VLOOKUP($D38,$C$6:$AJ$991,20,)/VLOOKUP($D38,$C$6:$AJ$991,4,))*$F38</f>
        <v>0</v>
      </c>
      <c r="W38" s="17">
        <f>SUM(G38:V38)</f>
        <v>14950036.534786073</v>
      </c>
      <c r="X38" s="96" t="str">
        <f>IF(ABS(W38-F38)&lt;1,"ok","err")</f>
        <v>ok</v>
      </c>
    </row>
    <row r="39" spans="1:24" x14ac:dyDescent="0.2">
      <c r="A39" s="180" t="s">
        <v>60</v>
      </c>
      <c r="B39" s="16" t="s">
        <v>585</v>
      </c>
      <c r="C39" s="90" t="s">
        <v>395</v>
      </c>
      <c r="D39" s="90" t="s">
        <v>56</v>
      </c>
      <c r="F39" s="17">
        <v>82020795.779526263</v>
      </c>
      <c r="G39" s="17">
        <f>(VLOOKUP($D39,$C$6:$AJ$991,5,)/VLOOKUP($D39,$C$6:$AJ$991,4,))*$F39</f>
        <v>0</v>
      </c>
      <c r="H39" s="17">
        <f>(VLOOKUP($D39,$C$6:$AJ$991,6,)/VLOOKUP($D39,$C$6:$AJ$991,4,))*$F39</f>
        <v>0</v>
      </c>
      <c r="I39" s="17">
        <f>(VLOOKUP($D39,$C$6:$AJ$991,7,)/VLOOKUP($D39,$C$6:$AJ$991,4,))*$F39</f>
        <v>12138058.311730381</v>
      </c>
      <c r="J39" s="17">
        <f>(VLOOKUP($D39,$C$6:$AJ$991,8,)/VLOOKUP($D39,$C$6:$AJ$991,4,))*$F39</f>
        <v>0</v>
      </c>
      <c r="K39" s="17">
        <f>(VLOOKUP($D39,$C$6:$AJ$991,9,)/VLOOKUP($D39,$C$6:$AJ$991,4,))*$F39</f>
        <v>1101587.864617673</v>
      </c>
      <c r="L39" s="17">
        <f>(VLOOKUP($D39,$C$6:$AJ$991,10,)/VLOOKUP($D39,$C$6:$AJ$991,4,))*$F39</f>
        <v>2682741.0232173507</v>
      </c>
      <c r="M39" s="17">
        <f>(VLOOKUP($D39,$C$6:$AJ$991,11,)/VLOOKUP($D39,$C$6:$AJ$991,4,))*$F39</f>
        <v>0</v>
      </c>
      <c r="N39" s="17">
        <f>(VLOOKUP($D39,$C$6:$AJ$991,12,)/VLOOKUP($D39,$C$6:$AJ$991,4,))*$F39</f>
        <v>3385929.9440248297</v>
      </c>
      <c r="O39" s="17">
        <f>(VLOOKUP($D39,$C$6:$AJ$991,13,)/VLOOKUP($D39,$C$6:$AJ$991,4,))*$F39</f>
        <v>9043590.770535104</v>
      </c>
      <c r="P39" s="17">
        <f>(VLOOKUP($D39,$C$6:$AJ$991,14,)/VLOOKUP($D39,$C$6:$AJ$991,4,))*$F39</f>
        <v>17818221.644674078</v>
      </c>
      <c r="Q39" s="17">
        <f>(VLOOKUP($D39,$C$6:$AJ$991,15,)/VLOOKUP($D39,$C$6:$AJ$991,4,))*$F39</f>
        <v>1545702.1228246165</v>
      </c>
      <c r="R39" s="17">
        <f>(VLOOKUP($D39,$C$6:$AJ$991,16,)/VLOOKUP($D39,$C$6:$AJ$991,4,))*$F39</f>
        <v>1311811.0305994726</v>
      </c>
      <c r="S39" s="17">
        <f>(VLOOKUP($D39,$C$6:$AJ$991,17,)/VLOOKUP($D39,$C$6:$AJ$991,4,))*$F39</f>
        <v>26574417.902188648</v>
      </c>
      <c r="T39" s="17">
        <f>(VLOOKUP($D39,$C$6:$AJ$991,18,)/VLOOKUP($D39,$C$6:$AJ$991,4,))*$F39</f>
        <v>6418735.1651141075</v>
      </c>
      <c r="U39" s="17">
        <f>(VLOOKUP($D39,$C$6:$AJ$991,19,)/VLOOKUP($D39,$C$6:$AJ$991,4,))*$F39</f>
        <v>0</v>
      </c>
      <c r="V39" s="17">
        <f>(VLOOKUP($D39,$C$6:$AJ$991,20,)/VLOOKUP($D39,$C$6:$AJ$991,4,))*$F39</f>
        <v>0</v>
      </c>
      <c r="W39" s="17">
        <f>SUM(G39:V39)</f>
        <v>82020795.779526263</v>
      </c>
      <c r="X39" s="96" t="str">
        <f>IF(ABS(W39-F39)&lt;1,"ok","err")</f>
        <v>ok</v>
      </c>
    </row>
    <row r="40" spans="1:24" x14ac:dyDescent="0.2">
      <c r="A40" s="180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96"/>
    </row>
    <row r="41" spans="1:24" x14ac:dyDescent="0.2">
      <c r="A41" s="180" t="s">
        <v>67</v>
      </c>
      <c r="C41" s="90" t="s">
        <v>63</v>
      </c>
      <c r="F41" s="21">
        <f>F33+F36+F37+F38+F39</f>
        <v>1314556957.6577287</v>
      </c>
      <c r="G41" s="17">
        <f t="shared" ref="G41:V41" si="21">G33+G36+G37+G38+G39</f>
        <v>0</v>
      </c>
      <c r="H41" s="17">
        <f t="shared" si="21"/>
        <v>0</v>
      </c>
      <c r="I41" s="17">
        <f t="shared" si="21"/>
        <v>204582333.13693964</v>
      </c>
      <c r="J41" s="17">
        <f t="shared" si="21"/>
        <v>0</v>
      </c>
      <c r="K41" s="17">
        <f t="shared" si="21"/>
        <v>17496947.325069126</v>
      </c>
      <c r="L41" s="17">
        <f t="shared" si="21"/>
        <v>42611016.222775288</v>
      </c>
      <c r="M41" s="17">
        <f t="shared" si="21"/>
        <v>0</v>
      </c>
      <c r="N41" s="17">
        <f t="shared" si="21"/>
        <v>53780038.596865162</v>
      </c>
      <c r="O41" s="17">
        <f t="shared" si="21"/>
        <v>143642859.93333143</v>
      </c>
      <c r="P41" s="17">
        <f t="shared" si="21"/>
        <v>283013725.51110375</v>
      </c>
      <c r="Q41" s="17">
        <f t="shared" si="21"/>
        <v>24550986.346147116</v>
      </c>
      <c r="R41" s="17">
        <f t="shared" si="21"/>
        <v>20836003.409323853</v>
      </c>
      <c r="S41" s="17">
        <f t="shared" si="21"/>
        <v>422091786.92282164</v>
      </c>
      <c r="T41" s="17">
        <f t="shared" si="21"/>
        <v>101951260.25335179</v>
      </c>
      <c r="U41" s="17">
        <f t="shared" si="21"/>
        <v>0</v>
      </c>
      <c r="V41" s="17">
        <f t="shared" si="21"/>
        <v>0</v>
      </c>
      <c r="W41" s="17">
        <f>SUM(G41:V41)</f>
        <v>1314556957.6577287</v>
      </c>
      <c r="X41" s="96" t="str">
        <f>IF(ABS(W41-F41)&lt;1,"ok","err")</f>
        <v>ok</v>
      </c>
    </row>
    <row r="42" spans="1:24" x14ac:dyDescent="0.2">
      <c r="A42" s="180"/>
      <c r="F42" s="21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96"/>
    </row>
    <row r="43" spans="1:24" x14ac:dyDescent="0.2">
      <c r="A43" s="180"/>
      <c r="F43" s="2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96"/>
    </row>
    <row r="44" spans="1:24" x14ac:dyDescent="0.2">
      <c r="A44" s="180"/>
      <c r="F44" s="2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96"/>
    </row>
    <row r="45" spans="1:24" x14ac:dyDescent="0.2">
      <c r="A45" s="180"/>
      <c r="F45" s="161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96"/>
    </row>
    <row r="46" spans="1:24" x14ac:dyDescent="0.2">
      <c r="A46" s="180"/>
      <c r="F46" s="21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96"/>
    </row>
    <row r="47" spans="1:24" x14ac:dyDescent="0.2">
      <c r="A47" s="180"/>
      <c r="F47" s="21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96"/>
    </row>
    <row r="48" spans="1:24" x14ac:dyDescent="0.2">
      <c r="A48" s="180"/>
      <c r="F48" s="21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96"/>
    </row>
    <row r="49" spans="1:24" x14ac:dyDescent="0.2">
      <c r="A49" s="180"/>
      <c r="F49" s="21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96"/>
    </row>
    <row r="50" spans="1:24" x14ac:dyDescent="0.2">
      <c r="A50" s="180"/>
      <c r="F50" s="21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96"/>
    </row>
    <row r="51" spans="1:24" x14ac:dyDescent="0.2">
      <c r="A51" s="180"/>
      <c r="F51" s="21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96"/>
    </row>
    <row r="52" spans="1:24" x14ac:dyDescent="0.2">
      <c r="A52" s="185" t="s">
        <v>656</v>
      </c>
      <c r="F52" s="2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96"/>
    </row>
    <row r="53" spans="1:24" x14ac:dyDescent="0.2">
      <c r="A53" s="180"/>
      <c r="B53" s="90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96"/>
    </row>
    <row r="54" spans="1:24" x14ac:dyDescent="0.2">
      <c r="A54" s="184" t="s">
        <v>849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96"/>
    </row>
    <row r="55" spans="1:24" x14ac:dyDescent="0.2">
      <c r="A55" s="180"/>
      <c r="B55" s="16" t="s">
        <v>390</v>
      </c>
      <c r="C55" s="90" t="s">
        <v>68</v>
      </c>
      <c r="D55" s="90" t="s">
        <v>25</v>
      </c>
      <c r="F55" s="21">
        <v>7511795.6728567788</v>
      </c>
      <c r="G55" s="17">
        <f t="shared" ref="G55:G60" si="22">(VLOOKUP($D55,$C$6:$AJ$991,5,)/VLOOKUP($D55,$C$6:$AJ$991,4,))*$F55</f>
        <v>0</v>
      </c>
      <c r="H55" s="17">
        <f t="shared" ref="H55:H60" si="23">(VLOOKUP($D55,$C$6:$AJ$991,6,)/VLOOKUP($D55,$C$6:$AJ$991,4,))*$F55</f>
        <v>0</v>
      </c>
      <c r="I55" s="17">
        <f t="shared" ref="I55:I60" si="24">(VLOOKUP($D55,$C$6:$AJ$991,7,)/VLOOKUP($D55,$C$6:$AJ$991,4,))*$F55</f>
        <v>7511795.6728567788</v>
      </c>
      <c r="J55" s="17">
        <f t="shared" ref="J55:J60" si="25">(VLOOKUP($D55,$C$6:$AJ$991,8,)/VLOOKUP($D55,$C$6:$AJ$991,4,))*$F55</f>
        <v>0</v>
      </c>
      <c r="K55" s="17">
        <f t="shared" ref="K55:K60" si="26">(VLOOKUP($D55,$C$6:$AJ$991,9,)/VLOOKUP($D55,$C$6:$AJ$991,4,))*$F55</f>
        <v>0</v>
      </c>
      <c r="L55" s="17">
        <f t="shared" ref="L55:L60" si="27">(VLOOKUP($D55,$C$6:$AJ$991,10,)/VLOOKUP($D55,$C$6:$AJ$991,4,))*$F55</f>
        <v>0</v>
      </c>
      <c r="M55" s="17">
        <f t="shared" ref="M55:M60" si="28">(VLOOKUP($D55,$C$6:$AJ$991,11,)/VLOOKUP($D55,$C$6:$AJ$991,4,))*$F55</f>
        <v>0</v>
      </c>
      <c r="N55" s="17">
        <f t="shared" ref="N55:N60" si="29">(VLOOKUP($D55,$C$6:$AJ$991,12,)/VLOOKUP($D55,$C$6:$AJ$991,4,))*$F55</f>
        <v>0</v>
      </c>
      <c r="O55" s="17">
        <f t="shared" ref="O55:O60" si="30">(VLOOKUP($D55,$C$6:$AJ$991,13,)/VLOOKUP($D55,$C$6:$AJ$991,4,))*$F55</f>
        <v>0</v>
      </c>
      <c r="P55" s="17">
        <f t="shared" ref="P55:P60" si="31">(VLOOKUP($D55,$C$6:$AJ$991,14,)/VLOOKUP($D55,$C$6:$AJ$991,4,))*$F55</f>
        <v>0</v>
      </c>
      <c r="Q55" s="17">
        <f t="shared" ref="Q55:Q60" si="32">(VLOOKUP($D55,$C$6:$AJ$991,15,)/VLOOKUP($D55,$C$6:$AJ$991,4,))*$F55</f>
        <v>0</v>
      </c>
      <c r="R55" s="17">
        <f t="shared" ref="R55:R60" si="33">(VLOOKUP($D55,$C$6:$AJ$991,16,)/VLOOKUP($D55,$C$6:$AJ$991,4,))*$F55</f>
        <v>0</v>
      </c>
      <c r="S55" s="17">
        <f t="shared" ref="S55:S60" si="34">(VLOOKUP($D55,$C$6:$AJ$991,17,)/VLOOKUP($D55,$C$6:$AJ$991,4,))*$F55</f>
        <v>0</v>
      </c>
      <c r="T55" s="17">
        <f t="shared" ref="T55:T60" si="35">(VLOOKUP($D55,$C$6:$AJ$991,18,)/VLOOKUP($D55,$C$6:$AJ$991,4,))*$F55</f>
        <v>0</v>
      </c>
      <c r="U55" s="17">
        <f t="shared" ref="U55:U60" si="36">(VLOOKUP($D55,$C$6:$AJ$991,19,)/VLOOKUP($D55,$C$6:$AJ$991,4,))*$F55</f>
        <v>0</v>
      </c>
      <c r="V55" s="17">
        <f t="shared" ref="V55:V60" si="37">(VLOOKUP($D55,$C$6:$AJ$991,20,)/VLOOKUP($D55,$C$6:$AJ$991,4,))*$F55</f>
        <v>0</v>
      </c>
      <c r="W55" s="17">
        <f>SUM(G55:V55)</f>
        <v>7511795.6728567788</v>
      </c>
      <c r="X55" s="96" t="str">
        <f>IF(ABS(W55-F55)&lt;1,"ok","err")</f>
        <v>ok</v>
      </c>
    </row>
    <row r="56" spans="1:24" x14ac:dyDescent="0.2">
      <c r="A56" s="180"/>
      <c r="B56" s="16" t="s">
        <v>4</v>
      </c>
      <c r="C56" s="90" t="s">
        <v>69</v>
      </c>
      <c r="D56" s="90" t="s">
        <v>28</v>
      </c>
      <c r="F56" s="17">
        <v>27960808.898280546</v>
      </c>
      <c r="G56" s="17">
        <f t="shared" si="22"/>
        <v>0</v>
      </c>
      <c r="H56" s="17">
        <f t="shared" si="23"/>
        <v>0</v>
      </c>
      <c r="I56" s="17">
        <f t="shared" si="24"/>
        <v>0</v>
      </c>
      <c r="J56" s="17">
        <f t="shared" si="25"/>
        <v>0</v>
      </c>
      <c r="K56" s="17">
        <f t="shared" si="26"/>
        <v>8139167.7838182813</v>
      </c>
      <c r="L56" s="17">
        <f t="shared" si="27"/>
        <v>19821641.114462264</v>
      </c>
      <c r="M56" s="17">
        <f t="shared" si="28"/>
        <v>0</v>
      </c>
      <c r="N56" s="17">
        <f t="shared" si="29"/>
        <v>0</v>
      </c>
      <c r="O56" s="17">
        <f t="shared" si="30"/>
        <v>0</v>
      </c>
      <c r="P56" s="17">
        <f t="shared" si="31"/>
        <v>0</v>
      </c>
      <c r="Q56" s="17">
        <f t="shared" si="32"/>
        <v>0</v>
      </c>
      <c r="R56" s="17">
        <f t="shared" si="33"/>
        <v>0</v>
      </c>
      <c r="S56" s="17">
        <f t="shared" si="34"/>
        <v>0</v>
      </c>
      <c r="T56" s="17">
        <f t="shared" si="35"/>
        <v>0</v>
      </c>
      <c r="U56" s="17">
        <f t="shared" si="36"/>
        <v>0</v>
      </c>
      <c r="V56" s="17">
        <f t="shared" si="37"/>
        <v>0</v>
      </c>
      <c r="W56" s="17">
        <f t="shared" ref="W56:W61" si="38">SUM(G56:V56)</f>
        <v>27960808.898280546</v>
      </c>
      <c r="X56" s="96" t="str">
        <f t="shared" ref="X56:X61" si="39">IF(ABS(W56-F56)&lt;1,"ok","err")</f>
        <v>ok</v>
      </c>
    </row>
    <row r="57" spans="1:24" x14ac:dyDescent="0.2">
      <c r="A57" s="180"/>
      <c r="B57" s="16" t="s">
        <v>8</v>
      </c>
      <c r="C57" s="90" t="s">
        <v>586</v>
      </c>
      <c r="D57" s="90" t="s">
        <v>40</v>
      </c>
      <c r="F57" s="17">
        <v>6134857.5011456367</v>
      </c>
      <c r="G57" s="17">
        <f t="shared" si="22"/>
        <v>0</v>
      </c>
      <c r="H57" s="17">
        <f t="shared" si="23"/>
        <v>0</v>
      </c>
      <c r="I57" s="17">
        <f t="shared" si="24"/>
        <v>0</v>
      </c>
      <c r="J57" s="17">
        <f t="shared" si="25"/>
        <v>0</v>
      </c>
      <c r="K57" s="17">
        <f t="shared" si="26"/>
        <v>0</v>
      </c>
      <c r="L57" s="17">
        <f t="shared" si="27"/>
        <v>0</v>
      </c>
      <c r="M57" s="17">
        <f t="shared" si="28"/>
        <v>0</v>
      </c>
      <c r="N57" s="17">
        <f t="shared" si="29"/>
        <v>0</v>
      </c>
      <c r="O57" s="17">
        <f t="shared" si="30"/>
        <v>1866837.1375986172</v>
      </c>
      <c r="P57" s="17">
        <f t="shared" si="31"/>
        <v>3678153.8148118667</v>
      </c>
      <c r="Q57" s="17">
        <f t="shared" si="32"/>
        <v>319073.93863458454</v>
      </c>
      <c r="R57" s="17">
        <f t="shared" si="33"/>
        <v>270792.61010056839</v>
      </c>
      <c r="S57" s="17">
        <f t="shared" si="34"/>
        <v>0</v>
      </c>
      <c r="T57" s="17">
        <f t="shared" si="35"/>
        <v>0</v>
      </c>
      <c r="U57" s="17">
        <f t="shared" si="36"/>
        <v>0</v>
      </c>
      <c r="V57" s="17">
        <f t="shared" si="37"/>
        <v>0</v>
      </c>
      <c r="W57" s="17">
        <f t="shared" si="38"/>
        <v>6134857.5011456367</v>
      </c>
      <c r="X57" s="96" t="str">
        <f t="shared" si="39"/>
        <v>ok</v>
      </c>
    </row>
    <row r="58" spans="1:24" x14ac:dyDescent="0.2">
      <c r="A58" s="180"/>
      <c r="B58" s="16" t="s">
        <v>391</v>
      </c>
      <c r="C58" s="90" t="s">
        <v>587</v>
      </c>
      <c r="D58" s="90" t="s">
        <v>200</v>
      </c>
      <c r="F58" s="17">
        <v>0</v>
      </c>
      <c r="G58" s="17">
        <f t="shared" si="22"/>
        <v>0</v>
      </c>
      <c r="H58" s="17">
        <f t="shared" si="23"/>
        <v>0</v>
      </c>
      <c r="I58" s="17">
        <f t="shared" si="24"/>
        <v>0</v>
      </c>
      <c r="J58" s="17">
        <f t="shared" si="25"/>
        <v>0</v>
      </c>
      <c r="K58" s="17">
        <f t="shared" si="26"/>
        <v>0</v>
      </c>
      <c r="L58" s="17">
        <f t="shared" si="27"/>
        <v>0</v>
      </c>
      <c r="M58" s="17">
        <f t="shared" si="28"/>
        <v>0</v>
      </c>
      <c r="N58" s="17">
        <f t="shared" si="29"/>
        <v>0</v>
      </c>
      <c r="O58" s="17">
        <f t="shared" si="30"/>
        <v>0</v>
      </c>
      <c r="P58" s="17">
        <f t="shared" si="31"/>
        <v>0</v>
      </c>
      <c r="Q58" s="17">
        <f t="shared" si="32"/>
        <v>0</v>
      </c>
      <c r="R58" s="17">
        <f t="shared" si="33"/>
        <v>0</v>
      </c>
      <c r="S58" s="17">
        <f t="shared" si="34"/>
        <v>0</v>
      </c>
      <c r="T58" s="17">
        <f t="shared" si="35"/>
        <v>0</v>
      </c>
      <c r="U58" s="17">
        <f t="shared" si="36"/>
        <v>0</v>
      </c>
      <c r="V58" s="17">
        <f t="shared" si="37"/>
        <v>0</v>
      </c>
      <c r="W58" s="17">
        <f t="shared" si="38"/>
        <v>0</v>
      </c>
      <c r="X58" s="96" t="str">
        <f t="shared" si="39"/>
        <v>ok</v>
      </c>
    </row>
    <row r="59" spans="1:24" x14ac:dyDescent="0.2">
      <c r="A59" s="180"/>
      <c r="B59" s="16" t="s">
        <v>703</v>
      </c>
      <c r="C59" s="90" t="s">
        <v>70</v>
      </c>
      <c r="D59" s="90" t="s">
        <v>56</v>
      </c>
      <c r="F59" s="17">
        <v>63690.950100261594</v>
      </c>
      <c r="G59" s="17">
        <f t="shared" si="22"/>
        <v>0</v>
      </c>
      <c r="H59" s="17">
        <f t="shared" si="23"/>
        <v>0</v>
      </c>
      <c r="I59" s="17">
        <f t="shared" si="24"/>
        <v>9425.4689789227796</v>
      </c>
      <c r="J59" s="17">
        <f t="shared" si="25"/>
        <v>0</v>
      </c>
      <c r="K59" s="17">
        <f t="shared" si="26"/>
        <v>855.40718118625364</v>
      </c>
      <c r="L59" s="17">
        <f t="shared" si="27"/>
        <v>2083.2073502548492</v>
      </c>
      <c r="M59" s="17">
        <f t="shared" si="28"/>
        <v>0</v>
      </c>
      <c r="N59" s="17">
        <f t="shared" si="29"/>
        <v>2629.2489978705808</v>
      </c>
      <c r="O59" s="17">
        <f t="shared" si="30"/>
        <v>7022.5469409200177</v>
      </c>
      <c r="P59" s="17">
        <f t="shared" si="31"/>
        <v>13836.240612647376</v>
      </c>
      <c r="Q59" s="17">
        <f t="shared" si="32"/>
        <v>1200.2716608519556</v>
      </c>
      <c r="R59" s="17">
        <f t="shared" si="33"/>
        <v>1018.6500886369029</v>
      </c>
      <c r="S59" s="17">
        <f t="shared" si="34"/>
        <v>20635.619399516774</v>
      </c>
      <c r="T59" s="17">
        <f t="shared" si="35"/>
        <v>4984.2888894541056</v>
      </c>
      <c r="U59" s="17">
        <f t="shared" si="36"/>
        <v>0</v>
      </c>
      <c r="V59" s="17">
        <f t="shared" si="37"/>
        <v>0</v>
      </c>
      <c r="W59" s="17">
        <f t="shared" si="38"/>
        <v>63690.950100261594</v>
      </c>
      <c r="X59" s="96" t="str">
        <f t="shared" si="39"/>
        <v>ok</v>
      </c>
    </row>
    <row r="60" spans="1:24" x14ac:dyDescent="0.2">
      <c r="A60" s="180"/>
      <c r="B60" s="16" t="s">
        <v>392</v>
      </c>
      <c r="D60" s="90" t="s">
        <v>56</v>
      </c>
      <c r="F60" s="17">
        <v>7676248.5590955438</v>
      </c>
      <c r="G60" s="17">
        <f t="shared" si="22"/>
        <v>0</v>
      </c>
      <c r="H60" s="17">
        <f t="shared" si="23"/>
        <v>0</v>
      </c>
      <c r="I60" s="17">
        <f t="shared" si="24"/>
        <v>1135989.3761101009</v>
      </c>
      <c r="J60" s="17">
        <f t="shared" si="25"/>
        <v>0</v>
      </c>
      <c r="K60" s="17">
        <f t="shared" si="26"/>
        <v>103096.56445200353</v>
      </c>
      <c r="L60" s="17">
        <f t="shared" si="27"/>
        <v>251075.19036091992</v>
      </c>
      <c r="M60" s="17">
        <f t="shared" si="28"/>
        <v>0</v>
      </c>
      <c r="N60" s="17">
        <f t="shared" si="29"/>
        <v>316885.97516030067</v>
      </c>
      <c r="O60" s="17">
        <f t="shared" si="30"/>
        <v>846381.09105859755</v>
      </c>
      <c r="P60" s="17">
        <f t="shared" si="31"/>
        <v>1667590.4802634972</v>
      </c>
      <c r="Q60" s="17">
        <f t="shared" si="32"/>
        <v>144660.79706197063</v>
      </c>
      <c r="R60" s="17">
        <f t="shared" si="33"/>
        <v>122771.15136157244</v>
      </c>
      <c r="S60" s="17">
        <f t="shared" si="34"/>
        <v>2487074.5911660385</v>
      </c>
      <c r="T60" s="17">
        <f t="shared" si="35"/>
        <v>600723.34210054216</v>
      </c>
      <c r="U60" s="17">
        <f t="shared" si="36"/>
        <v>0</v>
      </c>
      <c r="V60" s="17">
        <f t="shared" si="37"/>
        <v>0</v>
      </c>
      <c r="W60" s="17">
        <f>SUM(G60:V60)</f>
        <v>7676248.5590955429</v>
      </c>
      <c r="X60" s="96" t="str">
        <f>IF(ABS(W60-F60)&lt;1,"ok","err")</f>
        <v>ok</v>
      </c>
    </row>
    <row r="61" spans="1:24" x14ac:dyDescent="0.2">
      <c r="C61" s="90" t="s">
        <v>71</v>
      </c>
      <c r="F61" s="21">
        <f t="shared" ref="F61:V61" si="40">+SUM(F55:F60)</f>
        <v>49347401.581478767</v>
      </c>
      <c r="G61" s="21">
        <f t="shared" si="40"/>
        <v>0</v>
      </c>
      <c r="H61" s="21">
        <f t="shared" si="40"/>
        <v>0</v>
      </c>
      <c r="I61" s="21">
        <f t="shared" si="40"/>
        <v>8657210.5179458018</v>
      </c>
      <c r="J61" s="21">
        <f t="shared" si="40"/>
        <v>0</v>
      </c>
      <c r="K61" s="21">
        <f t="shared" si="40"/>
        <v>8243119.7554514715</v>
      </c>
      <c r="L61" s="21">
        <f t="shared" si="40"/>
        <v>20074799.512173437</v>
      </c>
      <c r="M61" s="21">
        <f t="shared" si="40"/>
        <v>0</v>
      </c>
      <c r="N61" s="21">
        <f t="shared" si="40"/>
        <v>319515.22415817127</v>
      </c>
      <c r="O61" s="21">
        <f t="shared" si="40"/>
        <v>2720240.7755981348</v>
      </c>
      <c r="P61" s="21">
        <f t="shared" si="40"/>
        <v>5359580.535688011</v>
      </c>
      <c r="Q61" s="21">
        <f t="shared" si="40"/>
        <v>464935.00735740713</v>
      </c>
      <c r="R61" s="21">
        <f t="shared" si="40"/>
        <v>394582.41155077773</v>
      </c>
      <c r="S61" s="21">
        <f t="shared" si="40"/>
        <v>2507710.2105655554</v>
      </c>
      <c r="T61" s="21">
        <f t="shared" si="40"/>
        <v>605707.63098999625</v>
      </c>
      <c r="U61" s="21">
        <f t="shared" si="40"/>
        <v>0</v>
      </c>
      <c r="V61" s="21">
        <f t="shared" si="40"/>
        <v>0</v>
      </c>
      <c r="W61" s="17">
        <f t="shared" si="38"/>
        <v>49347401.58147876</v>
      </c>
      <c r="X61" s="96" t="str">
        <f t="shared" si="39"/>
        <v>ok</v>
      </c>
    </row>
    <row r="62" spans="1:24" x14ac:dyDescent="0.2">
      <c r="A62" s="180"/>
      <c r="B62" s="162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96"/>
    </row>
    <row r="63" spans="1:24" x14ac:dyDescent="0.2">
      <c r="A63" s="180"/>
      <c r="C63" s="90" t="s">
        <v>72</v>
      </c>
      <c r="F63" s="21">
        <f t="shared" ref="F63:V63" si="41">F41+F61</f>
        <v>1363904359.2392075</v>
      </c>
      <c r="G63" s="17">
        <f t="shared" si="41"/>
        <v>0</v>
      </c>
      <c r="H63" s="17">
        <f t="shared" si="41"/>
        <v>0</v>
      </c>
      <c r="I63" s="17">
        <f t="shared" si="41"/>
        <v>213239543.65488544</v>
      </c>
      <c r="J63" s="17">
        <f t="shared" si="41"/>
        <v>0</v>
      </c>
      <c r="K63" s="17">
        <f t="shared" si="41"/>
        <v>25740067.080520596</v>
      </c>
      <c r="L63" s="17">
        <f t="shared" si="41"/>
        <v>62685815.734948725</v>
      </c>
      <c r="M63" s="17">
        <f t="shared" si="41"/>
        <v>0</v>
      </c>
      <c r="N63" s="17">
        <f t="shared" si="41"/>
        <v>54099553.82102333</v>
      </c>
      <c r="O63" s="17">
        <f t="shared" si="41"/>
        <v>146363100.70892957</v>
      </c>
      <c r="P63" s="17">
        <f t="shared" si="41"/>
        <v>288373306.04679173</v>
      </c>
      <c r="Q63" s="17">
        <f t="shared" si="41"/>
        <v>25015921.353504524</v>
      </c>
      <c r="R63" s="17">
        <f t="shared" si="41"/>
        <v>21230585.820874631</v>
      </c>
      <c r="S63" s="17">
        <f t="shared" si="41"/>
        <v>424599497.13338721</v>
      </c>
      <c r="T63" s="17">
        <f t="shared" si="41"/>
        <v>102556967.88434179</v>
      </c>
      <c r="U63" s="17">
        <f t="shared" si="41"/>
        <v>0</v>
      </c>
      <c r="V63" s="17">
        <f t="shared" si="41"/>
        <v>0</v>
      </c>
      <c r="W63" s="17">
        <f>SUM(G63:V63)</f>
        <v>1363904359.2392073</v>
      </c>
      <c r="X63" s="96" t="str">
        <f>IF(ABS(W63-F63)&lt;1,"ok","err")</f>
        <v>ok</v>
      </c>
    </row>
    <row r="64" spans="1:24" x14ac:dyDescent="0.2">
      <c r="A64" s="180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96"/>
    </row>
    <row r="65" spans="6:20" x14ac:dyDescent="0.2">
      <c r="F65" s="17"/>
      <c r="T65" s="22">
        <f>T63+S63+R63+Q63+P63+O63+N63+M63</f>
        <v>1062238932.7688528</v>
      </c>
    </row>
    <row r="66" spans="6:20" x14ac:dyDescent="0.2">
      <c r="F66" s="17"/>
    </row>
    <row r="67" spans="6:20" x14ac:dyDescent="0.2">
      <c r="F67" s="17"/>
    </row>
    <row r="68" spans="6:20" x14ac:dyDescent="0.2">
      <c r="F68" s="100"/>
    </row>
    <row r="91" spans="1:24" x14ac:dyDescent="0.2">
      <c r="F91" s="17"/>
    </row>
    <row r="93" spans="1:24" x14ac:dyDescent="0.2">
      <c r="A93" s="180"/>
      <c r="F93" s="21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96"/>
    </row>
    <row r="95" spans="1:24" x14ac:dyDescent="0.2">
      <c r="A95" s="92" t="s">
        <v>91</v>
      </c>
    </row>
    <row r="97" spans="1:25" x14ac:dyDescent="0.2">
      <c r="A97" s="6" t="s">
        <v>588</v>
      </c>
      <c r="F97" s="22">
        <f>F63</f>
        <v>1363904359.2392075</v>
      </c>
      <c r="G97" s="22">
        <f t="shared" ref="G97:V97" si="42">G63</f>
        <v>0</v>
      </c>
      <c r="H97" s="22">
        <f t="shared" si="42"/>
        <v>0</v>
      </c>
      <c r="I97" s="22">
        <f t="shared" si="42"/>
        <v>213239543.65488544</v>
      </c>
      <c r="J97" s="22">
        <f t="shared" si="42"/>
        <v>0</v>
      </c>
      <c r="K97" s="22">
        <f t="shared" si="42"/>
        <v>25740067.080520596</v>
      </c>
      <c r="L97" s="22">
        <f t="shared" si="42"/>
        <v>62685815.734948725</v>
      </c>
      <c r="M97" s="22">
        <f t="shared" si="42"/>
        <v>0</v>
      </c>
      <c r="N97" s="22">
        <f t="shared" si="42"/>
        <v>54099553.82102333</v>
      </c>
      <c r="O97" s="22">
        <f t="shared" si="42"/>
        <v>146363100.70892957</v>
      </c>
      <c r="P97" s="22">
        <f t="shared" si="42"/>
        <v>288373306.04679173</v>
      </c>
      <c r="Q97" s="22">
        <f t="shared" si="42"/>
        <v>25015921.353504524</v>
      </c>
      <c r="R97" s="22">
        <f t="shared" si="42"/>
        <v>21230585.820874631</v>
      </c>
      <c r="S97" s="22">
        <f t="shared" si="42"/>
        <v>424599497.13338721</v>
      </c>
      <c r="T97" s="22">
        <f t="shared" si="42"/>
        <v>102556967.88434179</v>
      </c>
      <c r="U97" s="22">
        <f t="shared" si="42"/>
        <v>0</v>
      </c>
      <c r="V97" s="22">
        <f t="shared" si="42"/>
        <v>0</v>
      </c>
      <c r="W97" s="17">
        <f>SUM(G97:V97)</f>
        <v>1363904359.2392073</v>
      </c>
      <c r="X97" s="96" t="str">
        <f>IF(ABS(W97-F97)&lt;1,"ok","err")</f>
        <v>ok</v>
      </c>
    </row>
    <row r="98" spans="1:25" x14ac:dyDescent="0.2">
      <c r="A98" s="180"/>
      <c r="F98" s="21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96"/>
    </row>
    <row r="99" spans="1:25" x14ac:dyDescent="0.2">
      <c r="A99" s="6" t="s">
        <v>73</v>
      </c>
    </row>
    <row r="100" spans="1:25" x14ac:dyDescent="0.2">
      <c r="A100" s="6"/>
      <c r="F100" s="22"/>
    </row>
    <row r="101" spans="1:25" x14ac:dyDescent="0.2">
      <c r="A101" s="6" t="s">
        <v>93</v>
      </c>
    </row>
    <row r="102" spans="1:25" x14ac:dyDescent="0.2">
      <c r="A102" s="16" t="s">
        <v>390</v>
      </c>
      <c r="C102" s="90" t="s">
        <v>74</v>
      </c>
      <c r="D102" s="90" t="s">
        <v>198</v>
      </c>
      <c r="F102" s="21">
        <v>42254312.154594198</v>
      </c>
      <c r="G102" s="17">
        <f>(VLOOKUP($D102,$C$6:$AJ$991,5,)/VLOOKUP($D102,$C$6:$AJ$991,4,))*$F102</f>
        <v>0</v>
      </c>
      <c r="H102" s="17">
        <f>(VLOOKUP($D102,$C$6:$AJ$991,6,)/VLOOKUP($D102,$C$6:$AJ$991,4,))*$F102</f>
        <v>0</v>
      </c>
      <c r="I102" s="17">
        <f>(VLOOKUP($D102,$C$6:$AJ$991,7,)/VLOOKUP($D102,$C$6:$AJ$991,4,))*$F102</f>
        <v>42254312.154594198</v>
      </c>
      <c r="J102" s="17">
        <f>(VLOOKUP($D102,$C$6:$AJ$991,8,)/VLOOKUP($D102,$C$6:$AJ$991,4,))*$F102</f>
        <v>0</v>
      </c>
      <c r="K102" s="17">
        <f>(VLOOKUP($D102,$C$6:$AJ$991,9,)/VLOOKUP($D102,$C$6:$AJ$991,4,))*$F102</f>
        <v>0</v>
      </c>
      <c r="L102" s="17">
        <f>(VLOOKUP($D102,$C$6:$AJ$991,10,)/VLOOKUP($D102,$C$6:$AJ$991,4,))*$F102</f>
        <v>0</v>
      </c>
      <c r="M102" s="17">
        <f>(VLOOKUP($D102,$C$6:$AJ$991,11,)/VLOOKUP($D102,$C$6:$AJ$991,4,))*$F102</f>
        <v>0</v>
      </c>
      <c r="N102" s="17">
        <f>(VLOOKUP($D102,$C$6:$AJ$991,12,)/VLOOKUP($D102,$C$6:$AJ$991,4,))*$F102</f>
        <v>0</v>
      </c>
      <c r="O102" s="17">
        <f>(VLOOKUP($D102,$C$6:$AJ$991,13,)/VLOOKUP($D102,$C$6:$AJ$991,4,))*$F102</f>
        <v>0</v>
      </c>
      <c r="P102" s="17">
        <f>(VLOOKUP($D102,$C$6:$AJ$991,14,)/VLOOKUP($D102,$C$6:$AJ$991,4,))*$F102</f>
        <v>0</v>
      </c>
      <c r="Q102" s="17">
        <f>(VLOOKUP($D102,$C$6:$AJ$991,15,)/VLOOKUP($D102,$C$6:$AJ$991,4,))*$F102</f>
        <v>0</v>
      </c>
      <c r="R102" s="17">
        <f>(VLOOKUP($D102,$C$6:$AJ$991,16,)/VLOOKUP($D102,$C$6:$AJ$991,4,))*$F102</f>
        <v>0</v>
      </c>
      <c r="S102" s="17">
        <f>(VLOOKUP($D102,$C$6:$AJ$991,17,)/VLOOKUP($D102,$C$6:$AJ$991,4,))*$F102</f>
        <v>0</v>
      </c>
      <c r="T102" s="17">
        <f>(VLOOKUP($D102,$C$6:$AJ$991,18,)/VLOOKUP($D102,$C$6:$AJ$991,4,))*$F102</f>
        <v>0</v>
      </c>
      <c r="U102" s="17">
        <f>(VLOOKUP($D102,$C$6:$AJ$991,19,)/VLOOKUP($D102,$C$6:$AJ$991,4,))*$F102</f>
        <v>0</v>
      </c>
      <c r="V102" s="17">
        <f>(VLOOKUP($D102,$C$6:$AJ$991,20,)/VLOOKUP($D102,$C$6:$AJ$991,4,))*$F102</f>
        <v>0</v>
      </c>
      <c r="W102" s="17">
        <f>SUM(G102:V102)</f>
        <v>42254312.154594198</v>
      </c>
      <c r="X102" s="96" t="str">
        <f>IF(ABS(W102-F102)&lt;1,"ok","err")</f>
        <v>ok</v>
      </c>
    </row>
    <row r="103" spans="1:25" x14ac:dyDescent="0.2">
      <c r="A103" s="16" t="s">
        <v>4</v>
      </c>
      <c r="C103" s="90" t="s">
        <v>393</v>
      </c>
      <c r="D103" s="90" t="s">
        <v>28</v>
      </c>
      <c r="F103" s="17">
        <v>12620640.3531473</v>
      </c>
      <c r="G103" s="17">
        <f>(VLOOKUP($D103,$C$6:$AJ$991,5,)/VLOOKUP($D103,$C$6:$AJ$991,4,))*$F103</f>
        <v>0</v>
      </c>
      <c r="H103" s="17">
        <f>(VLOOKUP($D103,$C$6:$AJ$991,6,)/VLOOKUP($D103,$C$6:$AJ$991,4,))*$F103</f>
        <v>0</v>
      </c>
      <c r="I103" s="17">
        <f>(VLOOKUP($D103,$C$6:$AJ$991,7,)/VLOOKUP($D103,$C$6:$AJ$991,4,))*$F103</f>
        <v>0</v>
      </c>
      <c r="J103" s="17">
        <f>(VLOOKUP($D103,$C$6:$AJ$991,8,)/VLOOKUP($D103,$C$6:$AJ$991,4,))*$F103</f>
        <v>0</v>
      </c>
      <c r="K103" s="17">
        <f>(VLOOKUP($D103,$C$6:$AJ$991,9,)/VLOOKUP($D103,$C$6:$AJ$991,4,))*$F103</f>
        <v>3673767.4416783541</v>
      </c>
      <c r="L103" s="17">
        <f>(VLOOKUP($D103,$C$6:$AJ$991,10,)/VLOOKUP($D103,$C$6:$AJ$991,4,))*$F103</f>
        <v>8946872.9114689454</v>
      </c>
      <c r="M103" s="17">
        <f>(VLOOKUP($D103,$C$6:$AJ$991,11,)/VLOOKUP($D103,$C$6:$AJ$991,4,))*$F103</f>
        <v>0</v>
      </c>
      <c r="N103" s="17">
        <f>(VLOOKUP($D103,$C$6:$AJ$991,12,)/VLOOKUP($D103,$C$6:$AJ$991,4,))*$F103</f>
        <v>0</v>
      </c>
      <c r="O103" s="17">
        <f>(VLOOKUP($D103,$C$6:$AJ$991,13,)/VLOOKUP($D103,$C$6:$AJ$991,4,))*$F103</f>
        <v>0</v>
      </c>
      <c r="P103" s="17">
        <f>(VLOOKUP($D103,$C$6:$AJ$991,14,)/VLOOKUP($D103,$C$6:$AJ$991,4,))*$F103</f>
        <v>0</v>
      </c>
      <c r="Q103" s="17">
        <f>(VLOOKUP($D103,$C$6:$AJ$991,15,)/VLOOKUP($D103,$C$6:$AJ$991,4,))*$F103</f>
        <v>0</v>
      </c>
      <c r="R103" s="17">
        <f>(VLOOKUP($D103,$C$6:$AJ$991,16,)/VLOOKUP($D103,$C$6:$AJ$991,4,))*$F103</f>
        <v>0</v>
      </c>
      <c r="S103" s="17">
        <f>(VLOOKUP($D103,$C$6:$AJ$991,17,)/VLOOKUP($D103,$C$6:$AJ$991,4,))*$F103</f>
        <v>0</v>
      </c>
      <c r="T103" s="17">
        <f>(VLOOKUP($D103,$C$6:$AJ$991,18,)/VLOOKUP($D103,$C$6:$AJ$991,4,))*$F103</f>
        <v>0</v>
      </c>
      <c r="U103" s="17">
        <f>(VLOOKUP($D103,$C$6:$AJ$991,19,)/VLOOKUP($D103,$C$6:$AJ$991,4,))*$F103</f>
        <v>0</v>
      </c>
      <c r="V103" s="17">
        <f>(VLOOKUP($D103,$C$6:$AJ$991,20,)/VLOOKUP($D103,$C$6:$AJ$991,4,))*$F103</f>
        <v>0</v>
      </c>
      <c r="W103" s="17">
        <f>SUM(G103:V103)</f>
        <v>12620640.3531473</v>
      </c>
      <c r="X103" s="96" t="str">
        <f>IF(ABS(W103-F103)&lt;1,"ok","err")</f>
        <v>ok</v>
      </c>
    </row>
    <row r="104" spans="1:25" x14ac:dyDescent="0.2">
      <c r="A104" s="16" t="s">
        <v>5</v>
      </c>
      <c r="C104" s="90" t="s">
        <v>75</v>
      </c>
      <c r="D104" s="90" t="s">
        <v>665</v>
      </c>
      <c r="F104" s="17">
        <v>309198363.60650498</v>
      </c>
      <c r="G104" s="17">
        <f>(VLOOKUP($D104,$C$6:$AJ$991,5,)/VLOOKUP($D104,$C$6:$AJ$991,4,))*$F104</f>
        <v>0</v>
      </c>
      <c r="H104" s="17">
        <f>(VLOOKUP($D104,$C$6:$AJ$991,6,)/VLOOKUP($D104,$C$6:$AJ$991,4,))*$F104</f>
        <v>0</v>
      </c>
      <c r="I104" s="17">
        <f>(VLOOKUP($D104,$C$6:$AJ$991,7,)/VLOOKUP($D104,$C$6:$AJ$991,4,))*$F104</f>
        <v>0</v>
      </c>
      <c r="J104" s="17">
        <f>(VLOOKUP($D104,$C$6:$AJ$991,8,)/VLOOKUP($D104,$C$6:$AJ$991,4,))*$F104</f>
        <v>0</v>
      </c>
      <c r="K104" s="17">
        <f>(VLOOKUP($D104,$C$6:$AJ$991,9,)/VLOOKUP($D104,$C$6:$AJ$991,4,))*$F104</f>
        <v>0</v>
      </c>
      <c r="L104" s="17">
        <f>(VLOOKUP($D104,$C$6:$AJ$991,10,)/VLOOKUP($D104,$C$6:$AJ$991,4,))*$F104</f>
        <v>0</v>
      </c>
      <c r="M104" s="17">
        <f>(VLOOKUP($D104,$C$6:$AJ$991,11,)/VLOOKUP($D104,$C$6:$AJ$991,4,))*$F104</f>
        <v>0</v>
      </c>
      <c r="N104" s="17">
        <f>(VLOOKUP($D104,$C$6:$AJ$991,12,)/VLOOKUP($D104,$C$6:$AJ$991,4,))*$F104</f>
        <v>5493905.8991419049</v>
      </c>
      <c r="O104" s="17">
        <f>(VLOOKUP($D104,$C$6:$AJ$991,13,)/VLOOKUP($D104,$C$6:$AJ$991,4,))*$F104</f>
        <v>55518340.726883724</v>
      </c>
      <c r="P104" s="17">
        <f>(VLOOKUP($D104,$C$6:$AJ$991,14,)/VLOOKUP($D104,$C$6:$AJ$991,4,))*$F104</f>
        <v>92933434.030015782</v>
      </c>
      <c r="Q104" s="17">
        <f>(VLOOKUP($D104,$C$6:$AJ$991,15,)/VLOOKUP($D104,$C$6:$AJ$991,4,))*$F104</f>
        <v>8078933.8293606658</v>
      </c>
      <c r="R104" s="17">
        <f>(VLOOKUP($D104,$C$6:$AJ$991,16,)/VLOOKUP($D104,$C$6:$AJ$991,4,))*$F104</f>
        <v>5822297.9430689327</v>
      </c>
      <c r="S104" s="17">
        <f>(VLOOKUP($D104,$C$6:$AJ$991,17,)/VLOOKUP($D104,$C$6:$AJ$991,4,))*$F104</f>
        <v>117015269.89223272</v>
      </c>
      <c r="T104" s="17">
        <f>(VLOOKUP($D104,$C$6:$AJ$991,18,)/VLOOKUP($D104,$C$6:$AJ$991,4,))*$F104</f>
        <v>24336181.285801265</v>
      </c>
      <c r="U104" s="17">
        <f>(VLOOKUP($D104,$C$6:$AJ$991,19,)/VLOOKUP($D104,$C$6:$AJ$991,4,))*$F104</f>
        <v>0</v>
      </c>
      <c r="V104" s="17">
        <f>(VLOOKUP($D104,$C$6:$AJ$991,20,)/VLOOKUP($D104,$C$6:$AJ$991,4,))*$F104</f>
        <v>0</v>
      </c>
      <c r="W104" s="17">
        <f>SUM(G104:V104)</f>
        <v>309198363.60650504</v>
      </c>
      <c r="X104" s="96" t="str">
        <f>IF(ABS(W104-F104)&lt;1,"ok","err")</f>
        <v>ok</v>
      </c>
    </row>
    <row r="105" spans="1:25" x14ac:dyDescent="0.2">
      <c r="A105" s="16" t="s">
        <v>702</v>
      </c>
      <c r="C105" s="90" t="s">
        <v>76</v>
      </c>
      <c r="D105" s="90" t="s">
        <v>62</v>
      </c>
      <c r="F105" s="17">
        <f>6218972.2415149+296.69</f>
        <v>6219268.9315149002</v>
      </c>
      <c r="G105" s="17">
        <f>(VLOOKUP($D105,$C$6:$AJ$991,5,)/VLOOKUP($D105,$C$6:$AJ$991,4,))*$F105</f>
        <v>0</v>
      </c>
      <c r="H105" s="17">
        <f>(VLOOKUP($D105,$C$6:$AJ$991,6,)/VLOOKUP($D105,$C$6:$AJ$991,4,))*$F105</f>
        <v>0</v>
      </c>
      <c r="I105" s="17">
        <f>(VLOOKUP($D105,$C$6:$AJ$991,7,)/VLOOKUP($D105,$C$6:$AJ$991,4,))*$F105</f>
        <v>920374.50051057013</v>
      </c>
      <c r="J105" s="17">
        <f>(VLOOKUP($D105,$C$6:$AJ$991,8,)/VLOOKUP($D105,$C$6:$AJ$991,4,))*$F105</f>
        <v>0</v>
      </c>
      <c r="K105" s="17">
        <f>(VLOOKUP($D105,$C$6:$AJ$991,9,)/VLOOKUP($D105,$C$6:$AJ$991,4,))*$F105</f>
        <v>83528.465148843083</v>
      </c>
      <c r="L105" s="17">
        <f>(VLOOKUP($D105,$C$6:$AJ$991,10,)/VLOOKUP($D105,$C$6:$AJ$991,4,))*$F105</f>
        <v>203420.21481777594</v>
      </c>
      <c r="M105" s="17">
        <f>(VLOOKUP($D105,$C$6:$AJ$991,11,)/VLOOKUP($D105,$C$6:$AJ$991,4,))*$F105</f>
        <v>0</v>
      </c>
      <c r="N105" s="17">
        <f>(VLOOKUP($D105,$C$6:$AJ$991,12,)/VLOOKUP($D105,$C$6:$AJ$991,4,))*$F105</f>
        <v>256739.87560135371</v>
      </c>
      <c r="O105" s="17">
        <f>(VLOOKUP($D105,$C$6:$AJ$991,13,)/VLOOKUP($D105,$C$6:$AJ$991,4,))*$F105</f>
        <v>685734.91117679968</v>
      </c>
      <c r="P105" s="17">
        <f>(VLOOKUP($D105,$C$6:$AJ$991,14,)/VLOOKUP($D105,$C$6:$AJ$991,4,))*$F105</f>
        <v>1351075.8001841942</v>
      </c>
      <c r="Q105" s="17">
        <f>(VLOOKUP($D105,$C$6:$AJ$991,15,)/VLOOKUP($D105,$C$6:$AJ$991,4,))*$F105</f>
        <v>117203.65668848295</v>
      </c>
      <c r="R105" s="17">
        <f>(VLOOKUP($D105,$C$6:$AJ$991,16,)/VLOOKUP($D105,$C$6:$AJ$991,4,))*$F105</f>
        <v>99468.744591994531</v>
      </c>
      <c r="S105" s="17">
        <f>(VLOOKUP($D105,$C$6:$AJ$991,17,)/VLOOKUP($D105,$C$6:$AJ$991,4,))*$F105</f>
        <v>2015018.874925744</v>
      </c>
      <c r="T105" s="17">
        <f>(VLOOKUP($D105,$C$6:$AJ$991,18,)/VLOOKUP($D105,$C$6:$AJ$991,4,))*$F105</f>
        <v>486703.88786914182</v>
      </c>
      <c r="U105" s="17">
        <f>(VLOOKUP($D105,$C$6:$AJ$991,19,)/VLOOKUP($D105,$C$6:$AJ$991,4,))*$F105</f>
        <v>0</v>
      </c>
      <c r="V105" s="17">
        <f>(VLOOKUP($D105,$C$6:$AJ$991,20,)/VLOOKUP($D105,$C$6:$AJ$991,4,))*$F105</f>
        <v>0</v>
      </c>
      <c r="W105" s="17">
        <f>SUM(G105:V105)</f>
        <v>6219268.9315149002</v>
      </c>
      <c r="X105" s="96" t="str">
        <f>IF(ABS(W105-F105)&lt;1,"ok","err")</f>
        <v>ok</v>
      </c>
    </row>
    <row r="106" spans="1:25" ht="12.75" customHeight="1" x14ac:dyDescent="0.2">
      <c r="A106" s="16" t="s">
        <v>392</v>
      </c>
      <c r="C106" s="90" t="s">
        <v>394</v>
      </c>
      <c r="D106" s="90" t="s">
        <v>395</v>
      </c>
      <c r="F106" s="17">
        <v>38259135.318459898</v>
      </c>
      <c r="G106" s="17">
        <f>(VLOOKUP($D106,$C$6:$AJ$991,5,)/VLOOKUP($D106,$C$6:$AJ$991,4,))*$F106</f>
        <v>0</v>
      </c>
      <c r="H106" s="17">
        <f>(VLOOKUP($D106,$C$6:$AJ$991,6,)/VLOOKUP($D106,$C$6:$AJ$991,4,))*$F106</f>
        <v>0</v>
      </c>
      <c r="I106" s="17">
        <f>(VLOOKUP($D106,$C$6:$AJ$991,7,)/VLOOKUP($D106,$C$6:$AJ$991,4,))*$F106</f>
        <v>5661876.4916661456</v>
      </c>
      <c r="J106" s="17">
        <f>(VLOOKUP($D106,$C$6:$AJ$991,8,)/VLOOKUP($D106,$C$6:$AJ$991,4,))*$F106</f>
        <v>0</v>
      </c>
      <c r="K106" s="17">
        <f>(VLOOKUP($D106,$C$6:$AJ$991,9,)/VLOOKUP($D106,$C$6:$AJ$991,4,))*$F106</f>
        <v>513842.84652479703</v>
      </c>
      <c r="L106" s="17">
        <f>(VLOOKUP($D106,$C$6:$AJ$991,10,)/VLOOKUP($D106,$C$6:$AJ$991,4,))*$F106</f>
        <v>1251382.0532484599</v>
      </c>
      <c r="M106" s="17">
        <f>(VLOOKUP($D106,$C$6:$AJ$991,11,)/VLOOKUP($D106,$C$6:$AJ$991,4,))*$F106</f>
        <v>0</v>
      </c>
      <c r="N106" s="17">
        <f>(VLOOKUP($D106,$C$6:$AJ$991,12,)/VLOOKUP($D106,$C$6:$AJ$991,4,))*$F106</f>
        <v>1579389.113164485</v>
      </c>
      <c r="O106" s="17">
        <f>(VLOOKUP($D106,$C$6:$AJ$991,13,)/VLOOKUP($D106,$C$6:$AJ$991,4,))*$F106</f>
        <v>4218441.9178854739</v>
      </c>
      <c r="P106" s="17">
        <f>(VLOOKUP($D106,$C$6:$AJ$991,14,)/VLOOKUP($D106,$C$6:$AJ$991,4,))*$F106</f>
        <v>8311425.7373257838</v>
      </c>
      <c r="Q106" s="17">
        <f>(VLOOKUP($D106,$C$6:$AJ$991,15,)/VLOOKUP($D106,$C$6:$AJ$991,4,))*$F106</f>
        <v>721002.83979370201</v>
      </c>
      <c r="R106" s="17">
        <f>(VLOOKUP($D106,$C$6:$AJ$991,16,)/VLOOKUP($D106,$C$6:$AJ$991,4,))*$F106</f>
        <v>611902.81385298981</v>
      </c>
      <c r="S106" s="17">
        <f>(VLOOKUP($D106,$C$6:$AJ$991,17,)/VLOOKUP($D106,$C$6:$AJ$991,4,))*$F106</f>
        <v>12395810.609568937</v>
      </c>
      <c r="T106" s="17">
        <f>(VLOOKUP($D106,$C$6:$AJ$991,18,)/VLOOKUP($D106,$C$6:$AJ$991,4,))*$F106</f>
        <v>2994060.8954291232</v>
      </c>
      <c r="U106" s="17">
        <f>(VLOOKUP($D106,$C$6:$AJ$991,19,)/VLOOKUP($D106,$C$6:$AJ$991,4,))*$F106</f>
        <v>0</v>
      </c>
      <c r="V106" s="17">
        <f>(VLOOKUP($D106,$C$6:$AJ$991,20,)/VLOOKUP($D106,$C$6:$AJ$991,4,))*$F106</f>
        <v>0</v>
      </c>
      <c r="W106" s="17">
        <f>SUM(G106:V106)</f>
        <v>38259135.318459898</v>
      </c>
      <c r="X106" s="96" t="str">
        <f>IF(ABS(W106-F106)&lt;1,"ok","err")</f>
        <v>ok</v>
      </c>
    </row>
    <row r="108" spans="1:25" x14ac:dyDescent="0.2">
      <c r="A108" s="18" t="s">
        <v>77</v>
      </c>
      <c r="C108" s="90" t="s">
        <v>78</v>
      </c>
      <c r="F108" s="22">
        <f>SUM(F102:F107)</f>
        <v>408551720.36422133</v>
      </c>
      <c r="G108" s="22">
        <f t="shared" ref="G108:V108" si="43">SUM(G102:G107)</f>
        <v>0</v>
      </c>
      <c r="H108" s="22">
        <f t="shared" si="43"/>
        <v>0</v>
      </c>
      <c r="I108" s="22">
        <f t="shared" si="43"/>
        <v>48836563.146770917</v>
      </c>
      <c r="J108" s="22">
        <f t="shared" si="43"/>
        <v>0</v>
      </c>
      <c r="K108" s="22">
        <f t="shared" si="43"/>
        <v>4271138.7533519939</v>
      </c>
      <c r="L108" s="22">
        <f t="shared" si="43"/>
        <v>10401675.17953518</v>
      </c>
      <c r="M108" s="22">
        <f t="shared" si="43"/>
        <v>0</v>
      </c>
      <c r="N108" s="22">
        <f t="shared" si="43"/>
        <v>7330034.8879077435</v>
      </c>
      <c r="O108" s="22">
        <f t="shared" si="43"/>
        <v>60422517.555946</v>
      </c>
      <c r="P108" s="22">
        <f t="shared" si="43"/>
        <v>102595935.56752576</v>
      </c>
      <c r="Q108" s="22">
        <f>SUM(Q102:Q107)</f>
        <v>8917140.3258428499</v>
      </c>
      <c r="R108" s="22">
        <f>SUM(R102:R107)</f>
        <v>6533669.501513917</v>
      </c>
      <c r="S108" s="22">
        <f t="shared" si="43"/>
        <v>131426099.3767274</v>
      </c>
      <c r="T108" s="22">
        <f t="shared" si="43"/>
        <v>27816946.069099531</v>
      </c>
      <c r="U108" s="22">
        <f t="shared" si="43"/>
        <v>0</v>
      </c>
      <c r="V108" s="22">
        <f t="shared" si="43"/>
        <v>0</v>
      </c>
      <c r="W108" s="17">
        <f>SUM(G108:V108)</f>
        <v>408551720.36422133</v>
      </c>
      <c r="X108" s="96" t="str">
        <f>IF(ABS(W108-F108)&lt;1,"ok","err")</f>
        <v>ok</v>
      </c>
      <c r="Y108" s="100">
        <f>+W108-F108</f>
        <v>0</v>
      </c>
    </row>
    <row r="109" spans="1:25" x14ac:dyDescent="0.2">
      <c r="F109" s="22"/>
      <c r="G109" s="16"/>
      <c r="H109" s="16"/>
      <c r="I109" s="16"/>
      <c r="J109" s="16"/>
      <c r="K109" s="16"/>
      <c r="L109" s="16"/>
      <c r="M109" s="16"/>
      <c r="N109" s="16"/>
    </row>
    <row r="110" spans="1:25" x14ac:dyDescent="0.2">
      <c r="A110" s="16" t="s">
        <v>589</v>
      </c>
      <c r="C110" s="90" t="s">
        <v>590</v>
      </c>
      <c r="D110" s="90" t="s">
        <v>634</v>
      </c>
      <c r="F110" s="21">
        <v>7666909.8729198929</v>
      </c>
      <c r="G110" s="17">
        <f t="shared" ref="G110:G117" si="44">(VLOOKUP($D110,$C$6:$AJ$991,5,)/VLOOKUP($D110,$C$6:$AJ$991,4,))*$F110</f>
        <v>0</v>
      </c>
      <c r="H110" s="17">
        <f t="shared" ref="H110:H117" si="45">(VLOOKUP($D110,$C$6:$AJ$991,6,)/VLOOKUP($D110,$C$6:$AJ$991,4,))*$F110</f>
        <v>0</v>
      </c>
      <c r="I110" s="17">
        <f t="shared" ref="I110:I117" si="46">(VLOOKUP($D110,$C$6:$AJ$991,7,)/VLOOKUP($D110,$C$6:$AJ$991,4,))*$F110</f>
        <v>0</v>
      </c>
      <c r="J110" s="17">
        <f t="shared" ref="J110:J117" si="47">(VLOOKUP($D110,$C$6:$AJ$991,8,)/VLOOKUP($D110,$C$6:$AJ$991,4,))*$F110</f>
        <v>0</v>
      </c>
      <c r="K110" s="17">
        <f t="shared" ref="K110:K117" si="48">(VLOOKUP($D110,$C$6:$AJ$991,9,)/VLOOKUP($D110,$C$6:$AJ$991,4,))*$F110</f>
        <v>0</v>
      </c>
      <c r="L110" s="17">
        <f t="shared" ref="L110:L117" si="49">(VLOOKUP($D110,$C$6:$AJ$991,10,)/VLOOKUP($D110,$C$6:$AJ$991,4,))*$F110</f>
        <v>0</v>
      </c>
      <c r="M110" s="17">
        <f t="shared" ref="M110:M117" si="50">(VLOOKUP($D110,$C$6:$AJ$991,11,)/VLOOKUP($D110,$C$6:$AJ$991,4,))*$F110</f>
        <v>0</v>
      </c>
      <c r="N110" s="17">
        <f t="shared" ref="N110:N117" si="51">(VLOOKUP($D110,$C$6:$AJ$991,12,)/VLOOKUP($D110,$C$6:$AJ$991,4,))*$F110</f>
        <v>0</v>
      </c>
      <c r="O110" s="17">
        <f t="shared" ref="O110:O117" si="52">(VLOOKUP($D110,$C$6:$AJ$991,13,)/VLOOKUP($D110,$C$6:$AJ$991,4,))*$F110</f>
        <v>1231689.1912011704</v>
      </c>
      <c r="P110" s="17">
        <f t="shared" ref="P110:P117" si="53">(VLOOKUP($D110,$C$6:$AJ$991,14,)/VLOOKUP($D110,$C$6:$AJ$991,4,))*$F110</f>
        <v>2426747.468237469</v>
      </c>
      <c r="Q110" s="17">
        <f t="shared" ref="Q110:Q117" si="54">(VLOOKUP($D110,$C$6:$AJ$991,15,)/VLOOKUP($D110,$C$6:$AJ$991,4,))*$F110</f>
        <v>210516.44704033146</v>
      </c>
      <c r="R110" s="17">
        <f t="shared" ref="R110:R117" si="55">(VLOOKUP($D110,$C$6:$AJ$991,16,)/VLOOKUP($D110,$C$6:$AJ$991,4,))*$F110</f>
        <v>178661.71836877969</v>
      </c>
      <c r="S110" s="17">
        <f t="shared" ref="S110:S117" si="56">(VLOOKUP($D110,$C$6:$AJ$991,17,)/VLOOKUP($D110,$C$6:$AJ$991,4,))*$F110</f>
        <v>3619295.048072143</v>
      </c>
      <c r="T110" s="17">
        <f t="shared" ref="T110:T117" si="57">(VLOOKUP($D110,$C$6:$AJ$991,18,)/VLOOKUP($D110,$C$6:$AJ$991,4,))*$F110</f>
        <v>0</v>
      </c>
      <c r="U110" s="17">
        <f t="shared" ref="U110:U117" si="58">(VLOOKUP($D110,$C$6:$AJ$991,19,)/VLOOKUP($D110,$C$6:$AJ$991,4,))*$F110</f>
        <v>0</v>
      </c>
      <c r="V110" s="17">
        <f t="shared" ref="V110:V117" si="59">(VLOOKUP($D110,$C$6:$AJ$991,20,)/VLOOKUP($D110,$C$6:$AJ$991,4,))*$F110</f>
        <v>0</v>
      </c>
      <c r="W110" s="17">
        <f t="shared" ref="W110:W117" si="60">SUM(G110:V110)</f>
        <v>7666909.8729198938</v>
      </c>
      <c r="X110" s="96" t="str">
        <f t="shared" ref="X110:X117" si="61">IF(ABS(W110-F110)&lt;1,"ok","err")</f>
        <v>ok</v>
      </c>
    </row>
    <row r="111" spans="1:25" x14ac:dyDescent="0.2">
      <c r="A111" s="16" t="s">
        <v>79</v>
      </c>
      <c r="C111" s="90" t="s">
        <v>80</v>
      </c>
      <c r="D111" s="90" t="s">
        <v>56</v>
      </c>
      <c r="F111" s="17">
        <v>223198271.04374599</v>
      </c>
      <c r="G111" s="17">
        <f t="shared" si="44"/>
        <v>0</v>
      </c>
      <c r="H111" s="17">
        <f t="shared" si="45"/>
        <v>0</v>
      </c>
      <c r="I111" s="17">
        <f t="shared" si="46"/>
        <v>33030569.909230884</v>
      </c>
      <c r="J111" s="17">
        <f t="shared" si="47"/>
        <v>0</v>
      </c>
      <c r="K111" s="17">
        <f t="shared" si="48"/>
        <v>2997684.9706060831</v>
      </c>
      <c r="L111" s="17">
        <f t="shared" si="49"/>
        <v>7300382.2061149618</v>
      </c>
      <c r="M111" s="17">
        <f t="shared" si="50"/>
        <v>0</v>
      </c>
      <c r="N111" s="17">
        <f t="shared" si="51"/>
        <v>9213928.0312887821</v>
      </c>
      <c r="O111" s="17">
        <f t="shared" si="52"/>
        <v>24609781.029635757</v>
      </c>
      <c r="P111" s="17">
        <f t="shared" si="53"/>
        <v>48487657.628386848</v>
      </c>
      <c r="Q111" s="17">
        <f t="shared" si="54"/>
        <v>4206226.4585979488</v>
      </c>
      <c r="R111" s="17">
        <f t="shared" si="55"/>
        <v>3569752.6606905102</v>
      </c>
      <c r="S111" s="17">
        <f t="shared" si="56"/>
        <v>72315369.210829377</v>
      </c>
      <c r="T111" s="17">
        <f t="shared" si="57"/>
        <v>17466918.938364841</v>
      </c>
      <c r="U111" s="17">
        <f t="shared" si="58"/>
        <v>0</v>
      </c>
      <c r="V111" s="17">
        <f t="shared" si="59"/>
        <v>0</v>
      </c>
      <c r="W111" s="17">
        <f t="shared" si="60"/>
        <v>223198271.04374596</v>
      </c>
      <c r="X111" s="96" t="str">
        <f t="shared" si="61"/>
        <v>ok</v>
      </c>
    </row>
    <row r="112" spans="1:25" hidden="1" x14ac:dyDescent="0.2">
      <c r="A112" s="16" t="s">
        <v>731</v>
      </c>
      <c r="D112" s="90" t="s">
        <v>56</v>
      </c>
      <c r="F112" s="17">
        <v>0</v>
      </c>
      <c r="G112" s="17">
        <f t="shared" si="44"/>
        <v>0</v>
      </c>
      <c r="H112" s="17">
        <f t="shared" si="45"/>
        <v>0</v>
      </c>
      <c r="I112" s="17">
        <f t="shared" si="46"/>
        <v>0</v>
      </c>
      <c r="J112" s="17">
        <f t="shared" si="47"/>
        <v>0</v>
      </c>
      <c r="K112" s="17">
        <f t="shared" si="48"/>
        <v>0</v>
      </c>
      <c r="L112" s="17">
        <f t="shared" si="49"/>
        <v>0</v>
      </c>
      <c r="M112" s="17">
        <f t="shared" si="50"/>
        <v>0</v>
      </c>
      <c r="N112" s="17">
        <f t="shared" si="51"/>
        <v>0</v>
      </c>
      <c r="O112" s="17">
        <f t="shared" si="52"/>
        <v>0</v>
      </c>
      <c r="P112" s="17">
        <f t="shared" si="53"/>
        <v>0</v>
      </c>
      <c r="Q112" s="17">
        <f t="shared" si="54"/>
        <v>0</v>
      </c>
      <c r="R112" s="17">
        <f t="shared" si="55"/>
        <v>0</v>
      </c>
      <c r="S112" s="17">
        <f t="shared" si="56"/>
        <v>0</v>
      </c>
      <c r="T112" s="17">
        <f t="shared" si="57"/>
        <v>0</v>
      </c>
      <c r="U112" s="17">
        <f t="shared" si="58"/>
        <v>0</v>
      </c>
      <c r="V112" s="17">
        <f t="shared" si="59"/>
        <v>0</v>
      </c>
      <c r="W112" s="17">
        <f t="shared" si="60"/>
        <v>0</v>
      </c>
      <c r="X112" s="96" t="str">
        <f t="shared" si="61"/>
        <v>ok</v>
      </c>
    </row>
    <row r="113" spans="1:24" hidden="1" x14ac:dyDescent="0.2">
      <c r="A113" s="16" t="s">
        <v>732</v>
      </c>
      <c r="D113" s="90" t="s">
        <v>78</v>
      </c>
      <c r="F113" s="17">
        <v>0</v>
      </c>
      <c r="G113" s="17">
        <f t="shared" si="44"/>
        <v>0</v>
      </c>
      <c r="H113" s="17">
        <f t="shared" si="45"/>
        <v>0</v>
      </c>
      <c r="I113" s="17">
        <f t="shared" si="46"/>
        <v>0</v>
      </c>
      <c r="J113" s="17">
        <f t="shared" si="47"/>
        <v>0</v>
      </c>
      <c r="K113" s="17">
        <f t="shared" si="48"/>
        <v>0</v>
      </c>
      <c r="L113" s="17">
        <f t="shared" si="49"/>
        <v>0</v>
      </c>
      <c r="M113" s="17">
        <f t="shared" si="50"/>
        <v>0</v>
      </c>
      <c r="N113" s="17">
        <f t="shared" si="51"/>
        <v>0</v>
      </c>
      <c r="O113" s="17">
        <f t="shared" si="52"/>
        <v>0</v>
      </c>
      <c r="P113" s="17">
        <f t="shared" si="53"/>
        <v>0</v>
      </c>
      <c r="Q113" s="17">
        <f t="shared" si="54"/>
        <v>0</v>
      </c>
      <c r="R113" s="17">
        <f t="shared" si="55"/>
        <v>0</v>
      </c>
      <c r="S113" s="17">
        <f t="shared" si="56"/>
        <v>0</v>
      </c>
      <c r="T113" s="17">
        <f t="shared" si="57"/>
        <v>0</v>
      </c>
      <c r="U113" s="17">
        <f t="shared" si="58"/>
        <v>0</v>
      </c>
      <c r="V113" s="17">
        <f t="shared" si="59"/>
        <v>0</v>
      </c>
      <c r="W113" s="17">
        <f t="shared" si="60"/>
        <v>0</v>
      </c>
      <c r="X113" s="96" t="str">
        <f t="shared" si="61"/>
        <v>ok</v>
      </c>
    </row>
    <row r="114" spans="1:24" hidden="1" x14ac:dyDescent="0.2">
      <c r="A114" s="187" t="s">
        <v>734</v>
      </c>
      <c r="D114" s="90" t="s">
        <v>78</v>
      </c>
      <c r="F114" s="17">
        <v>0</v>
      </c>
      <c r="G114" s="17">
        <f t="shared" si="44"/>
        <v>0</v>
      </c>
      <c r="H114" s="17">
        <f t="shared" si="45"/>
        <v>0</v>
      </c>
      <c r="I114" s="17">
        <f t="shared" si="46"/>
        <v>0</v>
      </c>
      <c r="J114" s="17">
        <f t="shared" si="47"/>
        <v>0</v>
      </c>
      <c r="K114" s="17">
        <f t="shared" si="48"/>
        <v>0</v>
      </c>
      <c r="L114" s="17">
        <f t="shared" si="49"/>
        <v>0</v>
      </c>
      <c r="M114" s="17">
        <f t="shared" si="50"/>
        <v>0</v>
      </c>
      <c r="N114" s="17">
        <f t="shared" si="51"/>
        <v>0</v>
      </c>
      <c r="O114" s="17">
        <f t="shared" si="52"/>
        <v>0</v>
      </c>
      <c r="P114" s="17">
        <f t="shared" si="53"/>
        <v>0</v>
      </c>
      <c r="Q114" s="17">
        <f t="shared" si="54"/>
        <v>0</v>
      </c>
      <c r="R114" s="17">
        <f t="shared" si="55"/>
        <v>0</v>
      </c>
      <c r="S114" s="17">
        <f t="shared" si="56"/>
        <v>0</v>
      </c>
      <c r="T114" s="17">
        <f t="shared" si="57"/>
        <v>0</v>
      </c>
      <c r="U114" s="17">
        <f t="shared" si="58"/>
        <v>0</v>
      </c>
      <c r="V114" s="17">
        <f t="shared" si="59"/>
        <v>0</v>
      </c>
      <c r="W114" s="17">
        <f t="shared" si="60"/>
        <v>0</v>
      </c>
      <c r="X114" s="96" t="str">
        <f t="shared" si="61"/>
        <v>ok</v>
      </c>
    </row>
    <row r="115" spans="1:24" hidden="1" x14ac:dyDescent="0.2">
      <c r="A115" s="187" t="s">
        <v>735</v>
      </c>
      <c r="D115" s="90" t="s">
        <v>78</v>
      </c>
      <c r="F115" s="17">
        <v>0</v>
      </c>
      <c r="G115" s="17">
        <f t="shared" si="44"/>
        <v>0</v>
      </c>
      <c r="H115" s="17">
        <f t="shared" si="45"/>
        <v>0</v>
      </c>
      <c r="I115" s="17">
        <f t="shared" si="46"/>
        <v>0</v>
      </c>
      <c r="J115" s="17">
        <f t="shared" si="47"/>
        <v>0</v>
      </c>
      <c r="K115" s="17">
        <f t="shared" si="48"/>
        <v>0</v>
      </c>
      <c r="L115" s="17">
        <f t="shared" si="49"/>
        <v>0</v>
      </c>
      <c r="M115" s="17">
        <f t="shared" si="50"/>
        <v>0</v>
      </c>
      <c r="N115" s="17">
        <f t="shared" si="51"/>
        <v>0</v>
      </c>
      <c r="O115" s="17">
        <f t="shared" si="52"/>
        <v>0</v>
      </c>
      <c r="P115" s="17">
        <f t="shared" si="53"/>
        <v>0</v>
      </c>
      <c r="Q115" s="17">
        <f t="shared" si="54"/>
        <v>0</v>
      </c>
      <c r="R115" s="17">
        <f t="shared" si="55"/>
        <v>0</v>
      </c>
      <c r="S115" s="17">
        <f t="shared" si="56"/>
        <v>0</v>
      </c>
      <c r="T115" s="17">
        <f t="shared" si="57"/>
        <v>0</v>
      </c>
      <c r="U115" s="17">
        <f t="shared" si="58"/>
        <v>0</v>
      </c>
      <c r="V115" s="17">
        <f t="shared" si="59"/>
        <v>0</v>
      </c>
      <c r="W115" s="17">
        <f t="shared" si="60"/>
        <v>0</v>
      </c>
      <c r="X115" s="96" t="str">
        <f t="shared" si="61"/>
        <v>ok</v>
      </c>
    </row>
    <row r="116" spans="1:24" hidden="1" x14ac:dyDescent="0.2">
      <c r="A116" s="187" t="s">
        <v>736</v>
      </c>
      <c r="D116" s="90" t="s">
        <v>78</v>
      </c>
      <c r="F116" s="17">
        <v>0</v>
      </c>
      <c r="G116" s="17">
        <f t="shared" si="44"/>
        <v>0</v>
      </c>
      <c r="H116" s="17">
        <f t="shared" si="45"/>
        <v>0</v>
      </c>
      <c r="I116" s="17">
        <f t="shared" si="46"/>
        <v>0</v>
      </c>
      <c r="J116" s="17">
        <f t="shared" si="47"/>
        <v>0</v>
      </c>
      <c r="K116" s="17">
        <f t="shared" si="48"/>
        <v>0</v>
      </c>
      <c r="L116" s="17">
        <f t="shared" si="49"/>
        <v>0</v>
      </c>
      <c r="M116" s="17">
        <f t="shared" si="50"/>
        <v>0</v>
      </c>
      <c r="N116" s="17">
        <f t="shared" si="51"/>
        <v>0</v>
      </c>
      <c r="O116" s="17">
        <f t="shared" si="52"/>
        <v>0</v>
      </c>
      <c r="P116" s="17">
        <f t="shared" si="53"/>
        <v>0</v>
      </c>
      <c r="Q116" s="17">
        <f t="shared" si="54"/>
        <v>0</v>
      </c>
      <c r="R116" s="17">
        <f t="shared" si="55"/>
        <v>0</v>
      </c>
      <c r="S116" s="17">
        <f t="shared" si="56"/>
        <v>0</v>
      </c>
      <c r="T116" s="17">
        <f t="shared" si="57"/>
        <v>0</v>
      </c>
      <c r="U116" s="17">
        <f t="shared" si="58"/>
        <v>0</v>
      </c>
      <c r="V116" s="17">
        <f t="shared" si="59"/>
        <v>0</v>
      </c>
      <c r="W116" s="17">
        <f t="shared" si="60"/>
        <v>0</v>
      </c>
      <c r="X116" s="96" t="str">
        <f t="shared" si="61"/>
        <v>ok</v>
      </c>
    </row>
    <row r="117" spans="1:24" hidden="1" x14ac:dyDescent="0.2">
      <c r="A117" s="16" t="s">
        <v>733</v>
      </c>
      <c r="C117" s="90" t="s">
        <v>81</v>
      </c>
      <c r="D117" s="90" t="s">
        <v>56</v>
      </c>
      <c r="F117" s="17">
        <v>0</v>
      </c>
      <c r="G117" s="17">
        <f t="shared" si="44"/>
        <v>0</v>
      </c>
      <c r="H117" s="17">
        <f t="shared" si="45"/>
        <v>0</v>
      </c>
      <c r="I117" s="17">
        <f t="shared" si="46"/>
        <v>0</v>
      </c>
      <c r="J117" s="17">
        <f t="shared" si="47"/>
        <v>0</v>
      </c>
      <c r="K117" s="17">
        <f t="shared" si="48"/>
        <v>0</v>
      </c>
      <c r="L117" s="17">
        <f t="shared" si="49"/>
        <v>0</v>
      </c>
      <c r="M117" s="17">
        <f t="shared" si="50"/>
        <v>0</v>
      </c>
      <c r="N117" s="17">
        <f t="shared" si="51"/>
        <v>0</v>
      </c>
      <c r="O117" s="17">
        <f t="shared" si="52"/>
        <v>0</v>
      </c>
      <c r="P117" s="17">
        <f t="shared" si="53"/>
        <v>0</v>
      </c>
      <c r="Q117" s="17">
        <f t="shared" si="54"/>
        <v>0</v>
      </c>
      <c r="R117" s="17">
        <f t="shared" si="55"/>
        <v>0</v>
      </c>
      <c r="S117" s="17">
        <f t="shared" si="56"/>
        <v>0</v>
      </c>
      <c r="T117" s="17">
        <f t="shared" si="57"/>
        <v>0</v>
      </c>
      <c r="U117" s="17">
        <f t="shared" si="58"/>
        <v>0</v>
      </c>
      <c r="V117" s="17">
        <f t="shared" si="59"/>
        <v>0</v>
      </c>
      <c r="W117" s="17">
        <f t="shared" si="60"/>
        <v>0</v>
      </c>
      <c r="X117" s="96" t="str">
        <f t="shared" si="61"/>
        <v>ok</v>
      </c>
    </row>
    <row r="118" spans="1:24" x14ac:dyDescent="0.2">
      <c r="G118" s="16"/>
      <c r="H118" s="16"/>
      <c r="I118" s="16"/>
      <c r="J118" s="16"/>
      <c r="K118" s="16"/>
      <c r="L118" s="16"/>
      <c r="M118" s="16"/>
      <c r="N118" s="16"/>
    </row>
    <row r="119" spans="1:24" x14ac:dyDescent="0.2">
      <c r="A119" s="6" t="s">
        <v>591</v>
      </c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17"/>
      <c r="X119" s="96"/>
    </row>
    <row r="121" spans="1:24" x14ac:dyDescent="0.2">
      <c r="A121" s="16" t="s">
        <v>82</v>
      </c>
      <c r="C121" s="90" t="s">
        <v>83</v>
      </c>
      <c r="D121" s="90" t="s">
        <v>56</v>
      </c>
      <c r="F121" s="21">
        <v>768184.50299676857</v>
      </c>
      <c r="G121" s="17">
        <f>(VLOOKUP($D121,$C$6:$AJ$991,5,)/VLOOKUP($D121,$C$6:$AJ$991,4,))*$F121</f>
        <v>0</v>
      </c>
      <c r="H121" s="17">
        <f>(VLOOKUP($D121,$C$6:$AJ$991,6,)/VLOOKUP($D121,$C$6:$AJ$991,4,))*$F121</f>
        <v>0</v>
      </c>
      <c r="I121" s="17">
        <f>(VLOOKUP($D121,$C$6:$AJ$991,7,)/VLOOKUP($D121,$C$6:$AJ$991,4,))*$F121</f>
        <v>113681.75842387875</v>
      </c>
      <c r="J121" s="17">
        <f>(VLOOKUP($D121,$C$6:$AJ$991,8,)/VLOOKUP($D121,$C$6:$AJ$991,4,))*$F121</f>
        <v>0</v>
      </c>
      <c r="K121" s="17">
        <f>(VLOOKUP($D121,$C$6:$AJ$991,9,)/VLOOKUP($D121,$C$6:$AJ$991,4,))*$F121</f>
        <v>10317.172837035918</v>
      </c>
      <c r="L121" s="17">
        <f>(VLOOKUP($D121,$C$6:$AJ$991,10,)/VLOOKUP($D121,$C$6:$AJ$991,4,))*$F121</f>
        <v>25125.824006009978</v>
      </c>
      <c r="M121" s="17">
        <f>(VLOOKUP($D121,$C$6:$AJ$991,11,)/VLOOKUP($D121,$C$6:$AJ$991,4,))*$F121</f>
        <v>0</v>
      </c>
      <c r="N121" s="17">
        <f>(VLOOKUP($D121,$C$6:$AJ$991,12,)/VLOOKUP($D121,$C$6:$AJ$991,4,))*$F121</f>
        <v>31711.700508541609</v>
      </c>
      <c r="O121" s="17">
        <f>(VLOOKUP($D121,$C$6:$AJ$991,13,)/VLOOKUP($D121,$C$6:$AJ$991,4,))*$F121</f>
        <v>84699.815642410467</v>
      </c>
      <c r="P121" s="17">
        <f>(VLOOKUP($D121,$C$6:$AJ$991,14,)/VLOOKUP($D121,$C$6:$AJ$991,4,))*$F121</f>
        <v>166880.62592312586</v>
      </c>
      <c r="Q121" s="17">
        <f>(VLOOKUP($D121,$C$6:$AJ$991,15,)/VLOOKUP($D121,$C$6:$AJ$991,4,))*$F121</f>
        <v>14476.626393564798</v>
      </c>
      <c r="R121" s="17">
        <f>(VLOOKUP($D121,$C$6:$AJ$991,16,)/VLOOKUP($D121,$C$6:$AJ$991,4,))*$F121</f>
        <v>12286.065929858683</v>
      </c>
      <c r="S121" s="17">
        <f>(VLOOKUP($D121,$C$6:$AJ$991,17,)/VLOOKUP($D121,$C$6:$AJ$991,4,))*$F121</f>
        <v>248888.78258990141</v>
      </c>
      <c r="T121" s="17">
        <f>(VLOOKUP($D121,$C$6:$AJ$991,18,)/VLOOKUP($D121,$C$6:$AJ$991,4,))*$F121</f>
        <v>60116.130742441099</v>
      </c>
      <c r="U121" s="17">
        <f>(VLOOKUP($D121,$C$6:$AJ$991,19,)/VLOOKUP($D121,$C$6:$AJ$991,4,))*$F121</f>
        <v>0</v>
      </c>
      <c r="V121" s="17">
        <f>(VLOOKUP($D121,$C$6:$AJ$991,20,)/VLOOKUP($D121,$C$6:$AJ$991,4,))*$F121</f>
        <v>0</v>
      </c>
      <c r="W121" s="17">
        <f>SUM(G121:V121)</f>
        <v>768184.50299676845</v>
      </c>
      <c r="X121" s="96" t="str">
        <f>IF(ABS(W121-F121)&lt;1,"ok","err")</f>
        <v>ok</v>
      </c>
    </row>
    <row r="122" spans="1:24" x14ac:dyDescent="0.2">
      <c r="A122" s="16" t="s">
        <v>84</v>
      </c>
      <c r="C122" s="90" t="s">
        <v>85</v>
      </c>
      <c r="D122" s="90" t="s">
        <v>56</v>
      </c>
      <c r="F122" s="17">
        <v>3178701.1829673043</v>
      </c>
      <c r="G122" s="17">
        <f>(VLOOKUP($D122,$C$6:$AJ$991,5,)/VLOOKUP($D122,$C$6:$AJ$991,4,))*$F122</f>
        <v>0</v>
      </c>
      <c r="H122" s="17">
        <f>(VLOOKUP($D122,$C$6:$AJ$991,6,)/VLOOKUP($D122,$C$6:$AJ$991,4,))*$F122</f>
        <v>0</v>
      </c>
      <c r="I122" s="17">
        <f>(VLOOKUP($D122,$C$6:$AJ$991,7,)/VLOOKUP($D122,$C$6:$AJ$991,4,))*$F122</f>
        <v>470408.26594923745</v>
      </c>
      <c r="J122" s="17">
        <f>(VLOOKUP($D122,$C$6:$AJ$991,8,)/VLOOKUP($D122,$C$6:$AJ$991,4,))*$F122</f>
        <v>0</v>
      </c>
      <c r="K122" s="17">
        <f>(VLOOKUP($D122,$C$6:$AJ$991,9,)/VLOOKUP($D122,$C$6:$AJ$991,4,))*$F122</f>
        <v>42691.839491719307</v>
      </c>
      <c r="L122" s="17">
        <f>(VLOOKUP($D122,$C$6:$AJ$991,10,)/VLOOKUP($D122,$C$6:$AJ$991,4,))*$F122</f>
        <v>103969.14566664746</v>
      </c>
      <c r="M122" s="17">
        <f>(VLOOKUP($D122,$C$6:$AJ$991,11,)/VLOOKUP($D122,$C$6:$AJ$991,4,))*$F122</f>
        <v>0</v>
      </c>
      <c r="N122" s="17">
        <f>(VLOOKUP($D122,$C$6:$AJ$991,12,)/VLOOKUP($D122,$C$6:$AJ$991,4,))*$F122</f>
        <v>131221.10577233307</v>
      </c>
      <c r="O122" s="17">
        <f>(VLOOKUP($D122,$C$6:$AJ$991,13,)/VLOOKUP($D122,$C$6:$AJ$991,4,))*$F122</f>
        <v>350482.73315762955</v>
      </c>
      <c r="P122" s="17">
        <f>(VLOOKUP($D122,$C$6:$AJ$991,14,)/VLOOKUP($D122,$C$6:$AJ$991,4,))*$F122</f>
        <v>690541.97392263159</v>
      </c>
      <c r="Q122" s="17">
        <f>(VLOOKUP($D122,$C$6:$AJ$991,15,)/VLOOKUP($D122,$C$6:$AJ$991,4,))*$F122</f>
        <v>59903.407661939906</v>
      </c>
      <c r="R122" s="17">
        <f>(VLOOKUP($D122,$C$6:$AJ$991,16,)/VLOOKUP($D122,$C$6:$AJ$991,4,))*$F122</f>
        <v>50839.000465257202</v>
      </c>
      <c r="S122" s="17">
        <f>(VLOOKUP($D122,$C$6:$AJ$991,17,)/VLOOKUP($D122,$C$6:$AJ$991,4,))*$F122</f>
        <v>1029886.7844371756</v>
      </c>
      <c r="T122" s="17">
        <f>(VLOOKUP($D122,$C$6:$AJ$991,18,)/VLOOKUP($D122,$C$6:$AJ$991,4,))*$F122</f>
        <v>248756.92644273309</v>
      </c>
      <c r="U122" s="17">
        <f>(VLOOKUP($D122,$C$6:$AJ$991,19,)/VLOOKUP($D122,$C$6:$AJ$991,4,))*$F122</f>
        <v>0</v>
      </c>
      <c r="V122" s="17">
        <f>(VLOOKUP($D122,$C$6:$AJ$991,20,)/VLOOKUP($D122,$C$6:$AJ$991,4,))*$F122</f>
        <v>0</v>
      </c>
      <c r="W122" s="17">
        <f>SUM(G122:V122)</f>
        <v>3178701.1829673043</v>
      </c>
      <c r="X122" s="96" t="str">
        <f>IF(ABS(W122-F122)&lt;1,"ok","err")</f>
        <v>ok</v>
      </c>
    </row>
    <row r="123" spans="1:24" x14ac:dyDescent="0.2">
      <c r="A123" s="16" t="s">
        <v>86</v>
      </c>
      <c r="C123" s="90" t="s">
        <v>87</v>
      </c>
      <c r="D123" s="90" t="s">
        <v>25</v>
      </c>
      <c r="F123" s="17">
        <v>21049082.375544779</v>
      </c>
      <c r="G123" s="17">
        <f>(VLOOKUP($D123,$C$6:$AJ$991,5,)/VLOOKUP($D123,$C$6:$AJ$991,4,))*$F123</f>
        <v>0</v>
      </c>
      <c r="H123" s="17">
        <f>(VLOOKUP($D123,$C$6:$AJ$991,6,)/VLOOKUP($D123,$C$6:$AJ$991,4,))*$F123</f>
        <v>0</v>
      </c>
      <c r="I123" s="17">
        <f>(VLOOKUP($D123,$C$6:$AJ$991,7,)/VLOOKUP($D123,$C$6:$AJ$991,4,))*$F123</f>
        <v>21049082.375544779</v>
      </c>
      <c r="J123" s="17">
        <f>(VLOOKUP($D123,$C$6:$AJ$991,8,)/VLOOKUP($D123,$C$6:$AJ$991,4,))*$F123</f>
        <v>0</v>
      </c>
      <c r="K123" s="17">
        <f>(VLOOKUP($D123,$C$6:$AJ$991,9,)/VLOOKUP($D123,$C$6:$AJ$991,4,))*$F123</f>
        <v>0</v>
      </c>
      <c r="L123" s="17">
        <f>(VLOOKUP($D123,$C$6:$AJ$991,10,)/VLOOKUP($D123,$C$6:$AJ$991,4,))*$F123</f>
        <v>0</v>
      </c>
      <c r="M123" s="17">
        <f>(VLOOKUP($D123,$C$6:$AJ$991,11,)/VLOOKUP($D123,$C$6:$AJ$991,4,))*$F123</f>
        <v>0</v>
      </c>
      <c r="N123" s="17">
        <f>(VLOOKUP($D123,$C$6:$AJ$991,12,)/VLOOKUP($D123,$C$6:$AJ$991,4,))*$F123</f>
        <v>0</v>
      </c>
      <c r="O123" s="17">
        <f>(VLOOKUP($D123,$C$6:$AJ$991,13,)/VLOOKUP($D123,$C$6:$AJ$991,4,))*$F123</f>
        <v>0</v>
      </c>
      <c r="P123" s="17">
        <f>(VLOOKUP($D123,$C$6:$AJ$991,14,)/VLOOKUP($D123,$C$6:$AJ$991,4,))*$F123</f>
        <v>0</v>
      </c>
      <c r="Q123" s="17">
        <f>(VLOOKUP($D123,$C$6:$AJ$991,15,)/VLOOKUP($D123,$C$6:$AJ$991,4,))*$F123</f>
        <v>0</v>
      </c>
      <c r="R123" s="17">
        <f>(VLOOKUP($D123,$C$6:$AJ$991,16,)/VLOOKUP($D123,$C$6:$AJ$991,4,))*$F123</f>
        <v>0</v>
      </c>
      <c r="S123" s="17">
        <f>(VLOOKUP($D123,$C$6:$AJ$991,17,)/VLOOKUP($D123,$C$6:$AJ$991,4,))*$F123</f>
        <v>0</v>
      </c>
      <c r="T123" s="17">
        <f>(VLOOKUP($D123,$C$6:$AJ$991,18,)/VLOOKUP($D123,$C$6:$AJ$991,4,))*$F123</f>
        <v>0</v>
      </c>
      <c r="U123" s="17">
        <f>(VLOOKUP($D123,$C$6:$AJ$991,19,)/VLOOKUP($D123,$C$6:$AJ$991,4,))*$F123</f>
        <v>0</v>
      </c>
      <c r="V123" s="17">
        <f>(VLOOKUP($D123,$C$6:$AJ$991,20,)/VLOOKUP($D123,$C$6:$AJ$991,4,))*$F123</f>
        <v>0</v>
      </c>
      <c r="W123" s="17">
        <f>SUM(G123:V123)</f>
        <v>21049082.375544779</v>
      </c>
      <c r="X123" s="96" t="str">
        <f>IF(ABS(W123-F123)&lt;1,"ok","err")</f>
        <v>ok</v>
      </c>
    </row>
    <row r="124" spans="1:24" x14ac:dyDescent="0.2">
      <c r="A124" s="16" t="s">
        <v>88</v>
      </c>
      <c r="C124" s="90" t="s">
        <v>89</v>
      </c>
      <c r="D124" s="90" t="s">
        <v>90</v>
      </c>
      <c r="F124" s="17">
        <v>22718704.695004024</v>
      </c>
      <c r="G124" s="17">
        <f>(VLOOKUP($D124,$C$6:$AJ$991,5,)/VLOOKUP($D124,$C$6:$AJ$991,4,))*$F124</f>
        <v>29027.824883064925</v>
      </c>
      <c r="H124" s="17">
        <f>(VLOOKUP($D124,$C$6:$AJ$991,6,)/VLOOKUP($D124,$C$6:$AJ$991,4,))*$F124</f>
        <v>218227.92369500091</v>
      </c>
      <c r="I124" s="17">
        <f>(VLOOKUP($D124,$C$6:$AJ$991,7,)/VLOOKUP($D124,$C$6:$AJ$991,4,))*$F124</f>
        <v>1274640.8589235158</v>
      </c>
      <c r="J124" s="17">
        <f>(VLOOKUP($D124,$C$6:$AJ$991,8,)/VLOOKUP($D124,$C$6:$AJ$991,4,))*$F124</f>
        <v>2237765.2754137209</v>
      </c>
      <c r="K124" s="17">
        <f>(VLOOKUP($D124,$C$6:$AJ$991,9,)/VLOOKUP($D124,$C$6:$AJ$991,4,))*$F124</f>
        <v>1328647.2705310287</v>
      </c>
      <c r="L124" s="17">
        <f>(VLOOKUP($D124,$C$6:$AJ$991,10,)/VLOOKUP($D124,$C$6:$AJ$991,4,))*$F124</f>
        <v>3235707.8836162114</v>
      </c>
      <c r="M124" s="17">
        <f>(VLOOKUP($D124,$C$6:$AJ$991,11,)/VLOOKUP($D124,$C$6:$AJ$991,4,))*$F124</f>
        <v>394186.90860467363</v>
      </c>
      <c r="N124" s="17">
        <f>(VLOOKUP($D124,$C$6:$AJ$991,12,)/VLOOKUP($D124,$C$6:$AJ$991,4,))*$F124</f>
        <v>999535.21021695726</v>
      </c>
      <c r="O124" s="17">
        <f>(VLOOKUP($D124,$C$6:$AJ$991,13,)/VLOOKUP($D124,$C$6:$AJ$991,4,))*$F124</f>
        <v>1830024.4042642582</v>
      </c>
      <c r="P124" s="17">
        <f>(VLOOKUP($D124,$C$6:$AJ$991,14,)/VLOOKUP($D124,$C$6:$AJ$991,4,))*$F124</f>
        <v>3605623.1731075784</v>
      </c>
      <c r="Q124" s="17">
        <f>(VLOOKUP($D124,$C$6:$AJ$991,15,)/VLOOKUP($D124,$C$6:$AJ$991,4,))*$F124</f>
        <v>312782.02190530422</v>
      </c>
      <c r="R124" s="17">
        <f>(VLOOKUP($D124,$C$6:$AJ$991,16,)/VLOOKUP($D124,$C$6:$AJ$991,4,))*$F124</f>
        <v>265452.76767737221</v>
      </c>
      <c r="S124" s="17">
        <f>(VLOOKUP($D124,$C$6:$AJ$991,17,)/VLOOKUP($D124,$C$6:$AJ$991,4,))*$F124</f>
        <v>1972801.8385227649</v>
      </c>
      <c r="T124" s="17">
        <f>(VLOOKUP($D124,$C$6:$AJ$991,18,)/VLOOKUP($D124,$C$6:$AJ$991,4,))*$F124</f>
        <v>1358490.9370293424</v>
      </c>
      <c r="U124" s="17">
        <f>(VLOOKUP($D124,$C$6:$AJ$991,19,)/VLOOKUP($D124,$C$6:$AJ$991,4,))*$F124</f>
        <v>3361371.443778438</v>
      </c>
      <c r="V124" s="17">
        <f>(VLOOKUP($D124,$C$6:$AJ$991,20,)/VLOOKUP($D124,$C$6:$AJ$991,4,))*$F124</f>
        <v>294418.95283479022</v>
      </c>
      <c r="W124" s="17">
        <f>SUM(G124:V124)</f>
        <v>22718704.695004024</v>
      </c>
      <c r="X124" s="96" t="str">
        <f>IF(ABS(W124-F124)&lt;1,"ok","err")</f>
        <v>ok</v>
      </c>
    </row>
    <row r="125" spans="1:24" x14ac:dyDescent="0.2">
      <c r="F125" s="22"/>
    </row>
    <row r="126" spans="1:24" x14ac:dyDescent="0.2">
      <c r="A126" s="6" t="s">
        <v>183</v>
      </c>
    </row>
    <row r="128" spans="1:24" x14ac:dyDescent="0.2">
      <c r="A128" s="16" t="s">
        <v>184</v>
      </c>
      <c r="D128" s="90" t="s">
        <v>56</v>
      </c>
      <c r="F128" s="21">
        <v>0</v>
      </c>
      <c r="G128" s="17">
        <f>(VLOOKUP($D128,$C$6:$AJ$991,5,)/VLOOKUP($D128,$C$6:$AJ$991,4,))*$F128</f>
        <v>0</v>
      </c>
      <c r="H128" s="17">
        <f>(VLOOKUP($D128,$C$6:$AJ$991,6,)/VLOOKUP($D128,$C$6:$AJ$991,4,))*$F128</f>
        <v>0</v>
      </c>
      <c r="I128" s="17">
        <f>(VLOOKUP($D128,$C$6:$AJ$991,7,)/VLOOKUP($D128,$C$6:$AJ$991,4,))*$F128</f>
        <v>0</v>
      </c>
      <c r="J128" s="17">
        <f>(VLOOKUP($D128,$C$6:$AJ$991,8,)/VLOOKUP($D128,$C$6:$AJ$991,4,))*$F128</f>
        <v>0</v>
      </c>
      <c r="K128" s="17">
        <f>(VLOOKUP($D128,$C$6:$AJ$991,9,)/VLOOKUP($D128,$C$6:$AJ$991,4,))*$F128</f>
        <v>0</v>
      </c>
      <c r="L128" s="17">
        <f>(VLOOKUP($D128,$C$6:$AJ$991,10,)/VLOOKUP($D128,$C$6:$AJ$991,4,))*$F128</f>
        <v>0</v>
      </c>
      <c r="M128" s="17">
        <f>(VLOOKUP($D128,$C$6:$AJ$991,11,)/VLOOKUP($D128,$C$6:$AJ$991,4,))*$F128</f>
        <v>0</v>
      </c>
      <c r="N128" s="17">
        <f>(VLOOKUP($D128,$C$6:$AJ$991,12,)/VLOOKUP($D128,$C$6:$AJ$991,4,))*$F128</f>
        <v>0</v>
      </c>
      <c r="O128" s="17">
        <f>(VLOOKUP($D128,$C$6:$AJ$991,13,)/VLOOKUP($D128,$C$6:$AJ$991,4,))*$F128</f>
        <v>0</v>
      </c>
      <c r="P128" s="17">
        <f>(VLOOKUP($D128,$C$6:$AJ$991,14,)/VLOOKUP($D128,$C$6:$AJ$991,4,))*$F128</f>
        <v>0</v>
      </c>
      <c r="Q128" s="17">
        <f>(VLOOKUP($D128,$C$6:$AJ$991,15,)/VLOOKUP($D128,$C$6:$AJ$991,4,))*$F128</f>
        <v>0</v>
      </c>
      <c r="R128" s="17">
        <f>(VLOOKUP($D128,$C$6:$AJ$991,16,)/VLOOKUP($D128,$C$6:$AJ$991,4,))*$F128</f>
        <v>0</v>
      </c>
      <c r="S128" s="17">
        <f>(VLOOKUP($D128,$C$6:$AJ$991,17,)/VLOOKUP($D128,$C$6:$AJ$991,4,))*$F128</f>
        <v>0</v>
      </c>
      <c r="T128" s="17">
        <f>(VLOOKUP($D128,$C$6:$AJ$991,18,)/VLOOKUP($D128,$C$6:$AJ$991,4,))*$F128</f>
        <v>0</v>
      </c>
      <c r="U128" s="17">
        <f>(VLOOKUP($D128,$C$6:$AJ$991,19,)/VLOOKUP($D128,$C$6:$AJ$991,4,))*$F128</f>
        <v>0</v>
      </c>
      <c r="V128" s="17">
        <f>(VLOOKUP($D128,$C$6:$AJ$991,20,)/VLOOKUP($D128,$C$6:$AJ$991,4,))*$F128</f>
        <v>0</v>
      </c>
      <c r="W128" s="17">
        <f>SUM(G128:V128)</f>
        <v>0</v>
      </c>
      <c r="X128" s="96" t="str">
        <f>IF(ABS(W128-F128)&lt;1,"ok","err")</f>
        <v>ok</v>
      </c>
    </row>
    <row r="129" spans="1:24" x14ac:dyDescent="0.2">
      <c r="A129" s="16" t="s">
        <v>202</v>
      </c>
      <c r="D129" s="90" t="s">
        <v>56</v>
      </c>
      <c r="F129" s="17">
        <v>0</v>
      </c>
      <c r="G129" s="17">
        <f>(VLOOKUP($D129,$C$6:$AJ$991,5,)/VLOOKUP($D129,$C$6:$AJ$991,4,))*$F129</f>
        <v>0</v>
      </c>
      <c r="H129" s="17">
        <f>(VLOOKUP($D129,$C$6:$AJ$991,6,)/VLOOKUP($D129,$C$6:$AJ$991,4,))*$F129</f>
        <v>0</v>
      </c>
      <c r="I129" s="17">
        <f>(VLOOKUP($D129,$C$6:$AJ$991,7,)/VLOOKUP($D129,$C$6:$AJ$991,4,))*$F129</f>
        <v>0</v>
      </c>
      <c r="J129" s="17">
        <f>(VLOOKUP($D129,$C$6:$AJ$991,8,)/VLOOKUP($D129,$C$6:$AJ$991,4,))*$F129</f>
        <v>0</v>
      </c>
      <c r="K129" s="17">
        <f>(VLOOKUP($D129,$C$6:$AJ$991,9,)/VLOOKUP($D129,$C$6:$AJ$991,4,))*$F129</f>
        <v>0</v>
      </c>
      <c r="L129" s="17">
        <f>(VLOOKUP($D129,$C$6:$AJ$991,10,)/VLOOKUP($D129,$C$6:$AJ$991,4,))*$F129</f>
        <v>0</v>
      </c>
      <c r="M129" s="17">
        <f>(VLOOKUP($D129,$C$6:$AJ$991,11,)/VLOOKUP($D129,$C$6:$AJ$991,4,))*$F129</f>
        <v>0</v>
      </c>
      <c r="N129" s="17">
        <f>(VLOOKUP($D129,$C$6:$AJ$991,12,)/VLOOKUP($D129,$C$6:$AJ$991,4,))*$F129</f>
        <v>0</v>
      </c>
      <c r="O129" s="17">
        <f>(VLOOKUP($D129,$C$6:$AJ$991,13,)/VLOOKUP($D129,$C$6:$AJ$991,4,))*$F129</f>
        <v>0</v>
      </c>
      <c r="P129" s="17">
        <f>(VLOOKUP($D129,$C$6:$AJ$991,14,)/VLOOKUP($D129,$C$6:$AJ$991,4,))*$F129</f>
        <v>0</v>
      </c>
      <c r="Q129" s="17">
        <f>(VLOOKUP($D129,$C$6:$AJ$991,15,)/VLOOKUP($D129,$C$6:$AJ$991,4,))*$F129</f>
        <v>0</v>
      </c>
      <c r="R129" s="17">
        <f>(VLOOKUP($D129,$C$6:$AJ$991,16,)/VLOOKUP($D129,$C$6:$AJ$991,4,))*$F129</f>
        <v>0</v>
      </c>
      <c r="S129" s="17">
        <f>(VLOOKUP($D129,$C$6:$AJ$991,17,)/VLOOKUP($D129,$C$6:$AJ$991,4,))*$F129</f>
        <v>0</v>
      </c>
      <c r="T129" s="17">
        <f>(VLOOKUP($D129,$C$6:$AJ$991,18,)/VLOOKUP($D129,$C$6:$AJ$991,4,))*$F129</f>
        <v>0</v>
      </c>
      <c r="U129" s="17">
        <f>(VLOOKUP($D129,$C$6:$AJ$991,19,)/VLOOKUP($D129,$C$6:$AJ$991,4,))*$F129</f>
        <v>0</v>
      </c>
      <c r="V129" s="17">
        <f>(VLOOKUP($D129,$C$6:$AJ$991,20,)/VLOOKUP($D129,$C$6:$AJ$991,4,))*$F129</f>
        <v>0</v>
      </c>
      <c r="W129" s="17">
        <f>SUM(G129:V129)</f>
        <v>0</v>
      </c>
      <c r="X129" s="96" t="str">
        <f>IF(ABS(W129-F129)&lt;1,"ok","err")</f>
        <v>ok</v>
      </c>
    </row>
    <row r="130" spans="1:24" x14ac:dyDescent="0.2">
      <c r="A130" s="16" t="s">
        <v>396</v>
      </c>
      <c r="D130" s="90" t="s">
        <v>56</v>
      </c>
      <c r="F130" s="17">
        <v>0</v>
      </c>
      <c r="G130" s="17">
        <f>(VLOOKUP($D130,$C$6:$AJ$991,5,)/VLOOKUP($D130,$C$6:$AJ$991,4,))*$F130</f>
        <v>0</v>
      </c>
      <c r="H130" s="17">
        <f>(VLOOKUP($D130,$C$6:$AJ$991,6,)/VLOOKUP($D130,$C$6:$AJ$991,4,))*$F130</f>
        <v>0</v>
      </c>
      <c r="I130" s="17">
        <f>(VLOOKUP($D130,$C$6:$AJ$991,7,)/VLOOKUP($D130,$C$6:$AJ$991,4,))*$F130</f>
        <v>0</v>
      </c>
      <c r="J130" s="17">
        <f>(VLOOKUP($D130,$C$6:$AJ$991,8,)/VLOOKUP($D130,$C$6:$AJ$991,4,))*$F130</f>
        <v>0</v>
      </c>
      <c r="K130" s="17">
        <f>(VLOOKUP($D130,$C$6:$AJ$991,9,)/VLOOKUP($D130,$C$6:$AJ$991,4,))*$F130</f>
        <v>0</v>
      </c>
      <c r="L130" s="17">
        <f>(VLOOKUP($D130,$C$6:$AJ$991,10,)/VLOOKUP($D130,$C$6:$AJ$991,4,))*$F130</f>
        <v>0</v>
      </c>
      <c r="M130" s="17">
        <f>(VLOOKUP($D130,$C$6:$AJ$991,11,)/VLOOKUP($D130,$C$6:$AJ$991,4,))*$F130</f>
        <v>0</v>
      </c>
      <c r="N130" s="17">
        <f>(VLOOKUP($D130,$C$6:$AJ$991,12,)/VLOOKUP($D130,$C$6:$AJ$991,4,))*$F130</f>
        <v>0</v>
      </c>
      <c r="O130" s="17">
        <f>(VLOOKUP($D130,$C$6:$AJ$991,13,)/VLOOKUP($D130,$C$6:$AJ$991,4,))*$F130</f>
        <v>0</v>
      </c>
      <c r="P130" s="17">
        <f>(VLOOKUP($D130,$C$6:$AJ$991,14,)/VLOOKUP($D130,$C$6:$AJ$991,4,))*$F130</f>
        <v>0</v>
      </c>
      <c r="Q130" s="17">
        <f>(VLOOKUP($D130,$C$6:$AJ$991,15,)/VLOOKUP($D130,$C$6:$AJ$991,4,))*$F130</f>
        <v>0</v>
      </c>
      <c r="R130" s="17">
        <f>(VLOOKUP($D130,$C$6:$AJ$991,16,)/VLOOKUP($D130,$C$6:$AJ$991,4,))*$F130</f>
        <v>0</v>
      </c>
      <c r="S130" s="17">
        <f>(VLOOKUP($D130,$C$6:$AJ$991,17,)/VLOOKUP($D130,$C$6:$AJ$991,4,))*$F130</f>
        <v>0</v>
      </c>
      <c r="T130" s="17">
        <f>(VLOOKUP($D130,$C$6:$AJ$991,18,)/VLOOKUP($D130,$C$6:$AJ$991,4,))*$F130</f>
        <v>0</v>
      </c>
      <c r="U130" s="17">
        <f>(VLOOKUP($D130,$C$6:$AJ$991,19,)/VLOOKUP($D130,$C$6:$AJ$991,4,))*$F130</f>
        <v>0</v>
      </c>
      <c r="V130" s="17">
        <f>(VLOOKUP($D130,$C$6:$AJ$991,20,)/VLOOKUP($D130,$C$6:$AJ$991,4,))*$F130</f>
        <v>0</v>
      </c>
      <c r="W130" s="17">
        <f>SUM(G130:V130)</f>
        <v>0</v>
      </c>
      <c r="X130" s="96" t="str">
        <f>IF(ABS(W130-F130)&lt;1,"ok","err")</f>
        <v>ok</v>
      </c>
    </row>
    <row r="131" spans="1:24" x14ac:dyDescent="0.2">
      <c r="A131" s="16" t="s">
        <v>185</v>
      </c>
      <c r="D131" s="90" t="s">
        <v>56</v>
      </c>
      <c r="F131" s="17">
        <v>0</v>
      </c>
      <c r="G131" s="17">
        <f>(VLOOKUP($D131,$C$6:$AJ$991,5,)/VLOOKUP($D131,$C$6:$AJ$991,4,))*$F131</f>
        <v>0</v>
      </c>
      <c r="H131" s="17">
        <f>(VLOOKUP($D131,$C$6:$AJ$991,6,)/VLOOKUP($D131,$C$6:$AJ$991,4,))*$F131</f>
        <v>0</v>
      </c>
      <c r="I131" s="17">
        <f>(VLOOKUP($D131,$C$6:$AJ$991,7,)/VLOOKUP($D131,$C$6:$AJ$991,4,))*$F131</f>
        <v>0</v>
      </c>
      <c r="J131" s="17">
        <f>(VLOOKUP($D131,$C$6:$AJ$991,8,)/VLOOKUP($D131,$C$6:$AJ$991,4,))*$F131</f>
        <v>0</v>
      </c>
      <c r="K131" s="17">
        <f>(VLOOKUP($D131,$C$6:$AJ$991,9,)/VLOOKUP($D131,$C$6:$AJ$991,4,))*$F131</f>
        <v>0</v>
      </c>
      <c r="L131" s="17">
        <f>(VLOOKUP($D131,$C$6:$AJ$991,10,)/VLOOKUP($D131,$C$6:$AJ$991,4,))*$F131</f>
        <v>0</v>
      </c>
      <c r="M131" s="17">
        <f>(VLOOKUP($D131,$C$6:$AJ$991,11,)/VLOOKUP($D131,$C$6:$AJ$991,4,))*$F131</f>
        <v>0</v>
      </c>
      <c r="N131" s="17">
        <f>(VLOOKUP($D131,$C$6:$AJ$991,12,)/VLOOKUP($D131,$C$6:$AJ$991,4,))*$F131</f>
        <v>0</v>
      </c>
      <c r="O131" s="17">
        <f>(VLOOKUP($D131,$C$6:$AJ$991,13,)/VLOOKUP($D131,$C$6:$AJ$991,4,))*$F131</f>
        <v>0</v>
      </c>
      <c r="P131" s="17">
        <f>(VLOOKUP($D131,$C$6:$AJ$991,14,)/VLOOKUP($D131,$C$6:$AJ$991,4,))*$F131</f>
        <v>0</v>
      </c>
      <c r="Q131" s="17">
        <f>(VLOOKUP($D131,$C$6:$AJ$991,15,)/VLOOKUP($D131,$C$6:$AJ$991,4,))*$F131</f>
        <v>0</v>
      </c>
      <c r="R131" s="17">
        <f>(VLOOKUP($D131,$C$6:$AJ$991,16,)/VLOOKUP($D131,$C$6:$AJ$991,4,))*$F131</f>
        <v>0</v>
      </c>
      <c r="S131" s="17">
        <f>(VLOOKUP($D131,$C$6:$AJ$991,17,)/VLOOKUP($D131,$C$6:$AJ$991,4,))*$F131</f>
        <v>0</v>
      </c>
      <c r="T131" s="17">
        <f>(VLOOKUP($D131,$C$6:$AJ$991,18,)/VLOOKUP($D131,$C$6:$AJ$991,4,))*$F131</f>
        <v>0</v>
      </c>
      <c r="U131" s="17">
        <f>(VLOOKUP($D131,$C$6:$AJ$991,19,)/VLOOKUP($D131,$C$6:$AJ$991,4,))*$F131</f>
        <v>0</v>
      </c>
      <c r="V131" s="17">
        <f>(VLOOKUP($D131,$C$6:$AJ$991,20,)/VLOOKUP($D131,$C$6:$AJ$991,4,))*$F131</f>
        <v>0</v>
      </c>
      <c r="W131" s="17">
        <f>SUM(G131:V131)</f>
        <v>0</v>
      </c>
      <c r="X131" s="96" t="str">
        <f>IF(ABS(W131-F131)&lt;1,"ok","err")</f>
        <v>ok</v>
      </c>
    </row>
    <row r="133" spans="1:24" x14ac:dyDescent="0.2">
      <c r="A133" s="93" t="s">
        <v>91</v>
      </c>
      <c r="C133" s="90" t="s">
        <v>92</v>
      </c>
      <c r="F133" s="22">
        <f>F97-F108-SUM(F110:F117)+SUM(F121:F124)</f>
        <v>772202130.71483314</v>
      </c>
      <c r="G133" s="22">
        <f t="shared" ref="G133:V133" si="62">G97-G108-SUM(G110:G117)+SUM(G121:G124)</f>
        <v>29027.824883064925</v>
      </c>
      <c r="H133" s="22">
        <f t="shared" si="62"/>
        <v>218227.92369500091</v>
      </c>
      <c r="I133" s="22">
        <f t="shared" si="62"/>
        <v>154280223.85772505</v>
      </c>
      <c r="J133" s="22">
        <f t="shared" si="62"/>
        <v>2237765.2754137209</v>
      </c>
      <c r="K133" s="22">
        <f t="shared" si="62"/>
        <v>19852899.639422301</v>
      </c>
      <c r="L133" s="22">
        <f t="shared" si="62"/>
        <v>48348561.202587448</v>
      </c>
      <c r="M133" s="22">
        <f t="shared" si="62"/>
        <v>394186.90860467363</v>
      </c>
      <c r="N133" s="22">
        <f t="shared" si="62"/>
        <v>38718058.918324642</v>
      </c>
      <c r="O133" s="22">
        <f t="shared" si="62"/>
        <v>62364319.885210954</v>
      </c>
      <c r="P133" s="22">
        <f t="shared" si="62"/>
        <v>139326011.155595</v>
      </c>
      <c r="Q133" s="22">
        <f t="shared" si="62"/>
        <v>12069200.177984202</v>
      </c>
      <c r="R133" s="22">
        <f t="shared" si="62"/>
        <v>11277079.774373911</v>
      </c>
      <c r="S133" s="22">
        <f t="shared" si="62"/>
        <v>220490310.90330812</v>
      </c>
      <c r="T133" s="22">
        <f t="shared" si="62"/>
        <v>58940466.87109194</v>
      </c>
      <c r="U133" s="22">
        <f t="shared" si="62"/>
        <v>3361371.443778438</v>
      </c>
      <c r="V133" s="22">
        <f t="shared" si="62"/>
        <v>294418.95283479022</v>
      </c>
      <c r="W133" s="17">
        <f>SUM(G133:V133)</f>
        <v>772202130.71483326</v>
      </c>
      <c r="X133" s="96" t="str">
        <f>IF(ABS(W133-F133)&lt;1,"ok","err")</f>
        <v>ok</v>
      </c>
    </row>
    <row r="134" spans="1:24" x14ac:dyDescent="0.2">
      <c r="A134" s="93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17"/>
      <c r="X134" s="96"/>
    </row>
    <row r="135" spans="1:24" x14ac:dyDescent="0.2">
      <c r="A135" s="93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17"/>
      <c r="X135" s="96"/>
    </row>
    <row r="136" spans="1:24" x14ac:dyDescent="0.2">
      <c r="A136" s="93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17"/>
      <c r="X136" s="96"/>
    </row>
    <row r="137" spans="1:24" x14ac:dyDescent="0.2">
      <c r="A137" s="93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17"/>
      <c r="X137" s="96"/>
    </row>
    <row r="138" spans="1:24" x14ac:dyDescent="0.2">
      <c r="A138" s="93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17"/>
      <c r="X138" s="96"/>
    </row>
    <row r="139" spans="1:24" x14ac:dyDescent="0.2">
      <c r="A139" s="93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17"/>
      <c r="X139" s="96"/>
    </row>
    <row r="140" spans="1:24" x14ac:dyDescent="0.2">
      <c r="A140" s="180"/>
      <c r="F140" s="21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96"/>
    </row>
    <row r="141" spans="1:24" x14ac:dyDescent="0.2">
      <c r="A141" s="93"/>
      <c r="F141" s="22"/>
    </row>
    <row r="142" spans="1:24" x14ac:dyDescent="0.2">
      <c r="A142" s="158" t="s">
        <v>453</v>
      </c>
      <c r="F142" s="22"/>
    </row>
    <row r="143" spans="1:24" x14ac:dyDescent="0.2">
      <c r="F143" s="22"/>
    </row>
    <row r="144" spans="1:24" x14ac:dyDescent="0.2">
      <c r="A144" s="18" t="s">
        <v>451</v>
      </c>
      <c r="B144" s="16" t="s">
        <v>452</v>
      </c>
      <c r="C144" s="90" t="s">
        <v>473</v>
      </c>
      <c r="D144" s="90" t="s">
        <v>635</v>
      </c>
      <c r="F144" s="17">
        <v>666851</v>
      </c>
      <c r="G144" s="17">
        <f>(VLOOKUP($D144,$C$6:$AJ$991,5,)/VLOOKUP($D144,$C$6:$AJ$991,4,))*$F144</f>
        <v>78288.307400000005</v>
      </c>
      <c r="H144" s="17">
        <f>(VLOOKUP($D144,$C$6:$AJ$991,6,)/VLOOKUP($D144,$C$6:$AJ$991,4,))*$F144</f>
        <v>588562.69260000007</v>
      </c>
      <c r="I144" s="17">
        <f>(VLOOKUP($D144,$C$6:$AJ$991,7,)/VLOOKUP($D144,$C$6:$AJ$991,4,))*$F144</f>
        <v>0</v>
      </c>
      <c r="J144" s="17">
        <f>(VLOOKUP($D144,$C$6:$AJ$991,8,)/VLOOKUP($D144,$C$6:$AJ$991,4,))*$F144</f>
        <v>0</v>
      </c>
      <c r="K144" s="17">
        <f>(VLOOKUP($D144,$C$6:$AJ$991,9,)/VLOOKUP($D144,$C$6:$AJ$991,4,))*$F144</f>
        <v>0</v>
      </c>
      <c r="L144" s="17">
        <f>(VLOOKUP($D144,$C$6:$AJ$991,10,)/VLOOKUP($D144,$C$6:$AJ$991,4,))*$F144</f>
        <v>0</v>
      </c>
      <c r="M144" s="17">
        <f>(VLOOKUP($D144,$C$6:$AJ$991,11,)/VLOOKUP($D144,$C$6:$AJ$991,4,))*$F144</f>
        <v>0</v>
      </c>
      <c r="N144" s="17">
        <f>(VLOOKUP($D144,$C$6:$AJ$991,12,)/VLOOKUP($D144,$C$6:$AJ$991,4,))*$F144</f>
        <v>0</v>
      </c>
      <c r="O144" s="17">
        <f>(VLOOKUP($D144,$C$6:$AJ$991,13,)/VLOOKUP($D144,$C$6:$AJ$991,4,))*$F144</f>
        <v>0</v>
      </c>
      <c r="P144" s="17">
        <f>(VLOOKUP($D144,$C$6:$AJ$991,14,)/VLOOKUP($D144,$C$6:$AJ$991,4,))*$F144</f>
        <v>0</v>
      </c>
      <c r="Q144" s="17">
        <f>(VLOOKUP($D144,$C$6:$AJ$991,15,)/VLOOKUP($D144,$C$6:$AJ$991,4,))*$F144</f>
        <v>0</v>
      </c>
      <c r="R144" s="17">
        <f>(VLOOKUP($D144,$C$6:$AJ$991,16,)/VLOOKUP($D144,$C$6:$AJ$991,4,))*$F144</f>
        <v>0</v>
      </c>
      <c r="S144" s="17">
        <f>(VLOOKUP($D144,$C$6:$AJ$991,15,)/VLOOKUP($D144,$C$6:$AJ$991,4,))*$F144</f>
        <v>0</v>
      </c>
      <c r="T144" s="17">
        <f>(VLOOKUP($D144,$C$6:$AJ$991,16,)/VLOOKUP($D144,$C$6:$AJ$991,4,))*$F144</f>
        <v>0</v>
      </c>
      <c r="U144" s="17">
        <f>(VLOOKUP($D144,$C$6:$AJ$991,17,)/VLOOKUP($D144,$C$6:$AJ$991,4,))*$F144</f>
        <v>0</v>
      </c>
      <c r="V144" s="17">
        <f>(VLOOKUP($D144,$C$6:$AJ$991,18,)/VLOOKUP($D144,$C$6:$AJ$991,4,))*$F144</f>
        <v>0</v>
      </c>
      <c r="W144" s="17">
        <f>SUM(G144:V144)</f>
        <v>666851.00000000012</v>
      </c>
      <c r="X144" s="96" t="str">
        <f>IF(ABS(W144-F144)&lt;1,"ok","err")</f>
        <v>ok</v>
      </c>
    </row>
    <row r="145" spans="1:24" x14ac:dyDescent="0.2">
      <c r="F145" s="22"/>
    </row>
    <row r="146" spans="1:24" x14ac:dyDescent="0.2">
      <c r="A146" s="93" t="s">
        <v>454</v>
      </c>
      <c r="F146" s="22"/>
    </row>
    <row r="147" spans="1:24" x14ac:dyDescent="0.2">
      <c r="A147" s="93" t="s">
        <v>430</v>
      </c>
      <c r="C147" s="16"/>
      <c r="D147" s="16"/>
      <c r="E147" s="16"/>
      <c r="F147" s="17"/>
      <c r="G147" s="16"/>
      <c r="H147" s="16"/>
      <c r="I147" s="16"/>
      <c r="J147" s="16"/>
      <c r="K147" s="16"/>
      <c r="L147" s="16"/>
      <c r="M147" s="16"/>
      <c r="N147" s="16"/>
    </row>
    <row r="148" spans="1:24" x14ac:dyDescent="0.2">
      <c r="A148" s="18">
        <v>814</v>
      </c>
      <c r="B148" s="16" t="s">
        <v>397</v>
      </c>
      <c r="C148" s="90" t="s">
        <v>474</v>
      </c>
      <c r="D148" s="90" t="s">
        <v>630</v>
      </c>
      <c r="F148" s="17">
        <v>756094</v>
      </c>
      <c r="G148" s="17">
        <f t="shared" ref="G148:G159" si="63">(VLOOKUP($D148,$C$6:$AJ$991,5,)/VLOOKUP($D148,$C$6:$AJ$991,4,))*$F148</f>
        <v>0</v>
      </c>
      <c r="H148" s="17">
        <f t="shared" ref="H148:H159" si="64">(VLOOKUP($D148,$C$6:$AJ$991,6,)/VLOOKUP($D148,$C$6:$AJ$991,4,))*$F148</f>
        <v>0</v>
      </c>
      <c r="I148" s="17">
        <f t="shared" ref="I148:I159" si="65">(VLOOKUP($D148,$C$6:$AJ$991,7,)/VLOOKUP($D148,$C$6:$AJ$991,4,))*$F148</f>
        <v>177524.09777417942</v>
      </c>
      <c r="J148" s="17">
        <f t="shared" ref="J148:J159" si="66">(VLOOKUP($D148,$C$6:$AJ$991,8,)/VLOOKUP($D148,$C$6:$AJ$991,4,))*$F148</f>
        <v>578569.90222582058</v>
      </c>
      <c r="K148" s="17">
        <f t="shared" ref="K148:K159" si="67">(VLOOKUP($D148,$C$6:$AJ$991,9,)/VLOOKUP($D148,$C$6:$AJ$991,4,))*$F148</f>
        <v>0</v>
      </c>
      <c r="L148" s="17">
        <f t="shared" ref="L148:L159" si="68">(VLOOKUP($D148,$C$6:$AJ$991,10,)/VLOOKUP($D148,$C$6:$AJ$991,4,))*$F148</f>
        <v>0</v>
      </c>
      <c r="M148" s="17">
        <f t="shared" ref="M148:M159" si="69">(VLOOKUP($D148,$C$6:$AJ$991,11,)/VLOOKUP($D148,$C$6:$AJ$991,4,))*$F148</f>
        <v>0</v>
      </c>
      <c r="N148" s="17">
        <f t="shared" ref="N148:N159" si="70">(VLOOKUP($D148,$C$6:$AJ$991,12,)/VLOOKUP($D148,$C$6:$AJ$991,4,))*$F148</f>
        <v>0</v>
      </c>
      <c r="O148" s="17">
        <f t="shared" ref="O148:O159" si="71">(VLOOKUP($D148,$C$6:$AJ$991,13,)/VLOOKUP($D148,$C$6:$AJ$991,4,))*$F148</f>
        <v>0</v>
      </c>
      <c r="P148" s="17">
        <f t="shared" ref="P148:P159" si="72">(VLOOKUP($D148,$C$6:$AJ$991,14,)/VLOOKUP($D148,$C$6:$AJ$991,4,))*$F148</f>
        <v>0</v>
      </c>
      <c r="Q148" s="17">
        <f t="shared" ref="Q148:Q159" si="73">(VLOOKUP($D148,$C$6:$AJ$991,15,)/VLOOKUP($D148,$C$6:$AJ$991,4,))*$F148</f>
        <v>0</v>
      </c>
      <c r="R148" s="17">
        <f t="shared" ref="R148:R159" si="74">(VLOOKUP($D148,$C$6:$AJ$991,16,)/VLOOKUP($D148,$C$6:$AJ$991,4,))*$F148</f>
        <v>0</v>
      </c>
      <c r="S148" s="17">
        <f t="shared" ref="S148:S159" si="75">(VLOOKUP($D148,$C$6:$AJ$991,17,)/VLOOKUP($D148,$C$6:$AJ$991,4,))*$F148</f>
        <v>0</v>
      </c>
      <c r="T148" s="17">
        <f t="shared" ref="T148:T159" si="76">(VLOOKUP($D148,$C$6:$AJ$991,18,)/VLOOKUP($D148,$C$6:$AJ$991,4,))*$F148</f>
        <v>0</v>
      </c>
      <c r="U148" s="17">
        <f t="shared" ref="U148:U159" si="77">(VLOOKUP($D148,$C$6:$AJ$991,19,)/VLOOKUP($D148,$C$6:$AJ$991,4,))*$F148</f>
        <v>0</v>
      </c>
      <c r="V148" s="17">
        <f t="shared" ref="V148:V159" si="78">(VLOOKUP($D148,$C$6:$AJ$991,20,)/VLOOKUP($D148,$C$6:$AJ$991,4,))*$F148</f>
        <v>0</v>
      </c>
      <c r="W148" s="17">
        <f t="shared" ref="W148:W159" si="79">SUM(G148:V148)</f>
        <v>756094</v>
      </c>
      <c r="X148" s="96" t="str">
        <f t="shared" ref="X148:X159" si="80">IF(ABS(W148-F148)&lt;1,"ok","err")</f>
        <v>ok</v>
      </c>
    </row>
    <row r="149" spans="1:24" x14ac:dyDescent="0.2">
      <c r="A149" s="18">
        <v>815</v>
      </c>
      <c r="B149" s="16" t="s">
        <v>398</v>
      </c>
      <c r="C149" s="90" t="s">
        <v>475</v>
      </c>
      <c r="D149" s="90" t="s">
        <v>25</v>
      </c>
      <c r="F149" s="17">
        <v>0</v>
      </c>
      <c r="G149" s="17">
        <f t="shared" si="63"/>
        <v>0</v>
      </c>
      <c r="H149" s="17">
        <f t="shared" si="64"/>
        <v>0</v>
      </c>
      <c r="I149" s="17">
        <f t="shared" si="65"/>
        <v>0</v>
      </c>
      <c r="J149" s="17">
        <f t="shared" si="66"/>
        <v>0</v>
      </c>
      <c r="K149" s="17">
        <f t="shared" si="67"/>
        <v>0</v>
      </c>
      <c r="L149" s="17">
        <f t="shared" si="68"/>
        <v>0</v>
      </c>
      <c r="M149" s="17">
        <f t="shared" si="69"/>
        <v>0</v>
      </c>
      <c r="N149" s="17">
        <f t="shared" si="70"/>
        <v>0</v>
      </c>
      <c r="O149" s="17">
        <f t="shared" si="71"/>
        <v>0</v>
      </c>
      <c r="P149" s="17">
        <f t="shared" si="72"/>
        <v>0</v>
      </c>
      <c r="Q149" s="17">
        <f t="shared" si="73"/>
        <v>0</v>
      </c>
      <c r="R149" s="17">
        <f t="shared" si="74"/>
        <v>0</v>
      </c>
      <c r="S149" s="17">
        <f t="shared" si="75"/>
        <v>0</v>
      </c>
      <c r="T149" s="17">
        <f t="shared" si="76"/>
        <v>0</v>
      </c>
      <c r="U149" s="17">
        <f t="shared" si="77"/>
        <v>0</v>
      </c>
      <c r="V149" s="17">
        <f t="shared" si="78"/>
        <v>0</v>
      </c>
      <c r="W149" s="17">
        <f t="shared" si="79"/>
        <v>0</v>
      </c>
      <c r="X149" s="96" t="str">
        <f t="shared" si="80"/>
        <v>ok</v>
      </c>
    </row>
    <row r="150" spans="1:24" x14ac:dyDescent="0.2">
      <c r="A150" s="18">
        <v>816</v>
      </c>
      <c r="B150" s="16" t="s">
        <v>399</v>
      </c>
      <c r="C150" s="90" t="s">
        <v>476</v>
      </c>
      <c r="D150" s="90" t="s">
        <v>25</v>
      </c>
      <c r="F150" s="17">
        <v>67876</v>
      </c>
      <c r="G150" s="17">
        <f t="shared" si="63"/>
        <v>0</v>
      </c>
      <c r="H150" s="17">
        <f t="shared" si="64"/>
        <v>0</v>
      </c>
      <c r="I150" s="17">
        <f t="shared" si="65"/>
        <v>67876</v>
      </c>
      <c r="J150" s="17">
        <f t="shared" si="66"/>
        <v>0</v>
      </c>
      <c r="K150" s="17">
        <f t="shared" si="67"/>
        <v>0</v>
      </c>
      <c r="L150" s="17">
        <f t="shared" si="68"/>
        <v>0</v>
      </c>
      <c r="M150" s="17">
        <f t="shared" si="69"/>
        <v>0</v>
      </c>
      <c r="N150" s="17">
        <f t="shared" si="70"/>
        <v>0</v>
      </c>
      <c r="O150" s="17">
        <f t="shared" si="71"/>
        <v>0</v>
      </c>
      <c r="P150" s="17">
        <f t="shared" si="72"/>
        <v>0</v>
      </c>
      <c r="Q150" s="17">
        <f t="shared" si="73"/>
        <v>0</v>
      </c>
      <c r="R150" s="17">
        <f t="shared" si="74"/>
        <v>0</v>
      </c>
      <c r="S150" s="17">
        <f t="shared" si="75"/>
        <v>0</v>
      </c>
      <c r="T150" s="17">
        <f t="shared" si="76"/>
        <v>0</v>
      </c>
      <c r="U150" s="17">
        <f t="shared" si="77"/>
        <v>0</v>
      </c>
      <c r="V150" s="17">
        <f t="shared" si="78"/>
        <v>0</v>
      </c>
      <c r="W150" s="17">
        <f t="shared" si="79"/>
        <v>67876</v>
      </c>
      <c r="X150" s="96" t="str">
        <f t="shared" si="80"/>
        <v>ok</v>
      </c>
    </row>
    <row r="151" spans="1:24" x14ac:dyDescent="0.2">
      <c r="A151" s="18">
        <v>817</v>
      </c>
      <c r="B151" s="16" t="s">
        <v>97</v>
      </c>
      <c r="C151" s="90" t="s">
        <v>477</v>
      </c>
      <c r="D151" s="90" t="s">
        <v>25</v>
      </c>
      <c r="F151" s="17">
        <v>248801</v>
      </c>
      <c r="G151" s="17">
        <f t="shared" si="63"/>
        <v>0</v>
      </c>
      <c r="H151" s="17">
        <f t="shared" si="64"/>
        <v>0</v>
      </c>
      <c r="I151" s="17">
        <f t="shared" si="65"/>
        <v>248801</v>
      </c>
      <c r="J151" s="17">
        <f t="shared" si="66"/>
        <v>0</v>
      </c>
      <c r="K151" s="17">
        <f t="shared" si="67"/>
        <v>0</v>
      </c>
      <c r="L151" s="17">
        <f t="shared" si="68"/>
        <v>0</v>
      </c>
      <c r="M151" s="17">
        <f t="shared" si="69"/>
        <v>0</v>
      </c>
      <c r="N151" s="17">
        <f t="shared" si="70"/>
        <v>0</v>
      </c>
      <c r="O151" s="17">
        <f t="shared" si="71"/>
        <v>0</v>
      </c>
      <c r="P151" s="17">
        <f t="shared" si="72"/>
        <v>0</v>
      </c>
      <c r="Q151" s="17">
        <f t="shared" si="73"/>
        <v>0</v>
      </c>
      <c r="R151" s="17">
        <f t="shared" si="74"/>
        <v>0</v>
      </c>
      <c r="S151" s="17">
        <f t="shared" si="75"/>
        <v>0</v>
      </c>
      <c r="T151" s="17">
        <f t="shared" si="76"/>
        <v>0</v>
      </c>
      <c r="U151" s="17">
        <f t="shared" si="77"/>
        <v>0</v>
      </c>
      <c r="V151" s="17">
        <f t="shared" si="78"/>
        <v>0</v>
      </c>
      <c r="W151" s="17">
        <f t="shared" si="79"/>
        <v>248801</v>
      </c>
      <c r="X151" s="96" t="str">
        <f t="shared" si="80"/>
        <v>ok</v>
      </c>
    </row>
    <row r="152" spans="1:24" x14ac:dyDescent="0.2">
      <c r="A152" s="18">
        <v>818</v>
      </c>
      <c r="B152" s="16" t="s">
        <v>657</v>
      </c>
      <c r="C152" s="90" t="s">
        <v>478</v>
      </c>
      <c r="D152" s="90" t="s">
        <v>124</v>
      </c>
      <c r="F152" s="17">
        <v>493206</v>
      </c>
      <c r="G152" s="17">
        <f t="shared" si="63"/>
        <v>0</v>
      </c>
      <c r="H152" s="17">
        <f t="shared" si="64"/>
        <v>0</v>
      </c>
      <c r="I152" s="17">
        <f t="shared" si="65"/>
        <v>0</v>
      </c>
      <c r="J152" s="17">
        <f t="shared" si="66"/>
        <v>493206</v>
      </c>
      <c r="K152" s="17">
        <f t="shared" si="67"/>
        <v>0</v>
      </c>
      <c r="L152" s="17">
        <f t="shared" si="68"/>
        <v>0</v>
      </c>
      <c r="M152" s="17">
        <f t="shared" si="69"/>
        <v>0</v>
      </c>
      <c r="N152" s="17">
        <f t="shared" si="70"/>
        <v>0</v>
      </c>
      <c r="O152" s="17">
        <f t="shared" si="71"/>
        <v>0</v>
      </c>
      <c r="P152" s="17">
        <f t="shared" si="72"/>
        <v>0</v>
      </c>
      <c r="Q152" s="17">
        <f t="shared" si="73"/>
        <v>0</v>
      </c>
      <c r="R152" s="17">
        <f t="shared" si="74"/>
        <v>0</v>
      </c>
      <c r="S152" s="17">
        <f t="shared" si="75"/>
        <v>0</v>
      </c>
      <c r="T152" s="17">
        <f t="shared" si="76"/>
        <v>0</v>
      </c>
      <c r="U152" s="17">
        <f t="shared" si="77"/>
        <v>0</v>
      </c>
      <c r="V152" s="17">
        <f t="shared" si="78"/>
        <v>0</v>
      </c>
      <c r="W152" s="17">
        <f t="shared" si="79"/>
        <v>493206</v>
      </c>
      <c r="X152" s="96" t="str">
        <f t="shared" si="80"/>
        <v>ok</v>
      </c>
    </row>
    <row r="153" spans="1:24" x14ac:dyDescent="0.2">
      <c r="A153" s="18">
        <v>819</v>
      </c>
      <c r="B153" s="16" t="s">
        <v>400</v>
      </c>
      <c r="C153" s="90" t="s">
        <v>479</v>
      </c>
      <c r="D153" s="90" t="s">
        <v>124</v>
      </c>
      <c r="F153" s="17">
        <v>0</v>
      </c>
      <c r="G153" s="17">
        <f t="shared" si="63"/>
        <v>0</v>
      </c>
      <c r="H153" s="17">
        <f t="shared" si="64"/>
        <v>0</v>
      </c>
      <c r="I153" s="17">
        <f t="shared" si="65"/>
        <v>0</v>
      </c>
      <c r="J153" s="17">
        <f t="shared" si="66"/>
        <v>0</v>
      </c>
      <c r="K153" s="17">
        <f t="shared" si="67"/>
        <v>0</v>
      </c>
      <c r="L153" s="17">
        <f t="shared" si="68"/>
        <v>0</v>
      </c>
      <c r="M153" s="17">
        <f t="shared" si="69"/>
        <v>0</v>
      </c>
      <c r="N153" s="17">
        <f t="shared" si="70"/>
        <v>0</v>
      </c>
      <c r="O153" s="17">
        <f t="shared" si="71"/>
        <v>0</v>
      </c>
      <c r="P153" s="17">
        <f t="shared" si="72"/>
        <v>0</v>
      </c>
      <c r="Q153" s="17">
        <f t="shared" si="73"/>
        <v>0</v>
      </c>
      <c r="R153" s="17">
        <f t="shared" si="74"/>
        <v>0</v>
      </c>
      <c r="S153" s="17">
        <f t="shared" si="75"/>
        <v>0</v>
      </c>
      <c r="T153" s="17">
        <f t="shared" si="76"/>
        <v>0</v>
      </c>
      <c r="U153" s="17">
        <f t="shared" si="77"/>
        <v>0</v>
      </c>
      <c r="V153" s="17">
        <f t="shared" si="78"/>
        <v>0</v>
      </c>
      <c r="W153" s="17">
        <f t="shared" si="79"/>
        <v>0</v>
      </c>
      <c r="X153" s="96" t="str">
        <f t="shared" si="80"/>
        <v>ok</v>
      </c>
    </row>
    <row r="154" spans="1:24" x14ac:dyDescent="0.2">
      <c r="A154" s="18">
        <v>820</v>
      </c>
      <c r="B154" s="16" t="s">
        <v>401</v>
      </c>
      <c r="C154" s="90" t="s">
        <v>480</v>
      </c>
      <c r="D154" s="90" t="s">
        <v>25</v>
      </c>
      <c r="F154" s="17">
        <v>0</v>
      </c>
      <c r="G154" s="17">
        <f t="shared" si="63"/>
        <v>0</v>
      </c>
      <c r="H154" s="17">
        <f t="shared" si="64"/>
        <v>0</v>
      </c>
      <c r="I154" s="17">
        <f t="shared" si="65"/>
        <v>0</v>
      </c>
      <c r="J154" s="17">
        <f t="shared" si="66"/>
        <v>0</v>
      </c>
      <c r="K154" s="17">
        <f t="shared" si="67"/>
        <v>0</v>
      </c>
      <c r="L154" s="17">
        <f t="shared" si="68"/>
        <v>0</v>
      </c>
      <c r="M154" s="17">
        <f t="shared" si="69"/>
        <v>0</v>
      </c>
      <c r="N154" s="17">
        <f t="shared" si="70"/>
        <v>0</v>
      </c>
      <c r="O154" s="17">
        <f t="shared" si="71"/>
        <v>0</v>
      </c>
      <c r="P154" s="17">
        <f t="shared" si="72"/>
        <v>0</v>
      </c>
      <c r="Q154" s="17">
        <f t="shared" si="73"/>
        <v>0</v>
      </c>
      <c r="R154" s="17">
        <f t="shared" si="74"/>
        <v>0</v>
      </c>
      <c r="S154" s="17">
        <f t="shared" si="75"/>
        <v>0</v>
      </c>
      <c r="T154" s="17">
        <f t="shared" si="76"/>
        <v>0</v>
      </c>
      <c r="U154" s="17">
        <f t="shared" si="77"/>
        <v>0</v>
      </c>
      <c r="V154" s="17">
        <f t="shared" si="78"/>
        <v>0</v>
      </c>
      <c r="W154" s="17">
        <f t="shared" si="79"/>
        <v>0</v>
      </c>
      <c r="X154" s="96" t="str">
        <f t="shared" si="80"/>
        <v>ok</v>
      </c>
    </row>
    <row r="155" spans="1:24" x14ac:dyDescent="0.2">
      <c r="A155" s="18">
        <v>821</v>
      </c>
      <c r="B155" s="16" t="s">
        <v>658</v>
      </c>
      <c r="C155" s="90" t="s">
        <v>481</v>
      </c>
      <c r="D155" s="90" t="s">
        <v>124</v>
      </c>
      <c r="F155" s="17">
        <v>538878</v>
      </c>
      <c r="G155" s="17">
        <f t="shared" si="63"/>
        <v>0</v>
      </c>
      <c r="H155" s="17">
        <f t="shared" si="64"/>
        <v>0</v>
      </c>
      <c r="I155" s="17">
        <f t="shared" si="65"/>
        <v>0</v>
      </c>
      <c r="J155" s="17">
        <f t="shared" si="66"/>
        <v>538878</v>
      </c>
      <c r="K155" s="17">
        <f t="shared" si="67"/>
        <v>0</v>
      </c>
      <c r="L155" s="17">
        <f t="shared" si="68"/>
        <v>0</v>
      </c>
      <c r="M155" s="17">
        <f t="shared" si="69"/>
        <v>0</v>
      </c>
      <c r="N155" s="17">
        <f t="shared" si="70"/>
        <v>0</v>
      </c>
      <c r="O155" s="17">
        <f t="shared" si="71"/>
        <v>0</v>
      </c>
      <c r="P155" s="17">
        <f t="shared" si="72"/>
        <v>0</v>
      </c>
      <c r="Q155" s="17">
        <f t="shared" si="73"/>
        <v>0</v>
      </c>
      <c r="R155" s="17">
        <f t="shared" si="74"/>
        <v>0</v>
      </c>
      <c r="S155" s="17">
        <f t="shared" si="75"/>
        <v>0</v>
      </c>
      <c r="T155" s="17">
        <f t="shared" si="76"/>
        <v>0</v>
      </c>
      <c r="U155" s="17">
        <f t="shared" si="77"/>
        <v>0</v>
      </c>
      <c r="V155" s="17">
        <f t="shared" si="78"/>
        <v>0</v>
      </c>
      <c r="W155" s="17">
        <f t="shared" si="79"/>
        <v>538878</v>
      </c>
      <c r="X155" s="96" t="str">
        <f t="shared" si="80"/>
        <v>ok</v>
      </c>
    </row>
    <row r="156" spans="1:24" x14ac:dyDescent="0.2">
      <c r="A156" s="18">
        <v>823</v>
      </c>
      <c r="B156" s="16" t="s">
        <v>402</v>
      </c>
      <c r="C156" s="90" t="s">
        <v>482</v>
      </c>
      <c r="D156" s="90" t="s">
        <v>124</v>
      </c>
      <c r="F156" s="17">
        <v>0</v>
      </c>
      <c r="G156" s="17">
        <f t="shared" si="63"/>
        <v>0</v>
      </c>
      <c r="H156" s="17">
        <f t="shared" si="64"/>
        <v>0</v>
      </c>
      <c r="I156" s="17">
        <f t="shared" si="65"/>
        <v>0</v>
      </c>
      <c r="J156" s="17">
        <f t="shared" si="66"/>
        <v>0</v>
      </c>
      <c r="K156" s="17">
        <f t="shared" si="67"/>
        <v>0</v>
      </c>
      <c r="L156" s="17">
        <f t="shared" si="68"/>
        <v>0</v>
      </c>
      <c r="M156" s="17">
        <f t="shared" si="69"/>
        <v>0</v>
      </c>
      <c r="N156" s="17">
        <f t="shared" si="70"/>
        <v>0</v>
      </c>
      <c r="O156" s="17">
        <f t="shared" si="71"/>
        <v>0</v>
      </c>
      <c r="P156" s="17">
        <f t="shared" si="72"/>
        <v>0</v>
      </c>
      <c r="Q156" s="17">
        <f t="shared" si="73"/>
        <v>0</v>
      </c>
      <c r="R156" s="17">
        <f t="shared" si="74"/>
        <v>0</v>
      </c>
      <c r="S156" s="17">
        <f t="shared" si="75"/>
        <v>0</v>
      </c>
      <c r="T156" s="17">
        <f t="shared" si="76"/>
        <v>0</v>
      </c>
      <c r="U156" s="17">
        <f t="shared" si="77"/>
        <v>0</v>
      </c>
      <c r="V156" s="17">
        <f t="shared" si="78"/>
        <v>0</v>
      </c>
      <c r="W156" s="17">
        <f t="shared" si="79"/>
        <v>0</v>
      </c>
      <c r="X156" s="96" t="str">
        <f t="shared" si="80"/>
        <v>ok</v>
      </c>
    </row>
    <row r="157" spans="1:24" x14ac:dyDescent="0.2">
      <c r="A157" s="18">
        <v>824</v>
      </c>
      <c r="B157" s="16" t="s">
        <v>105</v>
      </c>
      <c r="C157" s="90" t="s">
        <v>483</v>
      </c>
      <c r="D157" s="90" t="s">
        <v>124</v>
      </c>
      <c r="F157" s="17">
        <v>0</v>
      </c>
      <c r="G157" s="17">
        <f t="shared" si="63"/>
        <v>0</v>
      </c>
      <c r="H157" s="17">
        <f t="shared" si="64"/>
        <v>0</v>
      </c>
      <c r="I157" s="17">
        <f t="shared" si="65"/>
        <v>0</v>
      </c>
      <c r="J157" s="17">
        <f t="shared" si="66"/>
        <v>0</v>
      </c>
      <c r="K157" s="17">
        <f t="shared" si="67"/>
        <v>0</v>
      </c>
      <c r="L157" s="17">
        <f t="shared" si="68"/>
        <v>0</v>
      </c>
      <c r="M157" s="17">
        <f t="shared" si="69"/>
        <v>0</v>
      </c>
      <c r="N157" s="17">
        <f t="shared" si="70"/>
        <v>0</v>
      </c>
      <c r="O157" s="17">
        <f t="shared" si="71"/>
        <v>0</v>
      </c>
      <c r="P157" s="17">
        <f t="shared" si="72"/>
        <v>0</v>
      </c>
      <c r="Q157" s="17">
        <f t="shared" si="73"/>
        <v>0</v>
      </c>
      <c r="R157" s="17">
        <f t="shared" si="74"/>
        <v>0</v>
      </c>
      <c r="S157" s="17">
        <f t="shared" si="75"/>
        <v>0</v>
      </c>
      <c r="T157" s="17">
        <f t="shared" si="76"/>
        <v>0</v>
      </c>
      <c r="U157" s="17">
        <f t="shared" si="77"/>
        <v>0</v>
      </c>
      <c r="V157" s="17">
        <f t="shared" si="78"/>
        <v>0</v>
      </c>
      <c r="W157" s="17">
        <f t="shared" si="79"/>
        <v>0</v>
      </c>
      <c r="X157" s="96" t="str">
        <f t="shared" si="80"/>
        <v>ok</v>
      </c>
    </row>
    <row r="158" spans="1:24" x14ac:dyDescent="0.2">
      <c r="A158" s="18">
        <v>825</v>
      </c>
      <c r="B158" s="16" t="s">
        <v>403</v>
      </c>
      <c r="C158" s="90" t="s">
        <v>484</v>
      </c>
      <c r="D158" s="90" t="s">
        <v>25</v>
      </c>
      <c r="F158" s="17">
        <v>0</v>
      </c>
      <c r="G158" s="17">
        <f t="shared" si="63"/>
        <v>0</v>
      </c>
      <c r="H158" s="17">
        <f t="shared" si="64"/>
        <v>0</v>
      </c>
      <c r="I158" s="17">
        <f t="shared" si="65"/>
        <v>0</v>
      </c>
      <c r="J158" s="17">
        <f t="shared" si="66"/>
        <v>0</v>
      </c>
      <c r="K158" s="17">
        <f t="shared" si="67"/>
        <v>0</v>
      </c>
      <c r="L158" s="17">
        <f t="shared" si="68"/>
        <v>0</v>
      </c>
      <c r="M158" s="17">
        <f t="shared" si="69"/>
        <v>0</v>
      </c>
      <c r="N158" s="17">
        <f t="shared" si="70"/>
        <v>0</v>
      </c>
      <c r="O158" s="17">
        <f t="shared" si="71"/>
        <v>0</v>
      </c>
      <c r="P158" s="17">
        <f t="shared" si="72"/>
        <v>0</v>
      </c>
      <c r="Q158" s="17">
        <f t="shared" si="73"/>
        <v>0</v>
      </c>
      <c r="R158" s="17">
        <f t="shared" si="74"/>
        <v>0</v>
      </c>
      <c r="S158" s="17">
        <f t="shared" si="75"/>
        <v>0</v>
      </c>
      <c r="T158" s="17">
        <f t="shared" si="76"/>
        <v>0</v>
      </c>
      <c r="U158" s="17">
        <f t="shared" si="77"/>
        <v>0</v>
      </c>
      <c r="V158" s="17">
        <f t="shared" si="78"/>
        <v>0</v>
      </c>
      <c r="W158" s="17">
        <f t="shared" si="79"/>
        <v>0</v>
      </c>
      <c r="X158" s="96" t="str">
        <f t="shared" si="80"/>
        <v>ok</v>
      </c>
    </row>
    <row r="159" spans="1:24" x14ac:dyDescent="0.2">
      <c r="A159" s="18">
        <v>826</v>
      </c>
      <c r="B159" s="16" t="s">
        <v>108</v>
      </c>
      <c r="C159" s="90" t="s">
        <v>485</v>
      </c>
      <c r="D159" s="90" t="s">
        <v>25</v>
      </c>
      <c r="F159" s="17">
        <v>0</v>
      </c>
      <c r="G159" s="17">
        <f t="shared" si="63"/>
        <v>0</v>
      </c>
      <c r="H159" s="17">
        <f t="shared" si="64"/>
        <v>0</v>
      </c>
      <c r="I159" s="17">
        <f t="shared" si="65"/>
        <v>0</v>
      </c>
      <c r="J159" s="17">
        <f t="shared" si="66"/>
        <v>0</v>
      </c>
      <c r="K159" s="17">
        <f t="shared" si="67"/>
        <v>0</v>
      </c>
      <c r="L159" s="17">
        <f t="shared" si="68"/>
        <v>0</v>
      </c>
      <c r="M159" s="17">
        <f t="shared" si="69"/>
        <v>0</v>
      </c>
      <c r="N159" s="17">
        <f t="shared" si="70"/>
        <v>0</v>
      </c>
      <c r="O159" s="17">
        <f t="shared" si="71"/>
        <v>0</v>
      </c>
      <c r="P159" s="17">
        <f t="shared" si="72"/>
        <v>0</v>
      </c>
      <c r="Q159" s="17">
        <f t="shared" si="73"/>
        <v>0</v>
      </c>
      <c r="R159" s="17">
        <f t="shared" si="74"/>
        <v>0</v>
      </c>
      <c r="S159" s="17">
        <f t="shared" si="75"/>
        <v>0</v>
      </c>
      <c r="T159" s="17">
        <f t="shared" si="76"/>
        <v>0</v>
      </c>
      <c r="U159" s="17">
        <f t="shared" si="77"/>
        <v>0</v>
      </c>
      <c r="V159" s="17">
        <f t="shared" si="78"/>
        <v>0</v>
      </c>
      <c r="W159" s="17">
        <f t="shared" si="79"/>
        <v>0</v>
      </c>
      <c r="X159" s="96" t="str">
        <f t="shared" si="80"/>
        <v>ok</v>
      </c>
    </row>
    <row r="160" spans="1:24" x14ac:dyDescent="0.2">
      <c r="A160" s="18"/>
      <c r="F160" s="17"/>
    </row>
    <row r="161" spans="1:24" x14ac:dyDescent="0.2">
      <c r="A161" s="18" t="s">
        <v>629</v>
      </c>
      <c r="C161" s="90" t="s">
        <v>531</v>
      </c>
      <c r="F161" s="21">
        <f>SUM(F148:F160)</f>
        <v>2104855</v>
      </c>
      <c r="G161" s="21">
        <f t="shared" ref="G161:V161" si="81">SUM(G148:G160)</f>
        <v>0</v>
      </c>
      <c r="H161" s="21">
        <f t="shared" si="81"/>
        <v>0</v>
      </c>
      <c r="I161" s="21">
        <f t="shared" si="81"/>
        <v>494201.09777417942</v>
      </c>
      <c r="J161" s="21">
        <f t="shared" si="81"/>
        <v>1610653.9022258206</v>
      </c>
      <c r="K161" s="21">
        <f t="shared" si="81"/>
        <v>0</v>
      </c>
      <c r="L161" s="21">
        <f t="shared" si="81"/>
        <v>0</v>
      </c>
      <c r="M161" s="21">
        <f t="shared" si="81"/>
        <v>0</v>
      </c>
      <c r="N161" s="21">
        <f t="shared" si="81"/>
        <v>0</v>
      </c>
      <c r="O161" s="21">
        <f t="shared" si="81"/>
        <v>0</v>
      </c>
      <c r="P161" s="21">
        <f t="shared" si="81"/>
        <v>0</v>
      </c>
      <c r="Q161" s="21">
        <f>SUM(Q148:Q160)</f>
        <v>0</v>
      </c>
      <c r="R161" s="21">
        <f>SUM(R148:R160)</f>
        <v>0</v>
      </c>
      <c r="S161" s="21">
        <f t="shared" si="81"/>
        <v>0</v>
      </c>
      <c r="T161" s="21">
        <f t="shared" si="81"/>
        <v>0</v>
      </c>
      <c r="U161" s="21">
        <f t="shared" si="81"/>
        <v>0</v>
      </c>
      <c r="V161" s="21">
        <f t="shared" si="81"/>
        <v>0</v>
      </c>
      <c r="W161" s="17">
        <f>SUM(G161:V161)</f>
        <v>2104855</v>
      </c>
      <c r="X161" s="96" t="str">
        <f>IF(ABS(W161-F161)&lt;1,"ok","err")</f>
        <v>ok</v>
      </c>
    </row>
    <row r="162" spans="1:24" x14ac:dyDescent="0.2">
      <c r="A162" s="18"/>
      <c r="F162" s="17"/>
    </row>
    <row r="163" spans="1:24" x14ac:dyDescent="0.2">
      <c r="A163" s="93"/>
      <c r="F163" s="22"/>
      <c r="G163" s="101"/>
    </row>
    <row r="164" spans="1:24" x14ac:dyDescent="0.2">
      <c r="A164" s="18"/>
      <c r="F164" s="22"/>
      <c r="G164" s="101"/>
    </row>
    <row r="165" spans="1:24" x14ac:dyDescent="0.2">
      <c r="A165" s="93" t="s">
        <v>455</v>
      </c>
      <c r="F165" s="22"/>
      <c r="G165" s="101"/>
    </row>
    <row r="166" spans="1:24" x14ac:dyDescent="0.2">
      <c r="A166" s="18" t="s">
        <v>456</v>
      </c>
      <c r="F166" s="22"/>
      <c r="G166" s="101"/>
    </row>
    <row r="167" spans="1:24" x14ac:dyDescent="0.2">
      <c r="A167" s="18">
        <v>830</v>
      </c>
      <c r="B167" s="16" t="s">
        <v>404</v>
      </c>
      <c r="C167" s="90" t="s">
        <v>486</v>
      </c>
      <c r="D167" s="90" t="s">
        <v>631</v>
      </c>
      <c r="F167" s="17">
        <v>384520</v>
      </c>
      <c r="G167" s="17">
        <f t="shared" ref="G167:G174" si="82">(VLOOKUP($D167,$C$6:$AJ$991,5,)/VLOOKUP($D167,$C$6:$AJ$991,4,))*$F167</f>
        <v>0</v>
      </c>
      <c r="H167" s="17">
        <f t="shared" ref="H167:H174" si="83">(VLOOKUP($D167,$C$6:$AJ$991,6,)/VLOOKUP($D167,$C$6:$AJ$991,4,))*$F167</f>
        <v>0</v>
      </c>
      <c r="I167" s="17">
        <f t="shared" ref="I167:I174" si="84">(VLOOKUP($D167,$C$6:$AJ$991,7,)/VLOOKUP($D167,$C$6:$AJ$991,4,))*$F167</f>
        <v>195721.16905083455</v>
      </c>
      <c r="J167" s="17">
        <f t="shared" ref="J167:J174" si="85">(VLOOKUP($D167,$C$6:$AJ$991,8,)/VLOOKUP($D167,$C$6:$AJ$991,4,))*$F167</f>
        <v>188798.83094916542</v>
      </c>
      <c r="K167" s="17">
        <f t="shared" ref="K167:K174" si="86">(VLOOKUP($D167,$C$6:$AJ$991,9,)/VLOOKUP($D167,$C$6:$AJ$991,4,))*$F167</f>
        <v>0</v>
      </c>
      <c r="L167" s="17">
        <f t="shared" ref="L167:L174" si="87">(VLOOKUP($D167,$C$6:$AJ$991,10,)/VLOOKUP($D167,$C$6:$AJ$991,4,))*$F167</f>
        <v>0</v>
      </c>
      <c r="M167" s="17">
        <f t="shared" ref="M167:M174" si="88">(VLOOKUP($D167,$C$6:$AJ$991,11,)/VLOOKUP($D167,$C$6:$AJ$991,4,))*$F167</f>
        <v>0</v>
      </c>
      <c r="N167" s="17">
        <f t="shared" ref="N167:N174" si="89">(VLOOKUP($D167,$C$6:$AJ$991,12,)/VLOOKUP($D167,$C$6:$AJ$991,4,))*$F167</f>
        <v>0</v>
      </c>
      <c r="O167" s="17">
        <f t="shared" ref="O167:O174" si="90">(VLOOKUP($D167,$C$6:$AJ$991,13,)/VLOOKUP($D167,$C$6:$AJ$991,4,))*$F167</f>
        <v>0</v>
      </c>
      <c r="P167" s="17">
        <f t="shared" ref="P167:P174" si="91">(VLOOKUP($D167,$C$6:$AJ$991,14,)/VLOOKUP($D167,$C$6:$AJ$991,4,))*$F167</f>
        <v>0</v>
      </c>
      <c r="Q167" s="17">
        <f t="shared" ref="Q167:Q174" si="92">(VLOOKUP($D167,$C$6:$AJ$991,15,)/VLOOKUP($D167,$C$6:$AJ$991,4,))*$F167</f>
        <v>0</v>
      </c>
      <c r="R167" s="17">
        <f t="shared" ref="R167:R174" si="93">(VLOOKUP($D167,$C$6:$AJ$991,16,)/VLOOKUP($D167,$C$6:$AJ$991,4,))*$F167</f>
        <v>0</v>
      </c>
      <c r="S167" s="17">
        <f t="shared" ref="S167:S174" si="94">(VLOOKUP($D167,$C$6:$AJ$991,17,)/VLOOKUP($D167,$C$6:$AJ$991,4,))*$F167</f>
        <v>0</v>
      </c>
      <c r="T167" s="17">
        <f t="shared" ref="T167:T174" si="95">(VLOOKUP($D167,$C$6:$AJ$991,18,)/VLOOKUP($D167,$C$6:$AJ$991,4,))*$F167</f>
        <v>0</v>
      </c>
      <c r="U167" s="17">
        <f t="shared" ref="U167:U174" si="96">(VLOOKUP($D167,$C$6:$AJ$991,19,)/VLOOKUP($D167,$C$6:$AJ$991,4,))*$F167</f>
        <v>0</v>
      </c>
      <c r="V167" s="17">
        <f t="shared" ref="V167:V174" si="97">(VLOOKUP($D167,$C$6:$AJ$991,20,)/VLOOKUP($D167,$C$6:$AJ$991,4,))*$F167</f>
        <v>0</v>
      </c>
      <c r="W167" s="17">
        <f>SUM(G167:V167)</f>
        <v>384520</v>
      </c>
      <c r="X167" s="96" t="str">
        <f>IF(ABS(W167-F167)&lt;1,"ok","err")</f>
        <v>ok</v>
      </c>
    </row>
    <row r="168" spans="1:24" x14ac:dyDescent="0.2">
      <c r="A168" s="18">
        <v>831</v>
      </c>
      <c r="B168" s="16" t="s">
        <v>111</v>
      </c>
      <c r="C168" s="90" t="s">
        <v>487</v>
      </c>
      <c r="D168" s="90" t="s">
        <v>25</v>
      </c>
      <c r="F168" s="17">
        <v>0</v>
      </c>
      <c r="G168" s="17">
        <f t="shared" si="82"/>
        <v>0</v>
      </c>
      <c r="H168" s="17">
        <f t="shared" si="83"/>
        <v>0</v>
      </c>
      <c r="I168" s="17">
        <f t="shared" si="84"/>
        <v>0</v>
      </c>
      <c r="J168" s="17">
        <f t="shared" si="85"/>
        <v>0</v>
      </c>
      <c r="K168" s="17">
        <f t="shared" si="86"/>
        <v>0</v>
      </c>
      <c r="L168" s="17">
        <f t="shared" si="87"/>
        <v>0</v>
      </c>
      <c r="M168" s="17">
        <f t="shared" si="88"/>
        <v>0</v>
      </c>
      <c r="N168" s="17">
        <f t="shared" si="89"/>
        <v>0</v>
      </c>
      <c r="O168" s="17">
        <f t="shared" si="90"/>
        <v>0</v>
      </c>
      <c r="P168" s="17">
        <f t="shared" si="91"/>
        <v>0</v>
      </c>
      <c r="Q168" s="17">
        <f t="shared" si="92"/>
        <v>0</v>
      </c>
      <c r="R168" s="17">
        <f t="shared" si="93"/>
        <v>0</v>
      </c>
      <c r="S168" s="17">
        <f t="shared" si="94"/>
        <v>0</v>
      </c>
      <c r="T168" s="17">
        <f t="shared" si="95"/>
        <v>0</v>
      </c>
      <c r="U168" s="17">
        <f t="shared" si="96"/>
        <v>0</v>
      </c>
      <c r="V168" s="17">
        <f t="shared" si="97"/>
        <v>0</v>
      </c>
      <c r="W168" s="17">
        <f t="shared" ref="W168:W174" si="98">SUM(G168:V168)</f>
        <v>0</v>
      </c>
      <c r="X168" s="96" t="str">
        <f t="shared" ref="X168:X174" si="99">IF(ABS(W168-F168)&lt;1,"ok","err")</f>
        <v>ok</v>
      </c>
    </row>
    <row r="169" spans="1:24" x14ac:dyDescent="0.2">
      <c r="A169" s="18">
        <v>832</v>
      </c>
      <c r="B169" s="16" t="s">
        <v>405</v>
      </c>
      <c r="C169" s="90" t="s">
        <v>488</v>
      </c>
      <c r="D169" s="90" t="s">
        <v>25</v>
      </c>
      <c r="F169" s="17">
        <v>107377</v>
      </c>
      <c r="G169" s="17">
        <f t="shared" si="82"/>
        <v>0</v>
      </c>
      <c r="H169" s="17">
        <f t="shared" si="83"/>
        <v>0</v>
      </c>
      <c r="I169" s="17">
        <f t="shared" si="84"/>
        <v>107377</v>
      </c>
      <c r="J169" s="17">
        <f t="shared" si="85"/>
        <v>0</v>
      </c>
      <c r="K169" s="17">
        <f t="shared" si="86"/>
        <v>0</v>
      </c>
      <c r="L169" s="17">
        <f t="shared" si="87"/>
        <v>0</v>
      </c>
      <c r="M169" s="17">
        <f t="shared" si="88"/>
        <v>0</v>
      </c>
      <c r="N169" s="17">
        <f t="shared" si="89"/>
        <v>0</v>
      </c>
      <c r="O169" s="17">
        <f t="shared" si="90"/>
        <v>0</v>
      </c>
      <c r="P169" s="17">
        <f t="shared" si="91"/>
        <v>0</v>
      </c>
      <c r="Q169" s="17">
        <f t="shared" si="92"/>
        <v>0</v>
      </c>
      <c r="R169" s="17">
        <f t="shared" si="93"/>
        <v>0</v>
      </c>
      <c r="S169" s="17">
        <f t="shared" si="94"/>
        <v>0</v>
      </c>
      <c r="T169" s="17">
        <f t="shared" si="95"/>
        <v>0</v>
      </c>
      <c r="U169" s="17">
        <f t="shared" si="96"/>
        <v>0</v>
      </c>
      <c r="V169" s="17">
        <f t="shared" si="97"/>
        <v>0</v>
      </c>
      <c r="W169" s="17">
        <f t="shared" si="98"/>
        <v>107377</v>
      </c>
      <c r="X169" s="96" t="str">
        <f t="shared" si="99"/>
        <v>ok</v>
      </c>
    </row>
    <row r="170" spans="1:24" x14ac:dyDescent="0.2">
      <c r="A170" s="18">
        <v>833</v>
      </c>
      <c r="B170" s="16" t="s">
        <v>114</v>
      </c>
      <c r="C170" s="90" t="s">
        <v>489</v>
      </c>
      <c r="D170" s="90" t="s">
        <v>25</v>
      </c>
      <c r="F170" s="17">
        <v>234201</v>
      </c>
      <c r="G170" s="17">
        <f t="shared" si="82"/>
        <v>0</v>
      </c>
      <c r="H170" s="17">
        <f t="shared" si="83"/>
        <v>0</v>
      </c>
      <c r="I170" s="17">
        <f t="shared" si="84"/>
        <v>234201</v>
      </c>
      <c r="J170" s="17">
        <f t="shared" si="85"/>
        <v>0</v>
      </c>
      <c r="K170" s="17">
        <f t="shared" si="86"/>
        <v>0</v>
      </c>
      <c r="L170" s="17">
        <f t="shared" si="87"/>
        <v>0</v>
      </c>
      <c r="M170" s="17">
        <f t="shared" si="88"/>
        <v>0</v>
      </c>
      <c r="N170" s="17">
        <f t="shared" si="89"/>
        <v>0</v>
      </c>
      <c r="O170" s="17">
        <f t="shared" si="90"/>
        <v>0</v>
      </c>
      <c r="P170" s="17">
        <f t="shared" si="91"/>
        <v>0</v>
      </c>
      <c r="Q170" s="17">
        <f t="shared" si="92"/>
        <v>0</v>
      </c>
      <c r="R170" s="17">
        <f t="shared" si="93"/>
        <v>0</v>
      </c>
      <c r="S170" s="17">
        <f t="shared" si="94"/>
        <v>0</v>
      </c>
      <c r="T170" s="17">
        <f t="shared" si="95"/>
        <v>0</v>
      </c>
      <c r="U170" s="17">
        <f t="shared" si="96"/>
        <v>0</v>
      </c>
      <c r="V170" s="17">
        <f t="shared" si="97"/>
        <v>0</v>
      </c>
      <c r="W170" s="17">
        <f t="shared" si="98"/>
        <v>234201</v>
      </c>
      <c r="X170" s="96" t="str">
        <f t="shared" si="99"/>
        <v>ok</v>
      </c>
    </row>
    <row r="171" spans="1:24" x14ac:dyDescent="0.2">
      <c r="A171" s="18">
        <v>834</v>
      </c>
      <c r="B171" s="16" t="s">
        <v>406</v>
      </c>
      <c r="C171" s="90" t="s">
        <v>490</v>
      </c>
      <c r="D171" s="90" t="s">
        <v>124</v>
      </c>
      <c r="F171" s="17">
        <v>208846</v>
      </c>
      <c r="G171" s="17">
        <f t="shared" si="82"/>
        <v>0</v>
      </c>
      <c r="H171" s="17">
        <f t="shared" si="83"/>
        <v>0</v>
      </c>
      <c r="I171" s="17">
        <f t="shared" si="84"/>
        <v>0</v>
      </c>
      <c r="J171" s="17">
        <f t="shared" si="85"/>
        <v>208846</v>
      </c>
      <c r="K171" s="17">
        <f t="shared" si="86"/>
        <v>0</v>
      </c>
      <c r="L171" s="17">
        <f t="shared" si="87"/>
        <v>0</v>
      </c>
      <c r="M171" s="17">
        <f t="shared" si="88"/>
        <v>0</v>
      </c>
      <c r="N171" s="17">
        <f t="shared" si="89"/>
        <v>0</v>
      </c>
      <c r="O171" s="17">
        <f t="shared" si="90"/>
        <v>0</v>
      </c>
      <c r="P171" s="17">
        <f t="shared" si="91"/>
        <v>0</v>
      </c>
      <c r="Q171" s="17">
        <f t="shared" si="92"/>
        <v>0</v>
      </c>
      <c r="R171" s="17">
        <f t="shared" si="93"/>
        <v>0</v>
      </c>
      <c r="S171" s="17">
        <f t="shared" si="94"/>
        <v>0</v>
      </c>
      <c r="T171" s="17">
        <f t="shared" si="95"/>
        <v>0</v>
      </c>
      <c r="U171" s="17">
        <f t="shared" si="96"/>
        <v>0</v>
      </c>
      <c r="V171" s="17">
        <f t="shared" si="97"/>
        <v>0</v>
      </c>
      <c r="W171" s="17">
        <f t="shared" si="98"/>
        <v>208846</v>
      </c>
      <c r="X171" s="96" t="str">
        <f t="shared" si="99"/>
        <v>ok</v>
      </c>
    </row>
    <row r="172" spans="1:24" x14ac:dyDescent="0.2">
      <c r="A172" s="18">
        <v>835</v>
      </c>
      <c r="B172" s="16" t="s">
        <v>407</v>
      </c>
      <c r="C172" s="90" t="s">
        <v>491</v>
      </c>
      <c r="D172" s="90" t="s">
        <v>25</v>
      </c>
      <c r="F172" s="17">
        <v>0</v>
      </c>
      <c r="G172" s="17">
        <f t="shared" si="82"/>
        <v>0</v>
      </c>
      <c r="H172" s="17">
        <f t="shared" si="83"/>
        <v>0</v>
      </c>
      <c r="I172" s="17">
        <f t="shared" si="84"/>
        <v>0</v>
      </c>
      <c r="J172" s="17">
        <f t="shared" si="85"/>
        <v>0</v>
      </c>
      <c r="K172" s="17">
        <f t="shared" si="86"/>
        <v>0</v>
      </c>
      <c r="L172" s="17">
        <f t="shared" si="87"/>
        <v>0</v>
      </c>
      <c r="M172" s="17">
        <f t="shared" si="88"/>
        <v>0</v>
      </c>
      <c r="N172" s="17">
        <f t="shared" si="89"/>
        <v>0</v>
      </c>
      <c r="O172" s="17">
        <f t="shared" si="90"/>
        <v>0</v>
      </c>
      <c r="P172" s="17">
        <f t="shared" si="91"/>
        <v>0</v>
      </c>
      <c r="Q172" s="17">
        <f t="shared" si="92"/>
        <v>0</v>
      </c>
      <c r="R172" s="17">
        <f t="shared" si="93"/>
        <v>0</v>
      </c>
      <c r="S172" s="17">
        <f t="shared" si="94"/>
        <v>0</v>
      </c>
      <c r="T172" s="17">
        <f t="shared" si="95"/>
        <v>0</v>
      </c>
      <c r="U172" s="17">
        <f t="shared" si="96"/>
        <v>0</v>
      </c>
      <c r="V172" s="17">
        <f t="shared" si="97"/>
        <v>0</v>
      </c>
      <c r="W172" s="17">
        <f t="shared" si="98"/>
        <v>0</v>
      </c>
      <c r="X172" s="96" t="str">
        <f t="shared" si="99"/>
        <v>ok</v>
      </c>
    </row>
    <row r="173" spans="1:24" x14ac:dyDescent="0.2">
      <c r="A173" s="18">
        <v>836</v>
      </c>
      <c r="B173" s="16" t="s">
        <v>408</v>
      </c>
      <c r="C173" s="90" t="s">
        <v>492</v>
      </c>
      <c r="D173" s="90" t="s">
        <v>124</v>
      </c>
      <c r="F173" s="17">
        <v>315412</v>
      </c>
      <c r="G173" s="17">
        <f t="shared" si="82"/>
        <v>0</v>
      </c>
      <c r="H173" s="17">
        <f t="shared" si="83"/>
        <v>0</v>
      </c>
      <c r="I173" s="17">
        <f t="shared" si="84"/>
        <v>0</v>
      </c>
      <c r="J173" s="17">
        <f t="shared" si="85"/>
        <v>315412</v>
      </c>
      <c r="K173" s="17">
        <f t="shared" si="86"/>
        <v>0</v>
      </c>
      <c r="L173" s="17">
        <f t="shared" si="87"/>
        <v>0</v>
      </c>
      <c r="M173" s="17">
        <f t="shared" si="88"/>
        <v>0</v>
      </c>
      <c r="N173" s="17">
        <f t="shared" si="89"/>
        <v>0</v>
      </c>
      <c r="O173" s="17">
        <f t="shared" si="90"/>
        <v>0</v>
      </c>
      <c r="P173" s="17">
        <f t="shared" si="91"/>
        <v>0</v>
      </c>
      <c r="Q173" s="17">
        <f t="shared" si="92"/>
        <v>0</v>
      </c>
      <c r="R173" s="17">
        <f t="shared" si="93"/>
        <v>0</v>
      </c>
      <c r="S173" s="17">
        <f t="shared" si="94"/>
        <v>0</v>
      </c>
      <c r="T173" s="17">
        <f t="shared" si="95"/>
        <v>0</v>
      </c>
      <c r="U173" s="17">
        <f t="shared" si="96"/>
        <v>0</v>
      </c>
      <c r="V173" s="17">
        <f t="shared" si="97"/>
        <v>0</v>
      </c>
      <c r="W173" s="17">
        <f t="shared" si="98"/>
        <v>315412</v>
      </c>
      <c r="X173" s="96" t="str">
        <f t="shared" si="99"/>
        <v>ok</v>
      </c>
    </row>
    <row r="174" spans="1:24" x14ac:dyDescent="0.2">
      <c r="A174" s="18">
        <v>837</v>
      </c>
      <c r="B174" s="16" t="s">
        <v>409</v>
      </c>
      <c r="C174" s="90" t="s">
        <v>493</v>
      </c>
      <c r="D174" s="90" t="s">
        <v>25</v>
      </c>
      <c r="F174" s="17">
        <v>201902</v>
      </c>
      <c r="G174" s="17">
        <f t="shared" si="82"/>
        <v>0</v>
      </c>
      <c r="H174" s="17">
        <f t="shared" si="83"/>
        <v>0</v>
      </c>
      <c r="I174" s="17">
        <f t="shared" si="84"/>
        <v>201902</v>
      </c>
      <c r="J174" s="17">
        <f t="shared" si="85"/>
        <v>0</v>
      </c>
      <c r="K174" s="17">
        <f t="shared" si="86"/>
        <v>0</v>
      </c>
      <c r="L174" s="17">
        <f t="shared" si="87"/>
        <v>0</v>
      </c>
      <c r="M174" s="17">
        <f t="shared" si="88"/>
        <v>0</v>
      </c>
      <c r="N174" s="17">
        <f t="shared" si="89"/>
        <v>0</v>
      </c>
      <c r="O174" s="17">
        <f t="shared" si="90"/>
        <v>0</v>
      </c>
      <c r="P174" s="17">
        <f t="shared" si="91"/>
        <v>0</v>
      </c>
      <c r="Q174" s="17">
        <f t="shared" si="92"/>
        <v>0</v>
      </c>
      <c r="R174" s="17">
        <f t="shared" si="93"/>
        <v>0</v>
      </c>
      <c r="S174" s="17">
        <f t="shared" si="94"/>
        <v>0</v>
      </c>
      <c r="T174" s="17">
        <f t="shared" si="95"/>
        <v>0</v>
      </c>
      <c r="U174" s="17">
        <f t="shared" si="96"/>
        <v>0</v>
      </c>
      <c r="V174" s="17">
        <f t="shared" si="97"/>
        <v>0</v>
      </c>
      <c r="W174" s="17">
        <f t="shared" si="98"/>
        <v>201902</v>
      </c>
      <c r="X174" s="96" t="str">
        <f t="shared" si="99"/>
        <v>ok</v>
      </c>
    </row>
    <row r="175" spans="1:24" x14ac:dyDescent="0.2">
      <c r="A175" s="18"/>
      <c r="F175" s="17"/>
    </row>
    <row r="176" spans="1:24" x14ac:dyDescent="0.2">
      <c r="A176" s="18" t="s">
        <v>187</v>
      </c>
      <c r="C176" s="90" t="s">
        <v>530</v>
      </c>
      <c r="F176" s="21">
        <f>+SUM(F167:F174)</f>
        <v>1452258</v>
      </c>
      <c r="G176" s="21">
        <f t="shared" ref="G176:V176" si="100">SUM(G167:G175)</f>
        <v>0</v>
      </c>
      <c r="H176" s="21">
        <f t="shared" si="100"/>
        <v>0</v>
      </c>
      <c r="I176" s="21">
        <f t="shared" si="100"/>
        <v>739201.16905083461</v>
      </c>
      <c r="J176" s="21">
        <f t="shared" si="100"/>
        <v>713056.83094916539</v>
      </c>
      <c r="K176" s="21">
        <f t="shared" si="100"/>
        <v>0</v>
      </c>
      <c r="L176" s="21">
        <f t="shared" si="100"/>
        <v>0</v>
      </c>
      <c r="M176" s="21">
        <f t="shared" si="100"/>
        <v>0</v>
      </c>
      <c r="N176" s="21">
        <f t="shared" si="100"/>
        <v>0</v>
      </c>
      <c r="O176" s="21">
        <f t="shared" si="100"/>
        <v>0</v>
      </c>
      <c r="P176" s="21">
        <f t="shared" si="100"/>
        <v>0</v>
      </c>
      <c r="Q176" s="21">
        <f>SUM(Q167:Q175)</f>
        <v>0</v>
      </c>
      <c r="R176" s="21">
        <f>SUM(R167:R175)</f>
        <v>0</v>
      </c>
      <c r="S176" s="21">
        <f t="shared" si="100"/>
        <v>0</v>
      </c>
      <c r="T176" s="21">
        <f t="shared" si="100"/>
        <v>0</v>
      </c>
      <c r="U176" s="21">
        <f t="shared" si="100"/>
        <v>0</v>
      </c>
      <c r="V176" s="21">
        <f t="shared" si="100"/>
        <v>0</v>
      </c>
      <c r="W176" s="17">
        <f>SUM(G176:V176)</f>
        <v>1452258</v>
      </c>
      <c r="X176" s="96" t="str">
        <f>IF(ABS(W176-F176)&lt;1,"ok","err")</f>
        <v>ok</v>
      </c>
    </row>
    <row r="177" spans="1:24" x14ac:dyDescent="0.2">
      <c r="A177" s="18"/>
      <c r="F177" s="17"/>
    </row>
    <row r="178" spans="1:24" x14ac:dyDescent="0.2">
      <c r="A178" s="18"/>
      <c r="F178" s="17"/>
    </row>
    <row r="179" spans="1:24" x14ac:dyDescent="0.2">
      <c r="A179" s="18" t="s">
        <v>450</v>
      </c>
      <c r="C179" s="90" t="s">
        <v>494</v>
      </c>
      <c r="F179" s="21">
        <f>+F161+F176</f>
        <v>3557113</v>
      </c>
      <c r="G179" s="17">
        <f t="shared" ref="G179:W179" si="101">+G161+G176</f>
        <v>0</v>
      </c>
      <c r="H179" s="17">
        <f t="shared" si="101"/>
        <v>0</v>
      </c>
      <c r="I179" s="17">
        <f t="shared" si="101"/>
        <v>1233402.266825014</v>
      </c>
      <c r="J179" s="17">
        <f t="shared" si="101"/>
        <v>2323710.7331749862</v>
      </c>
      <c r="K179" s="17">
        <f t="shared" si="101"/>
        <v>0</v>
      </c>
      <c r="L179" s="17">
        <f t="shared" si="101"/>
        <v>0</v>
      </c>
      <c r="M179" s="17">
        <f t="shared" si="101"/>
        <v>0</v>
      </c>
      <c r="N179" s="17">
        <f t="shared" si="101"/>
        <v>0</v>
      </c>
      <c r="O179" s="17">
        <f t="shared" si="101"/>
        <v>0</v>
      </c>
      <c r="P179" s="17">
        <f t="shared" si="101"/>
        <v>0</v>
      </c>
      <c r="Q179" s="17">
        <f t="shared" si="101"/>
        <v>0</v>
      </c>
      <c r="R179" s="17">
        <f t="shared" si="101"/>
        <v>0</v>
      </c>
      <c r="S179" s="17">
        <f t="shared" si="101"/>
        <v>0</v>
      </c>
      <c r="T179" s="17">
        <f t="shared" si="101"/>
        <v>0</v>
      </c>
      <c r="U179" s="17">
        <f t="shared" si="101"/>
        <v>0</v>
      </c>
      <c r="V179" s="17">
        <f t="shared" si="101"/>
        <v>0</v>
      </c>
      <c r="W179" s="17">
        <f t="shared" si="101"/>
        <v>3557113</v>
      </c>
      <c r="X179" s="96" t="str">
        <f>IF(ABS(W179-F179)&lt;1,"ok","err")</f>
        <v>ok</v>
      </c>
    </row>
    <row r="180" spans="1:24" x14ac:dyDescent="0.2">
      <c r="A180" s="18"/>
      <c r="F180" s="17"/>
    </row>
    <row r="181" spans="1:24" x14ac:dyDescent="0.2">
      <c r="A181" s="18"/>
      <c r="F181" s="17"/>
    </row>
    <row r="182" spans="1:24" x14ac:dyDescent="0.2">
      <c r="A182" s="18"/>
      <c r="F182" s="17"/>
    </row>
    <row r="183" spans="1:24" x14ac:dyDescent="0.2">
      <c r="A183" s="180"/>
      <c r="F183" s="21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96"/>
    </row>
    <row r="184" spans="1:24" x14ac:dyDescent="0.2">
      <c r="A184" s="18"/>
      <c r="F184" s="17"/>
    </row>
    <row r="185" spans="1:24" x14ac:dyDescent="0.2">
      <c r="A185" s="158" t="s">
        <v>457</v>
      </c>
      <c r="F185" s="17"/>
    </row>
    <row r="186" spans="1:24" x14ac:dyDescent="0.2">
      <c r="A186" s="18"/>
      <c r="F186" s="17"/>
    </row>
    <row r="187" spans="1:24" x14ac:dyDescent="0.2">
      <c r="A187" s="93"/>
      <c r="F187" s="17"/>
    </row>
    <row r="188" spans="1:24" x14ac:dyDescent="0.2">
      <c r="A188" s="93" t="s">
        <v>4</v>
      </c>
      <c r="F188" s="17"/>
    </row>
    <row r="189" spans="1:24" x14ac:dyDescent="0.2">
      <c r="A189" s="18" t="s">
        <v>120</v>
      </c>
      <c r="B189" s="16" t="s">
        <v>429</v>
      </c>
      <c r="C189" s="90" t="s">
        <v>495</v>
      </c>
      <c r="D189" s="90" t="s">
        <v>28</v>
      </c>
      <c r="F189" s="21">
        <v>2554210</v>
      </c>
      <c r="G189" s="17">
        <f>(VLOOKUP($D189,$C$6:$AJ$991,5,)/VLOOKUP($D189,$C$6:$AJ$991,4)*F189)</f>
        <v>0</v>
      </c>
      <c r="H189" s="17">
        <f>(VLOOKUP($D189,$C$6:$AJ$991,6,)/VLOOKUP($D189,$C$6:$AJ$991,4,))*F189</f>
        <v>0</v>
      </c>
      <c r="I189" s="17">
        <f>(VLOOKUP($D189,$C$6:$AJ$991,7,)/VLOOKUP($D189,$C$6:$AJ$991,4,))*F189</f>
        <v>0</v>
      </c>
      <c r="J189" s="17">
        <f>(VLOOKUP($D189,$C$6:$AJ$991,8,)/VLOOKUP($D189,$C$6:$AJ$991,4,))*F189</f>
        <v>0</v>
      </c>
      <c r="K189" s="17">
        <f>(VLOOKUP($D189,$C$6:$AJ$991,9,)/VLOOKUP($D189,$C$6:$AJ$991,4,))*F189</f>
        <v>743510.09732000006</v>
      </c>
      <c r="L189" s="17">
        <f>(VLOOKUP($D189,$C$6:$AJ$991,10,)/VLOOKUP($D189,$C$6:$AJ$991,4,))*F189</f>
        <v>1810699.9026800001</v>
      </c>
      <c r="M189" s="17">
        <f>(VLOOKUP($D189,$C$6:$AJ$991,11,)/VLOOKUP($D189,$C$6:$AJ$991,4,))*F189</f>
        <v>0</v>
      </c>
      <c r="N189" s="17">
        <f>(VLOOKUP($D189,$C$6:$AJ$991,12,)/VLOOKUP($D189,$C$6:$AJ$991,4,))*F189</f>
        <v>0</v>
      </c>
      <c r="O189" s="17">
        <f>(VLOOKUP($D189,$C$6:$AJ$991,13,)/VLOOKUP($D189,$C$6:$AJ$991,4,))*F189</f>
        <v>0</v>
      </c>
      <c r="P189" s="17">
        <f>(VLOOKUP($D189,$C$6:$AJ$991,14,)/VLOOKUP($D189,$C$6:$AJ$991,4,))*F189</f>
        <v>0</v>
      </c>
      <c r="Q189" s="17">
        <f>(VLOOKUP($D189,$C$6:$AJ$991,15,)/VLOOKUP($D189,$C$6:$AJ$991,4,))*F189</f>
        <v>0</v>
      </c>
      <c r="R189" s="17">
        <f>(VLOOKUP($D189,$C$6:$AJ$991,16,)/VLOOKUP($D189,$C$6:$AJ$991,4,))*F189</f>
        <v>0</v>
      </c>
      <c r="S189" s="17">
        <f>(VLOOKUP($D189,$C$6:$AJ$991,17,)/VLOOKUP($D189,$C$6:$AJ$991,4,))*F189</f>
        <v>0</v>
      </c>
      <c r="T189" s="17">
        <f>(VLOOKUP($D189,$C$6:$AJ$991,18,)/VLOOKUP($D189,$C$6:$AJ$991,4,))*F189</f>
        <v>0</v>
      </c>
      <c r="U189" s="17">
        <f>(VLOOKUP($D189,$C$6:$AJ$991,19,)/VLOOKUP($D189,$C$6:$AJ$991,4,))*F189</f>
        <v>0</v>
      </c>
      <c r="V189" s="17">
        <f>(VLOOKUP($D189,$C$6:$AJ$991,20,)/VLOOKUP($D189,$C$6:$AJ$991,4,))*F189</f>
        <v>0</v>
      </c>
      <c r="W189" s="17">
        <f>SUM(G189:V189)</f>
        <v>2554210</v>
      </c>
      <c r="X189" s="96" t="str">
        <f>IF(ABS(W189-F189)&lt;1,"ok","err")</f>
        <v>ok</v>
      </c>
    </row>
    <row r="190" spans="1:24" x14ac:dyDescent="0.2">
      <c r="A190" s="93"/>
      <c r="F190" s="17"/>
    </row>
    <row r="191" spans="1:24" x14ac:dyDescent="0.2">
      <c r="A191" s="93" t="s">
        <v>6</v>
      </c>
      <c r="F191" s="17"/>
    </row>
    <row r="192" spans="1:24" x14ac:dyDescent="0.2">
      <c r="A192" s="18" t="s">
        <v>430</v>
      </c>
      <c r="F192" s="17"/>
    </row>
    <row r="193" spans="1:24" x14ac:dyDescent="0.2">
      <c r="A193" s="18">
        <v>870</v>
      </c>
      <c r="B193" s="16" t="s">
        <v>410</v>
      </c>
      <c r="C193" s="90" t="s">
        <v>496</v>
      </c>
      <c r="D193" s="90" t="s">
        <v>637</v>
      </c>
      <c r="F193" s="21">
        <v>0</v>
      </c>
      <c r="G193" s="17">
        <f t="shared" ref="G193:V193" si="102">(VLOOKUP($D193,$C$6:$AJ$991,5,)/VLOOKUP($D193,$C$6:$AJ$991,4,))*$F193</f>
        <v>0</v>
      </c>
      <c r="H193" s="17">
        <f t="shared" si="102"/>
        <v>0</v>
      </c>
      <c r="I193" s="17">
        <f t="shared" si="102"/>
        <v>0</v>
      </c>
      <c r="J193" s="17">
        <f t="shared" si="102"/>
        <v>0</v>
      </c>
      <c r="K193" s="17">
        <f t="shared" si="102"/>
        <v>0</v>
      </c>
      <c r="L193" s="17">
        <f t="shared" si="102"/>
        <v>0</v>
      </c>
      <c r="M193" s="17">
        <f t="shared" si="102"/>
        <v>0</v>
      </c>
      <c r="N193" s="17">
        <f t="shared" si="102"/>
        <v>0</v>
      </c>
      <c r="O193" s="17">
        <f t="shared" si="102"/>
        <v>0</v>
      </c>
      <c r="P193" s="17">
        <f t="shared" si="102"/>
        <v>0</v>
      </c>
      <c r="Q193" s="17">
        <f t="shared" si="102"/>
        <v>0</v>
      </c>
      <c r="R193" s="17">
        <f t="shared" si="102"/>
        <v>0</v>
      </c>
      <c r="S193" s="17">
        <f t="shared" si="102"/>
        <v>0</v>
      </c>
      <c r="T193" s="17">
        <f t="shared" si="102"/>
        <v>0</v>
      </c>
      <c r="U193" s="17">
        <f t="shared" si="102"/>
        <v>0</v>
      </c>
      <c r="V193" s="17">
        <f t="shared" si="102"/>
        <v>0</v>
      </c>
      <c r="W193" s="17">
        <f>SUM(G193:V193)</f>
        <v>0</v>
      </c>
      <c r="X193" s="96" t="str">
        <f>IF(ABS(W193-F193)&lt;1,"ok","err")</f>
        <v>ok</v>
      </c>
    </row>
    <row r="194" spans="1:24" x14ac:dyDescent="0.2">
      <c r="A194" s="18">
        <v>871</v>
      </c>
      <c r="B194" s="16" t="s">
        <v>411</v>
      </c>
      <c r="C194" s="90" t="s">
        <v>497</v>
      </c>
      <c r="D194" s="90" t="s">
        <v>35</v>
      </c>
      <c r="F194" s="17">
        <v>690001</v>
      </c>
      <c r="G194" s="17">
        <f t="shared" ref="G194:G213" si="103">(VLOOKUP($D194,$C$6:$AJ$991,5,)/VLOOKUP($D194,$C$6:$AJ$991,4,))*$F194</f>
        <v>0</v>
      </c>
      <c r="H194" s="17">
        <f t="shared" ref="H194:H213" si="104">(VLOOKUP($D194,$C$6:$AJ$991,6,)/VLOOKUP($D194,$C$6:$AJ$991,4,))*$F194</f>
        <v>0</v>
      </c>
      <c r="I194" s="17">
        <f t="shared" ref="I194:I213" si="105">(VLOOKUP($D194,$C$6:$AJ$991,7,)/VLOOKUP($D194,$C$6:$AJ$991,4,))*$F194</f>
        <v>0</v>
      </c>
      <c r="J194" s="17">
        <f t="shared" ref="J194:J213" si="106">(VLOOKUP($D194,$C$6:$AJ$991,8,)/VLOOKUP($D194,$C$6:$AJ$991,4,))*$F194</f>
        <v>0</v>
      </c>
      <c r="K194" s="17">
        <f t="shared" ref="K194:K213" si="107">(VLOOKUP($D194,$C$6:$AJ$991,9,)/VLOOKUP($D194,$C$6:$AJ$991,4,))*$F194</f>
        <v>0</v>
      </c>
      <c r="L194" s="17">
        <f t="shared" ref="L194:L213" si="108">(VLOOKUP($D194,$C$6:$AJ$991,10,)/VLOOKUP($D194,$C$6:$AJ$991,4,))*$F194</f>
        <v>0</v>
      </c>
      <c r="M194" s="17">
        <f t="shared" ref="M194:M213" si="109">(VLOOKUP($D194,$C$6:$AJ$991,11,)/VLOOKUP($D194,$C$6:$AJ$991,4,))*$F194</f>
        <v>690001</v>
      </c>
      <c r="N194" s="17">
        <f t="shared" ref="N194:N213" si="110">(VLOOKUP($D194,$C$6:$AJ$991,12,)/VLOOKUP($D194,$C$6:$AJ$991,4,))*$F194</f>
        <v>0</v>
      </c>
      <c r="O194" s="17">
        <f t="shared" ref="O194:O213" si="111">(VLOOKUP($D194,$C$6:$AJ$991,13,)/VLOOKUP($D194,$C$6:$AJ$991,4,))*$F194</f>
        <v>0</v>
      </c>
      <c r="P194" s="17">
        <f t="shared" ref="P194:P213" si="112">(VLOOKUP($D194,$C$6:$AJ$991,14,)/VLOOKUP($D194,$C$6:$AJ$991,4,))*$F194</f>
        <v>0</v>
      </c>
      <c r="Q194" s="17">
        <f t="shared" ref="Q194:Q213" si="113">(VLOOKUP($D194,$C$6:$AJ$991,15,)/VLOOKUP($D194,$C$6:$AJ$991,4,))*$F194</f>
        <v>0</v>
      </c>
      <c r="R194" s="17">
        <f t="shared" ref="R194:R213" si="114">(VLOOKUP($D194,$C$6:$AJ$991,16,)/VLOOKUP($D194,$C$6:$AJ$991,4,))*$F194</f>
        <v>0</v>
      </c>
      <c r="S194" s="17">
        <f t="shared" ref="S194:S213" si="115">(VLOOKUP($D194,$C$6:$AJ$991,17,)/VLOOKUP($D194,$C$6:$AJ$991,4,))*$F194</f>
        <v>0</v>
      </c>
      <c r="T194" s="17">
        <f t="shared" ref="T194:T213" si="116">(VLOOKUP($D194,$C$6:$AJ$991,18,)/VLOOKUP($D194,$C$6:$AJ$991,4,))*$F194</f>
        <v>0</v>
      </c>
      <c r="U194" s="17">
        <f t="shared" ref="U194:U213" si="117">(VLOOKUP($D194,$C$6:$AJ$991,19,)/VLOOKUP($D194,$C$6:$AJ$991,4,))*$F194</f>
        <v>0</v>
      </c>
      <c r="V194" s="17">
        <f t="shared" ref="V194:V213" si="118">(VLOOKUP($D194,$C$6:$AJ$991,20,)/VLOOKUP($D194,$C$6:$AJ$991,4,))*$F194</f>
        <v>0</v>
      </c>
      <c r="W194" s="17">
        <f t="shared" ref="W194:W215" si="119">SUM(G194:V194)</f>
        <v>690001</v>
      </c>
      <c r="X194" s="96" t="str">
        <f t="shared" ref="X194:X215" si="120">IF(ABS(W194-F194)&lt;1,"ok","err")</f>
        <v>ok</v>
      </c>
    </row>
    <row r="195" spans="1:24" x14ac:dyDescent="0.2">
      <c r="A195" s="18">
        <v>872</v>
      </c>
      <c r="B195" s="16" t="s">
        <v>413</v>
      </c>
      <c r="C195" s="90" t="s">
        <v>498</v>
      </c>
      <c r="D195" s="90" t="s">
        <v>35</v>
      </c>
      <c r="F195" s="17">
        <v>0</v>
      </c>
      <c r="G195" s="17">
        <f t="shared" si="103"/>
        <v>0</v>
      </c>
      <c r="H195" s="17">
        <f t="shared" si="104"/>
        <v>0</v>
      </c>
      <c r="I195" s="17">
        <f t="shared" si="105"/>
        <v>0</v>
      </c>
      <c r="J195" s="17">
        <f t="shared" si="106"/>
        <v>0</v>
      </c>
      <c r="K195" s="17">
        <f t="shared" si="107"/>
        <v>0</v>
      </c>
      <c r="L195" s="17">
        <f t="shared" si="108"/>
        <v>0</v>
      </c>
      <c r="M195" s="17">
        <f t="shared" si="109"/>
        <v>0</v>
      </c>
      <c r="N195" s="17">
        <f t="shared" si="110"/>
        <v>0</v>
      </c>
      <c r="O195" s="17">
        <f t="shared" si="111"/>
        <v>0</v>
      </c>
      <c r="P195" s="17">
        <f t="shared" si="112"/>
        <v>0</v>
      </c>
      <c r="Q195" s="17">
        <f t="shared" si="113"/>
        <v>0</v>
      </c>
      <c r="R195" s="17">
        <f t="shared" si="114"/>
        <v>0</v>
      </c>
      <c r="S195" s="17">
        <f t="shared" si="115"/>
        <v>0</v>
      </c>
      <c r="T195" s="17">
        <f t="shared" si="116"/>
        <v>0</v>
      </c>
      <c r="U195" s="17">
        <f t="shared" si="117"/>
        <v>0</v>
      </c>
      <c r="V195" s="17">
        <f t="shared" si="118"/>
        <v>0</v>
      </c>
      <c r="W195" s="17">
        <f t="shared" si="119"/>
        <v>0</v>
      </c>
      <c r="X195" s="96" t="str">
        <f t="shared" si="120"/>
        <v>ok</v>
      </c>
    </row>
    <row r="196" spans="1:24" x14ac:dyDescent="0.2">
      <c r="A196" s="18">
        <v>873</v>
      </c>
      <c r="B196" s="16" t="s">
        <v>412</v>
      </c>
      <c r="C196" s="90" t="s">
        <v>499</v>
      </c>
      <c r="D196" s="90" t="s">
        <v>35</v>
      </c>
      <c r="F196" s="17">
        <v>0</v>
      </c>
      <c r="G196" s="17">
        <f t="shared" si="103"/>
        <v>0</v>
      </c>
      <c r="H196" s="17">
        <f t="shared" si="104"/>
        <v>0</v>
      </c>
      <c r="I196" s="17">
        <f t="shared" si="105"/>
        <v>0</v>
      </c>
      <c r="J196" s="17">
        <f t="shared" si="106"/>
        <v>0</v>
      </c>
      <c r="K196" s="17">
        <f t="shared" si="107"/>
        <v>0</v>
      </c>
      <c r="L196" s="17">
        <f t="shared" si="108"/>
        <v>0</v>
      </c>
      <c r="M196" s="17">
        <f t="shared" si="109"/>
        <v>0</v>
      </c>
      <c r="N196" s="17">
        <f t="shared" si="110"/>
        <v>0</v>
      </c>
      <c r="O196" s="17">
        <f t="shared" si="111"/>
        <v>0</v>
      </c>
      <c r="P196" s="17">
        <f t="shared" si="112"/>
        <v>0</v>
      </c>
      <c r="Q196" s="17">
        <f t="shared" si="113"/>
        <v>0</v>
      </c>
      <c r="R196" s="17">
        <f t="shared" si="114"/>
        <v>0</v>
      </c>
      <c r="S196" s="17">
        <f t="shared" si="115"/>
        <v>0</v>
      </c>
      <c r="T196" s="17">
        <f t="shared" si="116"/>
        <v>0</v>
      </c>
      <c r="U196" s="17">
        <f t="shared" si="117"/>
        <v>0</v>
      </c>
      <c r="V196" s="17">
        <f t="shared" si="118"/>
        <v>0</v>
      </c>
      <c r="W196" s="17">
        <f t="shared" si="119"/>
        <v>0</v>
      </c>
      <c r="X196" s="96" t="str">
        <f t="shared" si="120"/>
        <v>ok</v>
      </c>
    </row>
    <row r="197" spans="1:24" x14ac:dyDescent="0.2">
      <c r="A197" s="18">
        <v>874.01</v>
      </c>
      <c r="B197" s="16" t="s">
        <v>414</v>
      </c>
      <c r="C197" s="90" t="s">
        <v>500</v>
      </c>
      <c r="D197" s="90" t="s">
        <v>634</v>
      </c>
      <c r="F197" s="17">
        <v>1665274</v>
      </c>
      <c r="G197" s="17">
        <f t="shared" si="103"/>
        <v>0</v>
      </c>
      <c r="H197" s="17">
        <f t="shared" si="104"/>
        <v>0</v>
      </c>
      <c r="I197" s="17">
        <f t="shared" si="105"/>
        <v>0</v>
      </c>
      <c r="J197" s="17">
        <f t="shared" si="106"/>
        <v>0</v>
      </c>
      <c r="K197" s="17">
        <f t="shared" si="107"/>
        <v>0</v>
      </c>
      <c r="L197" s="17">
        <f t="shared" si="108"/>
        <v>0</v>
      </c>
      <c r="M197" s="17">
        <f t="shared" si="109"/>
        <v>0</v>
      </c>
      <c r="N197" s="17">
        <f t="shared" si="110"/>
        <v>0</v>
      </c>
      <c r="O197" s="17">
        <f t="shared" si="111"/>
        <v>267526.29418965505</v>
      </c>
      <c r="P197" s="17">
        <f t="shared" si="112"/>
        <v>527096.25265004172</v>
      </c>
      <c r="Q197" s="17">
        <f t="shared" si="113"/>
        <v>45724.753732513826</v>
      </c>
      <c r="R197" s="17">
        <f t="shared" si="114"/>
        <v>38805.8186839677</v>
      </c>
      <c r="S197" s="17">
        <f t="shared" si="115"/>
        <v>786120.88074382197</v>
      </c>
      <c r="T197" s="17">
        <f t="shared" si="116"/>
        <v>0</v>
      </c>
      <c r="U197" s="17">
        <f t="shared" si="117"/>
        <v>0</v>
      </c>
      <c r="V197" s="17">
        <f t="shared" si="118"/>
        <v>0</v>
      </c>
      <c r="W197" s="17">
        <f t="shared" si="119"/>
        <v>1665274.0000000005</v>
      </c>
      <c r="X197" s="96" t="str">
        <f t="shared" si="120"/>
        <v>ok</v>
      </c>
    </row>
    <row r="198" spans="1:24" x14ac:dyDescent="0.2">
      <c r="A198" s="18">
        <v>874.02</v>
      </c>
      <c r="B198" s="16" t="s">
        <v>415</v>
      </c>
      <c r="C198" s="90" t="s">
        <v>501</v>
      </c>
      <c r="D198" s="90" t="s">
        <v>40</v>
      </c>
      <c r="F198" s="17">
        <v>0</v>
      </c>
      <c r="G198" s="17">
        <f t="shared" si="103"/>
        <v>0</v>
      </c>
      <c r="H198" s="17">
        <f t="shared" si="104"/>
        <v>0</v>
      </c>
      <c r="I198" s="17">
        <f t="shared" si="105"/>
        <v>0</v>
      </c>
      <c r="J198" s="17">
        <f t="shared" si="106"/>
        <v>0</v>
      </c>
      <c r="K198" s="17">
        <f t="shared" si="107"/>
        <v>0</v>
      </c>
      <c r="L198" s="17">
        <f t="shared" si="108"/>
        <v>0</v>
      </c>
      <c r="M198" s="17">
        <f t="shared" si="109"/>
        <v>0</v>
      </c>
      <c r="N198" s="17">
        <f t="shared" si="110"/>
        <v>0</v>
      </c>
      <c r="O198" s="17">
        <f t="shared" si="111"/>
        <v>0</v>
      </c>
      <c r="P198" s="17">
        <f t="shared" si="112"/>
        <v>0</v>
      </c>
      <c r="Q198" s="17">
        <f t="shared" si="113"/>
        <v>0</v>
      </c>
      <c r="R198" s="17">
        <f t="shared" si="114"/>
        <v>0</v>
      </c>
      <c r="S198" s="17">
        <f t="shared" si="115"/>
        <v>0</v>
      </c>
      <c r="T198" s="17">
        <f t="shared" si="116"/>
        <v>0</v>
      </c>
      <c r="U198" s="17">
        <f t="shared" si="117"/>
        <v>0</v>
      </c>
      <c r="V198" s="17">
        <f t="shared" si="118"/>
        <v>0</v>
      </c>
      <c r="W198" s="17">
        <f t="shared" si="119"/>
        <v>0</v>
      </c>
      <c r="X198" s="96" t="str">
        <f t="shared" si="120"/>
        <v>ok</v>
      </c>
    </row>
    <row r="199" spans="1:24" x14ac:dyDescent="0.2">
      <c r="A199" s="18">
        <v>874.03</v>
      </c>
      <c r="B199" s="16" t="s">
        <v>416</v>
      </c>
      <c r="C199" s="90" t="s">
        <v>502</v>
      </c>
      <c r="D199" s="90" t="s">
        <v>42</v>
      </c>
      <c r="F199" s="17">
        <v>0</v>
      </c>
      <c r="G199" s="17">
        <f t="shared" si="103"/>
        <v>0</v>
      </c>
      <c r="H199" s="17">
        <f t="shared" si="104"/>
        <v>0</v>
      </c>
      <c r="I199" s="17">
        <f t="shared" si="105"/>
        <v>0</v>
      </c>
      <c r="J199" s="17">
        <f t="shared" si="106"/>
        <v>0</v>
      </c>
      <c r="K199" s="17">
        <f t="shared" si="107"/>
        <v>0</v>
      </c>
      <c r="L199" s="17">
        <f t="shared" si="108"/>
        <v>0</v>
      </c>
      <c r="M199" s="17">
        <f t="shared" si="109"/>
        <v>0</v>
      </c>
      <c r="N199" s="17">
        <f t="shared" si="110"/>
        <v>0</v>
      </c>
      <c r="O199" s="17">
        <f t="shared" si="111"/>
        <v>0</v>
      </c>
      <c r="P199" s="17">
        <f t="shared" si="112"/>
        <v>0</v>
      </c>
      <c r="Q199" s="17">
        <f t="shared" si="113"/>
        <v>0</v>
      </c>
      <c r="R199" s="17">
        <f t="shared" si="114"/>
        <v>0</v>
      </c>
      <c r="S199" s="17">
        <f t="shared" si="115"/>
        <v>0</v>
      </c>
      <c r="T199" s="17">
        <f t="shared" si="116"/>
        <v>0</v>
      </c>
      <c r="U199" s="17">
        <f t="shared" si="117"/>
        <v>0</v>
      </c>
      <c r="V199" s="17">
        <f t="shared" si="118"/>
        <v>0</v>
      </c>
      <c r="W199" s="17">
        <f t="shared" si="119"/>
        <v>0</v>
      </c>
      <c r="X199" s="96" t="str">
        <f t="shared" si="120"/>
        <v>ok</v>
      </c>
    </row>
    <row r="200" spans="1:24" x14ac:dyDescent="0.2">
      <c r="A200" s="18">
        <v>874.04</v>
      </c>
      <c r="B200" s="16" t="s">
        <v>417</v>
      </c>
      <c r="C200" s="90" t="s">
        <v>503</v>
      </c>
      <c r="D200" s="90" t="s">
        <v>634</v>
      </c>
      <c r="F200" s="17">
        <v>0</v>
      </c>
      <c r="G200" s="17">
        <f t="shared" si="103"/>
        <v>0</v>
      </c>
      <c r="H200" s="17">
        <f t="shared" si="104"/>
        <v>0</v>
      </c>
      <c r="I200" s="17">
        <f t="shared" si="105"/>
        <v>0</v>
      </c>
      <c r="J200" s="17">
        <f t="shared" si="106"/>
        <v>0</v>
      </c>
      <c r="K200" s="17">
        <f t="shared" si="107"/>
        <v>0</v>
      </c>
      <c r="L200" s="17">
        <f t="shared" si="108"/>
        <v>0</v>
      </c>
      <c r="M200" s="17">
        <f t="shared" si="109"/>
        <v>0</v>
      </c>
      <c r="N200" s="17">
        <f t="shared" si="110"/>
        <v>0</v>
      </c>
      <c r="O200" s="17">
        <f t="shared" si="111"/>
        <v>0</v>
      </c>
      <c r="P200" s="17">
        <f t="shared" si="112"/>
        <v>0</v>
      </c>
      <c r="Q200" s="17">
        <f t="shared" si="113"/>
        <v>0</v>
      </c>
      <c r="R200" s="17">
        <f t="shared" si="114"/>
        <v>0</v>
      </c>
      <c r="S200" s="17">
        <f t="shared" si="115"/>
        <v>0</v>
      </c>
      <c r="T200" s="17">
        <f t="shared" si="116"/>
        <v>0</v>
      </c>
      <c r="U200" s="17">
        <f t="shared" si="117"/>
        <v>0</v>
      </c>
      <c r="V200" s="17">
        <f t="shared" si="118"/>
        <v>0</v>
      </c>
      <c r="W200" s="17">
        <f t="shared" si="119"/>
        <v>0</v>
      </c>
      <c r="X200" s="96" t="str">
        <f t="shared" si="120"/>
        <v>ok</v>
      </c>
    </row>
    <row r="201" spans="1:24" x14ac:dyDescent="0.2">
      <c r="A201" s="18">
        <v>874.05</v>
      </c>
      <c r="B201" s="16" t="s">
        <v>418</v>
      </c>
      <c r="C201" s="90" t="s">
        <v>504</v>
      </c>
      <c r="D201" s="90" t="s">
        <v>42</v>
      </c>
      <c r="F201" s="17">
        <v>0</v>
      </c>
      <c r="G201" s="17">
        <f t="shared" si="103"/>
        <v>0</v>
      </c>
      <c r="H201" s="17">
        <f t="shared" si="104"/>
        <v>0</v>
      </c>
      <c r="I201" s="17">
        <f t="shared" si="105"/>
        <v>0</v>
      </c>
      <c r="J201" s="17">
        <f t="shared" si="106"/>
        <v>0</v>
      </c>
      <c r="K201" s="17">
        <f t="shared" si="107"/>
        <v>0</v>
      </c>
      <c r="L201" s="17">
        <f t="shared" si="108"/>
        <v>0</v>
      </c>
      <c r="M201" s="17">
        <f t="shared" si="109"/>
        <v>0</v>
      </c>
      <c r="N201" s="17">
        <f t="shared" si="110"/>
        <v>0</v>
      </c>
      <c r="O201" s="17">
        <f t="shared" si="111"/>
        <v>0</v>
      </c>
      <c r="P201" s="17">
        <f t="shared" si="112"/>
        <v>0</v>
      </c>
      <c r="Q201" s="17">
        <f t="shared" si="113"/>
        <v>0</v>
      </c>
      <c r="R201" s="17">
        <f t="shared" si="114"/>
        <v>0</v>
      </c>
      <c r="S201" s="17">
        <f t="shared" si="115"/>
        <v>0</v>
      </c>
      <c r="T201" s="17">
        <f t="shared" si="116"/>
        <v>0</v>
      </c>
      <c r="U201" s="17">
        <f t="shared" si="117"/>
        <v>0</v>
      </c>
      <c r="V201" s="17">
        <f t="shared" si="118"/>
        <v>0</v>
      </c>
      <c r="W201" s="17">
        <f t="shared" si="119"/>
        <v>0</v>
      </c>
      <c r="X201" s="96" t="str">
        <f t="shared" si="120"/>
        <v>ok</v>
      </c>
    </row>
    <row r="202" spans="1:24" x14ac:dyDescent="0.2">
      <c r="A202" s="18">
        <v>874.06</v>
      </c>
      <c r="B202" s="16" t="s">
        <v>419</v>
      </c>
      <c r="C202" s="90" t="s">
        <v>505</v>
      </c>
      <c r="D202" s="90" t="s">
        <v>40</v>
      </c>
      <c r="F202" s="17">
        <v>0</v>
      </c>
      <c r="G202" s="17">
        <f t="shared" si="103"/>
        <v>0</v>
      </c>
      <c r="H202" s="17">
        <f t="shared" si="104"/>
        <v>0</v>
      </c>
      <c r="I202" s="17">
        <f t="shared" si="105"/>
        <v>0</v>
      </c>
      <c r="J202" s="17">
        <f t="shared" si="106"/>
        <v>0</v>
      </c>
      <c r="K202" s="17">
        <f t="shared" si="107"/>
        <v>0</v>
      </c>
      <c r="L202" s="17">
        <f t="shared" si="108"/>
        <v>0</v>
      </c>
      <c r="M202" s="17">
        <f t="shared" si="109"/>
        <v>0</v>
      </c>
      <c r="N202" s="17">
        <f t="shared" si="110"/>
        <v>0</v>
      </c>
      <c r="O202" s="17">
        <f t="shared" si="111"/>
        <v>0</v>
      </c>
      <c r="P202" s="17">
        <f t="shared" si="112"/>
        <v>0</v>
      </c>
      <c r="Q202" s="17">
        <f t="shared" si="113"/>
        <v>0</v>
      </c>
      <c r="R202" s="17">
        <f t="shared" si="114"/>
        <v>0</v>
      </c>
      <c r="S202" s="17">
        <f t="shared" si="115"/>
        <v>0</v>
      </c>
      <c r="T202" s="17">
        <f t="shared" si="116"/>
        <v>0</v>
      </c>
      <c r="U202" s="17">
        <f t="shared" si="117"/>
        <v>0</v>
      </c>
      <c r="V202" s="17">
        <f t="shared" si="118"/>
        <v>0</v>
      </c>
      <c r="W202" s="17">
        <f t="shared" si="119"/>
        <v>0</v>
      </c>
      <c r="X202" s="96" t="str">
        <f t="shared" si="120"/>
        <v>ok</v>
      </c>
    </row>
    <row r="203" spans="1:24" x14ac:dyDescent="0.2">
      <c r="A203" s="18">
        <v>874.07</v>
      </c>
      <c r="B203" s="16" t="s">
        <v>420</v>
      </c>
      <c r="C203" s="90" t="s">
        <v>506</v>
      </c>
      <c r="D203" s="90" t="s">
        <v>40</v>
      </c>
      <c r="F203" s="17">
        <v>0</v>
      </c>
      <c r="G203" s="17">
        <f t="shared" si="103"/>
        <v>0</v>
      </c>
      <c r="H203" s="17">
        <f t="shared" si="104"/>
        <v>0</v>
      </c>
      <c r="I203" s="17">
        <f t="shared" si="105"/>
        <v>0</v>
      </c>
      <c r="J203" s="17">
        <f t="shared" si="106"/>
        <v>0</v>
      </c>
      <c r="K203" s="17">
        <f t="shared" si="107"/>
        <v>0</v>
      </c>
      <c r="L203" s="17">
        <f t="shared" si="108"/>
        <v>0</v>
      </c>
      <c r="M203" s="17">
        <f t="shared" si="109"/>
        <v>0</v>
      </c>
      <c r="N203" s="17">
        <f t="shared" si="110"/>
        <v>0</v>
      </c>
      <c r="O203" s="17">
        <f t="shared" si="111"/>
        <v>0</v>
      </c>
      <c r="P203" s="17">
        <f t="shared" si="112"/>
        <v>0</v>
      </c>
      <c r="Q203" s="17">
        <f t="shared" si="113"/>
        <v>0</v>
      </c>
      <c r="R203" s="17">
        <f t="shared" si="114"/>
        <v>0</v>
      </c>
      <c r="S203" s="17">
        <f t="shared" si="115"/>
        <v>0</v>
      </c>
      <c r="T203" s="17">
        <f t="shared" si="116"/>
        <v>0</v>
      </c>
      <c r="U203" s="17">
        <f t="shared" si="117"/>
        <v>0</v>
      </c>
      <c r="V203" s="17">
        <f t="shared" si="118"/>
        <v>0</v>
      </c>
      <c r="W203" s="17">
        <f t="shared" si="119"/>
        <v>0</v>
      </c>
      <c r="X203" s="96" t="str">
        <f t="shared" si="120"/>
        <v>ok</v>
      </c>
    </row>
    <row r="204" spans="1:24" x14ac:dyDescent="0.2">
      <c r="A204" s="18">
        <v>874.08</v>
      </c>
      <c r="B204" s="16" t="s">
        <v>421</v>
      </c>
      <c r="C204" s="90" t="s">
        <v>507</v>
      </c>
      <c r="D204" s="90" t="s">
        <v>35</v>
      </c>
      <c r="F204" s="17">
        <v>0</v>
      </c>
      <c r="G204" s="17">
        <f t="shared" si="103"/>
        <v>0</v>
      </c>
      <c r="H204" s="17">
        <f t="shared" si="104"/>
        <v>0</v>
      </c>
      <c r="I204" s="17">
        <f t="shared" si="105"/>
        <v>0</v>
      </c>
      <c r="J204" s="17">
        <f t="shared" si="106"/>
        <v>0</v>
      </c>
      <c r="K204" s="17">
        <f t="shared" si="107"/>
        <v>0</v>
      </c>
      <c r="L204" s="17">
        <f t="shared" si="108"/>
        <v>0</v>
      </c>
      <c r="M204" s="17">
        <f t="shared" si="109"/>
        <v>0</v>
      </c>
      <c r="N204" s="17">
        <f t="shared" si="110"/>
        <v>0</v>
      </c>
      <c r="O204" s="17">
        <f t="shared" si="111"/>
        <v>0</v>
      </c>
      <c r="P204" s="17">
        <f t="shared" si="112"/>
        <v>0</v>
      </c>
      <c r="Q204" s="17">
        <f t="shared" si="113"/>
        <v>0</v>
      </c>
      <c r="R204" s="17">
        <f t="shared" si="114"/>
        <v>0</v>
      </c>
      <c r="S204" s="17">
        <f t="shared" si="115"/>
        <v>0</v>
      </c>
      <c r="T204" s="17">
        <f t="shared" si="116"/>
        <v>0</v>
      </c>
      <c r="U204" s="17">
        <f t="shared" si="117"/>
        <v>0</v>
      </c>
      <c r="V204" s="17">
        <f t="shared" si="118"/>
        <v>0</v>
      </c>
      <c r="W204" s="17">
        <f t="shared" si="119"/>
        <v>0</v>
      </c>
      <c r="X204" s="96" t="str">
        <f t="shared" si="120"/>
        <v>ok</v>
      </c>
    </row>
    <row r="205" spans="1:24" x14ac:dyDescent="0.2">
      <c r="A205" s="18">
        <v>874.09</v>
      </c>
      <c r="B205" s="16" t="s">
        <v>422</v>
      </c>
      <c r="C205" s="90" t="s">
        <v>508</v>
      </c>
      <c r="D205" s="90" t="s">
        <v>40</v>
      </c>
      <c r="F205" s="17">
        <v>0</v>
      </c>
      <c r="G205" s="17">
        <f t="shared" si="103"/>
        <v>0</v>
      </c>
      <c r="H205" s="17">
        <f t="shared" si="104"/>
        <v>0</v>
      </c>
      <c r="I205" s="17">
        <f t="shared" si="105"/>
        <v>0</v>
      </c>
      <c r="J205" s="17">
        <f t="shared" si="106"/>
        <v>0</v>
      </c>
      <c r="K205" s="17">
        <f t="shared" si="107"/>
        <v>0</v>
      </c>
      <c r="L205" s="17">
        <f t="shared" si="108"/>
        <v>0</v>
      </c>
      <c r="M205" s="17">
        <f t="shared" si="109"/>
        <v>0</v>
      </c>
      <c r="N205" s="17">
        <f t="shared" si="110"/>
        <v>0</v>
      </c>
      <c r="O205" s="17">
        <f t="shared" si="111"/>
        <v>0</v>
      </c>
      <c r="P205" s="17">
        <f t="shared" si="112"/>
        <v>0</v>
      </c>
      <c r="Q205" s="17">
        <f t="shared" si="113"/>
        <v>0</v>
      </c>
      <c r="R205" s="17">
        <f t="shared" si="114"/>
        <v>0</v>
      </c>
      <c r="S205" s="17">
        <f t="shared" si="115"/>
        <v>0</v>
      </c>
      <c r="T205" s="17">
        <f t="shared" si="116"/>
        <v>0</v>
      </c>
      <c r="U205" s="17">
        <f t="shared" si="117"/>
        <v>0</v>
      </c>
      <c r="V205" s="17">
        <f t="shared" si="118"/>
        <v>0</v>
      </c>
      <c r="W205" s="17">
        <f t="shared" si="119"/>
        <v>0</v>
      </c>
      <c r="X205" s="96" t="str">
        <f t="shared" si="120"/>
        <v>ok</v>
      </c>
    </row>
    <row r="206" spans="1:24" x14ac:dyDescent="0.2">
      <c r="A206" s="18">
        <v>874.1</v>
      </c>
      <c r="B206" s="16" t="s">
        <v>423</v>
      </c>
      <c r="C206" s="90" t="s">
        <v>509</v>
      </c>
      <c r="D206" s="90" t="s">
        <v>40</v>
      </c>
      <c r="F206" s="17">
        <v>0</v>
      </c>
      <c r="G206" s="17">
        <f t="shared" si="103"/>
        <v>0</v>
      </c>
      <c r="H206" s="17">
        <f t="shared" si="104"/>
        <v>0</v>
      </c>
      <c r="I206" s="17">
        <f t="shared" si="105"/>
        <v>0</v>
      </c>
      <c r="J206" s="17">
        <f t="shared" si="106"/>
        <v>0</v>
      </c>
      <c r="K206" s="17">
        <f t="shared" si="107"/>
        <v>0</v>
      </c>
      <c r="L206" s="17">
        <f t="shared" si="108"/>
        <v>0</v>
      </c>
      <c r="M206" s="17">
        <f t="shared" si="109"/>
        <v>0</v>
      </c>
      <c r="N206" s="17">
        <f t="shared" si="110"/>
        <v>0</v>
      </c>
      <c r="O206" s="17">
        <f t="shared" si="111"/>
        <v>0</v>
      </c>
      <c r="P206" s="17">
        <f t="shared" si="112"/>
        <v>0</v>
      </c>
      <c r="Q206" s="17">
        <f t="shared" si="113"/>
        <v>0</v>
      </c>
      <c r="R206" s="17">
        <f t="shared" si="114"/>
        <v>0</v>
      </c>
      <c r="S206" s="17">
        <f t="shared" si="115"/>
        <v>0</v>
      </c>
      <c r="T206" s="17">
        <f t="shared" si="116"/>
        <v>0</v>
      </c>
      <c r="U206" s="17">
        <f t="shared" si="117"/>
        <v>0</v>
      </c>
      <c r="V206" s="17">
        <f t="shared" si="118"/>
        <v>0</v>
      </c>
      <c r="W206" s="17">
        <f t="shared" si="119"/>
        <v>0</v>
      </c>
      <c r="X206" s="96" t="str">
        <f t="shared" si="120"/>
        <v>ok</v>
      </c>
    </row>
    <row r="207" spans="1:24" x14ac:dyDescent="0.2">
      <c r="A207" s="18">
        <v>875</v>
      </c>
      <c r="B207" s="16" t="s">
        <v>424</v>
      </c>
      <c r="C207" s="90" t="s">
        <v>510</v>
      </c>
      <c r="D207" s="90" t="s">
        <v>38</v>
      </c>
      <c r="F207" s="21">
        <v>742997</v>
      </c>
      <c r="G207" s="17">
        <f t="shared" si="103"/>
        <v>0</v>
      </c>
      <c r="H207" s="17">
        <f t="shared" si="104"/>
        <v>0</v>
      </c>
      <c r="I207" s="17">
        <f t="shared" si="105"/>
        <v>0</v>
      </c>
      <c r="J207" s="17">
        <f t="shared" si="106"/>
        <v>0</v>
      </c>
      <c r="K207" s="17">
        <f t="shared" si="107"/>
        <v>0</v>
      </c>
      <c r="L207" s="17">
        <f t="shared" si="108"/>
        <v>0</v>
      </c>
      <c r="M207" s="17">
        <f t="shared" si="109"/>
        <v>0</v>
      </c>
      <c r="N207" s="17">
        <f t="shared" si="110"/>
        <v>742997</v>
      </c>
      <c r="O207" s="17">
        <f t="shared" si="111"/>
        <v>0</v>
      </c>
      <c r="P207" s="17">
        <f t="shared" si="112"/>
        <v>0</v>
      </c>
      <c r="Q207" s="17">
        <f t="shared" si="113"/>
        <v>0</v>
      </c>
      <c r="R207" s="17">
        <f t="shared" si="114"/>
        <v>0</v>
      </c>
      <c r="S207" s="17">
        <f t="shared" si="115"/>
        <v>0</v>
      </c>
      <c r="T207" s="17">
        <f t="shared" si="116"/>
        <v>0</v>
      </c>
      <c r="U207" s="17">
        <f t="shared" si="117"/>
        <v>0</v>
      </c>
      <c r="V207" s="17">
        <f t="shared" si="118"/>
        <v>0</v>
      </c>
      <c r="W207" s="17">
        <f t="shared" si="119"/>
        <v>742997</v>
      </c>
      <c r="X207" s="96" t="str">
        <f t="shared" si="120"/>
        <v>ok</v>
      </c>
    </row>
    <row r="208" spans="1:24" x14ac:dyDescent="0.2">
      <c r="A208" s="18">
        <v>876</v>
      </c>
      <c r="B208" s="16" t="s">
        <v>425</v>
      </c>
      <c r="C208" s="90" t="s">
        <v>511</v>
      </c>
      <c r="D208" s="90" t="s">
        <v>45</v>
      </c>
      <c r="F208" s="21">
        <v>308060</v>
      </c>
      <c r="G208" s="17">
        <f t="shared" si="103"/>
        <v>0</v>
      </c>
      <c r="H208" s="17">
        <f t="shared" si="104"/>
        <v>0</v>
      </c>
      <c r="I208" s="17">
        <f t="shared" si="105"/>
        <v>0</v>
      </c>
      <c r="J208" s="17">
        <f t="shared" si="106"/>
        <v>0</v>
      </c>
      <c r="K208" s="17">
        <f t="shared" si="107"/>
        <v>0</v>
      </c>
      <c r="L208" s="17">
        <f t="shared" si="108"/>
        <v>0</v>
      </c>
      <c r="M208" s="17">
        <f t="shared" si="109"/>
        <v>0</v>
      </c>
      <c r="N208" s="17">
        <f t="shared" si="110"/>
        <v>0</v>
      </c>
      <c r="O208" s="17">
        <f t="shared" si="111"/>
        <v>0</v>
      </c>
      <c r="P208" s="17">
        <f t="shared" si="112"/>
        <v>0</v>
      </c>
      <c r="Q208" s="17">
        <f t="shared" si="113"/>
        <v>0</v>
      </c>
      <c r="R208" s="17">
        <f t="shared" si="114"/>
        <v>0</v>
      </c>
      <c r="S208" s="17">
        <f t="shared" si="115"/>
        <v>0</v>
      </c>
      <c r="T208" s="17">
        <f t="shared" si="116"/>
        <v>308060</v>
      </c>
      <c r="U208" s="17">
        <f t="shared" si="117"/>
        <v>0</v>
      </c>
      <c r="V208" s="17">
        <f t="shared" si="118"/>
        <v>0</v>
      </c>
      <c r="W208" s="17">
        <f t="shared" si="119"/>
        <v>308060</v>
      </c>
      <c r="X208" s="96" t="str">
        <f t="shared" si="120"/>
        <v>ok</v>
      </c>
    </row>
    <row r="209" spans="1:24" x14ac:dyDescent="0.2">
      <c r="A209" s="18">
        <v>877</v>
      </c>
      <c r="B209" s="16" t="s">
        <v>426</v>
      </c>
      <c r="C209" s="90" t="s">
        <v>512</v>
      </c>
      <c r="D209" s="90" t="s">
        <v>38</v>
      </c>
      <c r="F209" s="21">
        <v>80000</v>
      </c>
      <c r="G209" s="17">
        <f t="shared" si="103"/>
        <v>0</v>
      </c>
      <c r="H209" s="17">
        <f t="shared" si="104"/>
        <v>0</v>
      </c>
      <c r="I209" s="17">
        <f t="shared" si="105"/>
        <v>0</v>
      </c>
      <c r="J209" s="17">
        <f t="shared" si="106"/>
        <v>0</v>
      </c>
      <c r="K209" s="17">
        <f t="shared" si="107"/>
        <v>0</v>
      </c>
      <c r="L209" s="17">
        <f t="shared" si="108"/>
        <v>0</v>
      </c>
      <c r="M209" s="17">
        <f t="shared" si="109"/>
        <v>0</v>
      </c>
      <c r="N209" s="17">
        <f t="shared" si="110"/>
        <v>80000</v>
      </c>
      <c r="O209" s="17">
        <f t="shared" si="111"/>
        <v>0</v>
      </c>
      <c r="P209" s="17">
        <f t="shared" si="112"/>
        <v>0</v>
      </c>
      <c r="Q209" s="17">
        <f t="shared" si="113"/>
        <v>0</v>
      </c>
      <c r="R209" s="17">
        <f t="shared" si="114"/>
        <v>0</v>
      </c>
      <c r="S209" s="17">
        <f t="shared" si="115"/>
        <v>0</v>
      </c>
      <c r="T209" s="17">
        <f t="shared" si="116"/>
        <v>0</v>
      </c>
      <c r="U209" s="17">
        <f t="shared" si="117"/>
        <v>0</v>
      </c>
      <c r="V209" s="17">
        <f t="shared" si="118"/>
        <v>0</v>
      </c>
      <c r="W209" s="17">
        <f t="shared" si="119"/>
        <v>80000</v>
      </c>
      <c r="X209" s="96" t="str">
        <f t="shared" si="120"/>
        <v>ok</v>
      </c>
    </row>
    <row r="210" spans="1:24" x14ac:dyDescent="0.2">
      <c r="A210" s="18">
        <v>878</v>
      </c>
      <c r="B210" s="16" t="s">
        <v>427</v>
      </c>
      <c r="C210" s="90" t="s">
        <v>513</v>
      </c>
      <c r="D210" s="90" t="s">
        <v>45</v>
      </c>
      <c r="F210" s="21">
        <v>983143</v>
      </c>
      <c r="G210" s="17">
        <f t="shared" si="103"/>
        <v>0</v>
      </c>
      <c r="H210" s="17">
        <f t="shared" si="104"/>
        <v>0</v>
      </c>
      <c r="I210" s="17">
        <f t="shared" si="105"/>
        <v>0</v>
      </c>
      <c r="J210" s="17">
        <f t="shared" si="106"/>
        <v>0</v>
      </c>
      <c r="K210" s="17">
        <f t="shared" si="107"/>
        <v>0</v>
      </c>
      <c r="L210" s="17">
        <f t="shared" si="108"/>
        <v>0</v>
      </c>
      <c r="M210" s="17">
        <f t="shared" si="109"/>
        <v>0</v>
      </c>
      <c r="N210" s="17">
        <f t="shared" si="110"/>
        <v>0</v>
      </c>
      <c r="O210" s="17">
        <f t="shared" si="111"/>
        <v>0</v>
      </c>
      <c r="P210" s="17">
        <f t="shared" si="112"/>
        <v>0</v>
      </c>
      <c r="Q210" s="17">
        <f t="shared" si="113"/>
        <v>0</v>
      </c>
      <c r="R210" s="17">
        <f t="shared" si="114"/>
        <v>0</v>
      </c>
      <c r="S210" s="17">
        <f t="shared" si="115"/>
        <v>0</v>
      </c>
      <c r="T210" s="17">
        <f t="shared" si="116"/>
        <v>983143</v>
      </c>
      <c r="U210" s="17">
        <f t="shared" si="117"/>
        <v>0</v>
      </c>
      <c r="V210" s="17">
        <f t="shared" si="118"/>
        <v>0</v>
      </c>
      <c r="W210" s="17">
        <f t="shared" si="119"/>
        <v>983143</v>
      </c>
      <c r="X210" s="96" t="str">
        <f t="shared" si="120"/>
        <v>ok</v>
      </c>
    </row>
    <row r="211" spans="1:24" x14ac:dyDescent="0.2">
      <c r="A211" s="18">
        <v>879</v>
      </c>
      <c r="B211" s="16" t="s">
        <v>428</v>
      </c>
      <c r="C211" s="90" t="s">
        <v>514</v>
      </c>
      <c r="D211" s="90" t="s">
        <v>45</v>
      </c>
      <c r="F211" s="21">
        <v>126505</v>
      </c>
      <c r="G211" s="17">
        <f t="shared" si="103"/>
        <v>0</v>
      </c>
      <c r="H211" s="17">
        <f t="shared" si="104"/>
        <v>0</v>
      </c>
      <c r="I211" s="17">
        <f t="shared" si="105"/>
        <v>0</v>
      </c>
      <c r="J211" s="17">
        <f t="shared" si="106"/>
        <v>0</v>
      </c>
      <c r="K211" s="17">
        <f t="shared" si="107"/>
        <v>0</v>
      </c>
      <c r="L211" s="17">
        <f t="shared" si="108"/>
        <v>0</v>
      </c>
      <c r="M211" s="17">
        <f t="shared" si="109"/>
        <v>0</v>
      </c>
      <c r="N211" s="17">
        <f t="shared" si="110"/>
        <v>0</v>
      </c>
      <c r="O211" s="17">
        <f t="shared" si="111"/>
        <v>0</v>
      </c>
      <c r="P211" s="17">
        <f t="shared" si="112"/>
        <v>0</v>
      </c>
      <c r="Q211" s="17">
        <f t="shared" si="113"/>
        <v>0</v>
      </c>
      <c r="R211" s="17">
        <f t="shared" si="114"/>
        <v>0</v>
      </c>
      <c r="S211" s="17">
        <f t="shared" si="115"/>
        <v>0</v>
      </c>
      <c r="T211" s="17">
        <f t="shared" si="116"/>
        <v>126505</v>
      </c>
      <c r="U211" s="17">
        <f t="shared" si="117"/>
        <v>0</v>
      </c>
      <c r="V211" s="17">
        <f t="shared" si="118"/>
        <v>0</v>
      </c>
      <c r="W211" s="17">
        <f t="shared" si="119"/>
        <v>126505</v>
      </c>
      <c r="X211" s="96" t="str">
        <f t="shared" si="120"/>
        <v>ok</v>
      </c>
    </row>
    <row r="212" spans="1:24" x14ac:dyDescent="0.2">
      <c r="A212" s="18">
        <v>880</v>
      </c>
      <c r="B212" s="16" t="s">
        <v>105</v>
      </c>
      <c r="C212" s="90" t="s">
        <v>515</v>
      </c>
      <c r="D212" s="90" t="s">
        <v>200</v>
      </c>
      <c r="F212" s="21">
        <v>1935103</v>
      </c>
      <c r="G212" s="17">
        <f t="shared" si="103"/>
        <v>0</v>
      </c>
      <c r="H212" s="17">
        <f t="shared" si="104"/>
        <v>0</v>
      </c>
      <c r="I212" s="17">
        <f t="shared" si="105"/>
        <v>0</v>
      </c>
      <c r="J212" s="17">
        <f t="shared" si="106"/>
        <v>0</v>
      </c>
      <c r="K212" s="17">
        <f t="shared" si="107"/>
        <v>0</v>
      </c>
      <c r="L212" s="17">
        <f t="shared" si="108"/>
        <v>0</v>
      </c>
      <c r="M212" s="17">
        <f t="shared" si="109"/>
        <v>0</v>
      </c>
      <c r="N212" s="17">
        <f t="shared" si="110"/>
        <v>99126.791903711521</v>
      </c>
      <c r="O212" s="17">
        <f t="shared" si="111"/>
        <v>264760.98300709127</v>
      </c>
      <c r="P212" s="17">
        <f t="shared" si="112"/>
        <v>521647.87171180273</v>
      </c>
      <c r="Q212" s="17">
        <f t="shared" si="113"/>
        <v>45252.115432792685</v>
      </c>
      <c r="R212" s="17">
        <f t="shared" si="114"/>
        <v>38404.698619562951</v>
      </c>
      <c r="S212" s="17">
        <f t="shared" si="115"/>
        <v>777995.06690951274</v>
      </c>
      <c r="T212" s="17">
        <f t="shared" si="116"/>
        <v>187915.47241552605</v>
      </c>
      <c r="U212" s="17">
        <f t="shared" si="117"/>
        <v>0</v>
      </c>
      <c r="V212" s="17">
        <f t="shared" si="118"/>
        <v>0</v>
      </c>
      <c r="W212" s="17">
        <f t="shared" si="119"/>
        <v>1935103</v>
      </c>
      <c r="X212" s="96" t="str">
        <f t="shared" si="120"/>
        <v>ok</v>
      </c>
    </row>
    <row r="213" spans="1:24" x14ac:dyDescent="0.2">
      <c r="A213" s="18">
        <v>881</v>
      </c>
      <c r="B213" s="16" t="s">
        <v>108</v>
      </c>
      <c r="C213" s="90" t="s">
        <v>516</v>
      </c>
      <c r="D213" s="90" t="s">
        <v>200</v>
      </c>
      <c r="F213" s="21">
        <v>0</v>
      </c>
      <c r="G213" s="17">
        <f t="shared" si="103"/>
        <v>0</v>
      </c>
      <c r="H213" s="17">
        <f t="shared" si="104"/>
        <v>0</v>
      </c>
      <c r="I213" s="17">
        <f t="shared" si="105"/>
        <v>0</v>
      </c>
      <c r="J213" s="17">
        <f t="shared" si="106"/>
        <v>0</v>
      </c>
      <c r="K213" s="17">
        <f t="shared" si="107"/>
        <v>0</v>
      </c>
      <c r="L213" s="17">
        <f t="shared" si="108"/>
        <v>0</v>
      </c>
      <c r="M213" s="17">
        <f t="shared" si="109"/>
        <v>0</v>
      </c>
      <c r="N213" s="17">
        <f t="shared" si="110"/>
        <v>0</v>
      </c>
      <c r="O213" s="17">
        <f t="shared" si="111"/>
        <v>0</v>
      </c>
      <c r="P213" s="17">
        <f t="shared" si="112"/>
        <v>0</v>
      </c>
      <c r="Q213" s="17">
        <f t="shared" si="113"/>
        <v>0</v>
      </c>
      <c r="R213" s="17">
        <f t="shared" si="114"/>
        <v>0</v>
      </c>
      <c r="S213" s="17">
        <f t="shared" si="115"/>
        <v>0</v>
      </c>
      <c r="T213" s="17">
        <f t="shared" si="116"/>
        <v>0</v>
      </c>
      <c r="U213" s="17">
        <f t="shared" si="117"/>
        <v>0</v>
      </c>
      <c r="V213" s="17">
        <f t="shared" si="118"/>
        <v>0</v>
      </c>
      <c r="W213" s="17">
        <f t="shared" si="119"/>
        <v>0</v>
      </c>
      <c r="X213" s="96" t="str">
        <f t="shared" si="120"/>
        <v>ok</v>
      </c>
    </row>
    <row r="214" spans="1:24" x14ac:dyDescent="0.2">
      <c r="A214" s="18"/>
      <c r="F214" s="17"/>
    </row>
    <row r="215" spans="1:24" x14ac:dyDescent="0.2">
      <c r="A215" s="18" t="s">
        <v>470</v>
      </c>
      <c r="C215" s="90" t="s">
        <v>528</v>
      </c>
      <c r="F215" s="21">
        <f>+SUM(F193:F213)</f>
        <v>6531083</v>
      </c>
      <c r="G215" s="21">
        <f t="shared" ref="G215:V215" si="121">+SUM(G193:G213)</f>
        <v>0</v>
      </c>
      <c r="H215" s="21">
        <f t="shared" si="121"/>
        <v>0</v>
      </c>
      <c r="I215" s="21">
        <f t="shared" si="121"/>
        <v>0</v>
      </c>
      <c r="J215" s="21">
        <f t="shared" si="121"/>
        <v>0</v>
      </c>
      <c r="K215" s="21">
        <f t="shared" si="121"/>
        <v>0</v>
      </c>
      <c r="L215" s="21">
        <f t="shared" si="121"/>
        <v>0</v>
      </c>
      <c r="M215" s="21">
        <f t="shared" si="121"/>
        <v>690001</v>
      </c>
      <c r="N215" s="21">
        <f t="shared" si="121"/>
        <v>922123.79190371151</v>
      </c>
      <c r="O215" s="21">
        <f t="shared" si="121"/>
        <v>532287.27719674632</v>
      </c>
      <c r="P215" s="21">
        <f t="shared" si="121"/>
        <v>1048744.1243618445</v>
      </c>
      <c r="Q215" s="21">
        <f>+SUM(Q193:Q213)</f>
        <v>90976.869165306503</v>
      </c>
      <c r="R215" s="21">
        <f>+SUM(R193:R213)</f>
        <v>77210.517303530651</v>
      </c>
      <c r="S215" s="21">
        <f t="shared" si="121"/>
        <v>1564115.9476533346</v>
      </c>
      <c r="T215" s="21">
        <f t="shared" si="121"/>
        <v>1605623.4724155259</v>
      </c>
      <c r="U215" s="21">
        <f t="shared" si="121"/>
        <v>0</v>
      </c>
      <c r="V215" s="21">
        <f t="shared" si="121"/>
        <v>0</v>
      </c>
      <c r="W215" s="17">
        <f t="shared" si="119"/>
        <v>6531083</v>
      </c>
      <c r="X215" s="96" t="str">
        <f t="shared" si="120"/>
        <v>ok</v>
      </c>
    </row>
    <row r="216" spans="1:24" x14ac:dyDescent="0.2">
      <c r="A216" s="18"/>
      <c r="F216" s="17"/>
    </row>
    <row r="217" spans="1:24" x14ac:dyDescent="0.2">
      <c r="A217" s="18" t="s">
        <v>471</v>
      </c>
      <c r="C217" s="90" t="s">
        <v>529</v>
      </c>
      <c r="F217" s="21">
        <f>+F189+F215</f>
        <v>9085293</v>
      </c>
      <c r="G217" s="21">
        <f t="shared" ref="G217:V217" si="122">+G189+G215</f>
        <v>0</v>
      </c>
      <c r="H217" s="21">
        <f t="shared" si="122"/>
        <v>0</v>
      </c>
      <c r="I217" s="21">
        <f t="shared" si="122"/>
        <v>0</v>
      </c>
      <c r="J217" s="21">
        <f t="shared" si="122"/>
        <v>0</v>
      </c>
      <c r="K217" s="21">
        <f t="shared" si="122"/>
        <v>743510.09732000006</v>
      </c>
      <c r="L217" s="21">
        <f t="shared" si="122"/>
        <v>1810699.9026800001</v>
      </c>
      <c r="M217" s="21">
        <f t="shared" si="122"/>
        <v>690001</v>
      </c>
      <c r="N217" s="21">
        <f t="shared" si="122"/>
        <v>922123.79190371151</v>
      </c>
      <c r="O217" s="21">
        <f t="shared" si="122"/>
        <v>532287.27719674632</v>
      </c>
      <c r="P217" s="21">
        <f t="shared" si="122"/>
        <v>1048744.1243618445</v>
      </c>
      <c r="Q217" s="21">
        <f>+Q189+Q215</f>
        <v>90976.869165306503</v>
      </c>
      <c r="R217" s="21">
        <f>+R189+R215</f>
        <v>77210.517303530651</v>
      </c>
      <c r="S217" s="21">
        <f t="shared" si="122"/>
        <v>1564115.9476533346</v>
      </c>
      <c r="T217" s="21">
        <f t="shared" si="122"/>
        <v>1605623.4724155259</v>
      </c>
      <c r="U217" s="21">
        <f t="shared" si="122"/>
        <v>0</v>
      </c>
      <c r="V217" s="21">
        <f t="shared" si="122"/>
        <v>0</v>
      </c>
      <c r="W217" s="17">
        <f>SUM(G217:V217)</f>
        <v>9085293.0000000019</v>
      </c>
      <c r="X217" s="96" t="str">
        <f>IF(ABS(W217-F217)&lt;1,"ok","err")</f>
        <v>ok</v>
      </c>
    </row>
    <row r="218" spans="1:24" x14ac:dyDescent="0.2">
      <c r="A218" s="18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17"/>
      <c r="X218" s="96"/>
    </row>
    <row r="219" spans="1:24" x14ac:dyDescent="0.2">
      <c r="A219" s="18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17"/>
      <c r="X219" s="96"/>
    </row>
    <row r="220" spans="1:24" x14ac:dyDescent="0.2">
      <c r="A220" s="18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17"/>
      <c r="X220" s="96"/>
    </row>
    <row r="221" spans="1:24" x14ac:dyDescent="0.2">
      <c r="A221" s="18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17"/>
      <c r="X221" s="96"/>
    </row>
    <row r="222" spans="1:24" x14ac:dyDescent="0.2">
      <c r="A222" s="18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17"/>
      <c r="X222" s="96"/>
    </row>
    <row r="223" spans="1:24" x14ac:dyDescent="0.2">
      <c r="A223" s="18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17"/>
      <c r="X223" s="96"/>
    </row>
    <row r="224" spans="1:24" x14ac:dyDescent="0.2">
      <c r="A224" s="18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17"/>
      <c r="X224" s="96"/>
    </row>
    <row r="225" spans="1:24" x14ac:dyDescent="0.2">
      <c r="A225" s="18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17"/>
      <c r="X225" s="96"/>
    </row>
    <row r="226" spans="1:24" x14ac:dyDescent="0.2">
      <c r="A226" s="18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17"/>
      <c r="X226" s="96"/>
    </row>
    <row r="227" spans="1:24" x14ac:dyDescent="0.2">
      <c r="A227" s="18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17"/>
      <c r="X227" s="96"/>
    </row>
    <row r="228" spans="1:24" x14ac:dyDescent="0.2">
      <c r="A228" s="158" t="s">
        <v>457</v>
      </c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17"/>
      <c r="X228" s="96"/>
    </row>
    <row r="229" spans="1:24" x14ac:dyDescent="0.2">
      <c r="A229" s="18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17"/>
      <c r="X229" s="96"/>
    </row>
    <row r="230" spans="1:24" x14ac:dyDescent="0.2">
      <c r="A230" s="18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17"/>
      <c r="X230" s="96"/>
    </row>
    <row r="231" spans="1:24" x14ac:dyDescent="0.2">
      <c r="A231" s="93" t="s">
        <v>695</v>
      </c>
      <c r="F231" s="22"/>
      <c r="G231" s="16"/>
      <c r="H231" s="16"/>
      <c r="I231" s="16"/>
      <c r="J231" s="16"/>
      <c r="K231" s="16"/>
      <c r="L231" s="16"/>
      <c r="M231" s="16"/>
      <c r="N231" s="16"/>
    </row>
    <row r="232" spans="1:24" x14ac:dyDescent="0.2">
      <c r="A232" s="18"/>
      <c r="F232" s="22"/>
      <c r="G232" s="16"/>
      <c r="H232" s="16"/>
      <c r="I232" s="16"/>
      <c r="J232" s="16"/>
      <c r="K232" s="16"/>
      <c r="L232" s="16"/>
      <c r="M232" s="16"/>
      <c r="N232" s="16"/>
    </row>
    <row r="233" spans="1:24" x14ac:dyDescent="0.2">
      <c r="A233" s="18">
        <v>885</v>
      </c>
      <c r="B233" s="16" t="s">
        <v>439</v>
      </c>
      <c r="C233" s="90" t="s">
        <v>517</v>
      </c>
      <c r="D233" s="90" t="s">
        <v>638</v>
      </c>
      <c r="F233" s="21">
        <v>0</v>
      </c>
      <c r="G233" s="17">
        <f t="shared" ref="G233:G242" si="123">(VLOOKUP($D233,$C$6:$AJ$991,5,)/VLOOKUP($D233,$C$6:$AJ$991,4,))*$F233</f>
        <v>0</v>
      </c>
      <c r="H233" s="17">
        <f t="shared" ref="H233:H242" si="124">(VLOOKUP($D233,$C$6:$AJ$991,6,)/VLOOKUP($D233,$C$6:$AJ$991,4,))*$F233</f>
        <v>0</v>
      </c>
      <c r="I233" s="17">
        <f t="shared" ref="I233:I242" si="125">(VLOOKUP($D233,$C$6:$AJ$991,7,)/VLOOKUP($D233,$C$6:$AJ$991,4,))*$F233</f>
        <v>0</v>
      </c>
      <c r="J233" s="17">
        <f t="shared" ref="J233:J242" si="126">(VLOOKUP($D233,$C$6:$AJ$991,8,)/VLOOKUP($D233,$C$6:$AJ$991,4,))*$F233</f>
        <v>0</v>
      </c>
      <c r="K233" s="17">
        <f t="shared" ref="K233:K242" si="127">(VLOOKUP($D233,$C$6:$AJ$991,9,)/VLOOKUP($D233,$C$6:$AJ$991,4,))*$F233</f>
        <v>0</v>
      </c>
      <c r="L233" s="17">
        <f t="shared" ref="L233:L242" si="128">(VLOOKUP($D233,$C$6:$AJ$991,10,)/VLOOKUP($D233,$C$6:$AJ$991,4,))*$F233</f>
        <v>0</v>
      </c>
      <c r="M233" s="17">
        <f t="shared" ref="M233:M242" si="129">(VLOOKUP($D233,$C$6:$AJ$991,11,)/VLOOKUP($D233,$C$6:$AJ$991,4,))*$F233</f>
        <v>0</v>
      </c>
      <c r="N233" s="17">
        <f t="shared" ref="N233:N242" si="130">(VLOOKUP($D233,$C$6:$AJ$991,12,)/VLOOKUP($D233,$C$6:$AJ$991,4,))*$F233</f>
        <v>0</v>
      </c>
      <c r="O233" s="17">
        <f t="shared" ref="O233:O242" si="131">(VLOOKUP($D233,$C$6:$AJ$991,13,)/VLOOKUP($D233,$C$6:$AJ$991,4,))*$F233</f>
        <v>0</v>
      </c>
      <c r="P233" s="17">
        <f t="shared" ref="P233:P242" si="132">(VLOOKUP($D233,$C$6:$AJ$991,14,)/VLOOKUP($D233,$C$6:$AJ$991,4,))*$F233</f>
        <v>0</v>
      </c>
      <c r="Q233" s="17">
        <f t="shared" ref="Q233:Q242" si="133">(VLOOKUP($D233,$C$6:$AJ$991,15,)/VLOOKUP($D233,$C$6:$AJ$991,4,))*$F233</f>
        <v>0</v>
      </c>
      <c r="R233" s="17">
        <f t="shared" ref="R233:R242" si="134">(VLOOKUP($D233,$C$6:$AJ$991,16,)/VLOOKUP($D233,$C$6:$AJ$991,4,))*$F233</f>
        <v>0</v>
      </c>
      <c r="S233" s="17">
        <f t="shared" ref="S233:S242" si="135">(VLOOKUP($D233,$C$6:$AJ$991,17,)/VLOOKUP($D233,$C$6:$AJ$991,4,))*$F233</f>
        <v>0</v>
      </c>
      <c r="T233" s="17">
        <f t="shared" ref="T233:T242" si="136">(VLOOKUP($D233,$C$6:$AJ$991,18,)/VLOOKUP($D233,$C$6:$AJ$991,4,))*$F233</f>
        <v>0</v>
      </c>
      <c r="U233" s="17">
        <f t="shared" ref="U233:U242" si="137">(VLOOKUP($D233,$C$6:$AJ$991,19,)/VLOOKUP($D233,$C$6:$AJ$991,4,))*$F233</f>
        <v>0</v>
      </c>
      <c r="V233" s="17">
        <f t="shared" ref="V233:V242" si="138">(VLOOKUP($D233,$C$6:$AJ$991,20,)/VLOOKUP($D233,$C$6:$AJ$991,4,))*$F233</f>
        <v>0</v>
      </c>
      <c r="W233" s="17">
        <f>SUM(G233:V233)</f>
        <v>0</v>
      </c>
      <c r="X233" s="96" t="str">
        <f>IF(ABS(W233-F233)&lt;1,"ok","err")</f>
        <v>ok</v>
      </c>
    </row>
    <row r="234" spans="1:24" x14ac:dyDescent="0.2">
      <c r="A234" s="18">
        <v>886</v>
      </c>
      <c r="B234" s="16" t="s">
        <v>440</v>
      </c>
      <c r="C234" s="90" t="s">
        <v>518</v>
      </c>
      <c r="D234" s="90" t="s">
        <v>38</v>
      </c>
      <c r="F234" s="97">
        <v>0</v>
      </c>
      <c r="G234" s="17">
        <f t="shared" si="123"/>
        <v>0</v>
      </c>
      <c r="H234" s="17">
        <f t="shared" si="124"/>
        <v>0</v>
      </c>
      <c r="I234" s="17">
        <f t="shared" si="125"/>
        <v>0</v>
      </c>
      <c r="J234" s="17">
        <f t="shared" si="126"/>
        <v>0</v>
      </c>
      <c r="K234" s="17">
        <f t="shared" si="127"/>
        <v>0</v>
      </c>
      <c r="L234" s="17">
        <f t="shared" si="128"/>
        <v>0</v>
      </c>
      <c r="M234" s="17">
        <f t="shared" si="129"/>
        <v>0</v>
      </c>
      <c r="N234" s="17">
        <f t="shared" si="130"/>
        <v>0</v>
      </c>
      <c r="O234" s="17">
        <f t="shared" si="131"/>
        <v>0</v>
      </c>
      <c r="P234" s="17">
        <f t="shared" si="132"/>
        <v>0</v>
      </c>
      <c r="Q234" s="17">
        <f t="shared" si="133"/>
        <v>0</v>
      </c>
      <c r="R234" s="17">
        <f t="shared" si="134"/>
        <v>0</v>
      </c>
      <c r="S234" s="17">
        <f t="shared" si="135"/>
        <v>0</v>
      </c>
      <c r="T234" s="17">
        <f t="shared" si="136"/>
        <v>0</v>
      </c>
      <c r="U234" s="17">
        <f t="shared" si="137"/>
        <v>0</v>
      </c>
      <c r="V234" s="17">
        <f t="shared" si="138"/>
        <v>0</v>
      </c>
      <c r="W234" s="17">
        <f t="shared" ref="W234:W242" si="139">SUM(G234:V234)</f>
        <v>0</v>
      </c>
      <c r="X234" s="96" t="str">
        <f t="shared" ref="X234:X246" si="140">IF(ABS(W234-F234)&lt;1,"ok","err")</f>
        <v>ok</v>
      </c>
    </row>
    <row r="235" spans="1:24" x14ac:dyDescent="0.2">
      <c r="A235" s="18">
        <v>887</v>
      </c>
      <c r="B235" s="16" t="s">
        <v>441</v>
      </c>
      <c r="C235" s="90" t="s">
        <v>519</v>
      </c>
      <c r="D235" s="90" t="s">
        <v>40</v>
      </c>
      <c r="F235" s="159">
        <v>4180304</v>
      </c>
      <c r="G235" s="17">
        <f t="shared" si="123"/>
        <v>0</v>
      </c>
      <c r="H235" s="17">
        <f t="shared" si="124"/>
        <v>0</v>
      </c>
      <c r="I235" s="17">
        <f t="shared" si="125"/>
        <v>0</v>
      </c>
      <c r="J235" s="17">
        <f t="shared" si="126"/>
        <v>0</v>
      </c>
      <c r="K235" s="17">
        <f t="shared" si="127"/>
        <v>0</v>
      </c>
      <c r="L235" s="17">
        <f t="shared" si="128"/>
        <v>0</v>
      </c>
      <c r="M235" s="17">
        <f t="shared" si="129"/>
        <v>0</v>
      </c>
      <c r="N235" s="17">
        <f t="shared" si="130"/>
        <v>0</v>
      </c>
      <c r="O235" s="17">
        <f t="shared" si="131"/>
        <v>1272066.5072000001</v>
      </c>
      <c r="P235" s="17">
        <f t="shared" si="132"/>
        <v>2506301.2631999999</v>
      </c>
      <c r="Q235" s="17">
        <f t="shared" si="133"/>
        <v>217417.61103999999</v>
      </c>
      <c r="R235" s="17">
        <f t="shared" si="134"/>
        <v>184518.61856</v>
      </c>
      <c r="S235" s="17">
        <f t="shared" si="135"/>
        <v>0</v>
      </c>
      <c r="T235" s="17">
        <f t="shared" si="136"/>
        <v>0</v>
      </c>
      <c r="U235" s="17">
        <f t="shared" si="137"/>
        <v>0</v>
      </c>
      <c r="V235" s="17">
        <f t="shared" si="138"/>
        <v>0</v>
      </c>
      <c r="W235" s="17">
        <f t="shared" si="139"/>
        <v>4180303.9999999995</v>
      </c>
      <c r="X235" s="96" t="str">
        <f t="shared" si="140"/>
        <v>ok</v>
      </c>
    </row>
    <row r="236" spans="1:24" x14ac:dyDescent="0.2">
      <c r="A236" s="18">
        <v>888</v>
      </c>
      <c r="B236" s="16" t="s">
        <v>442</v>
      </c>
      <c r="C236" s="90" t="s">
        <v>520</v>
      </c>
      <c r="D236" s="90" t="s">
        <v>35</v>
      </c>
      <c r="F236" s="97">
        <v>0</v>
      </c>
      <c r="G236" s="17">
        <f t="shared" si="123"/>
        <v>0</v>
      </c>
      <c r="H236" s="17">
        <f t="shared" si="124"/>
        <v>0</v>
      </c>
      <c r="I236" s="17">
        <f t="shared" si="125"/>
        <v>0</v>
      </c>
      <c r="J236" s="17">
        <f t="shared" si="126"/>
        <v>0</v>
      </c>
      <c r="K236" s="17">
        <f t="shared" si="127"/>
        <v>0</v>
      </c>
      <c r="L236" s="17">
        <f t="shared" si="128"/>
        <v>0</v>
      </c>
      <c r="M236" s="17">
        <f t="shared" si="129"/>
        <v>0</v>
      </c>
      <c r="N236" s="17">
        <f t="shared" si="130"/>
        <v>0</v>
      </c>
      <c r="O236" s="17">
        <f t="shared" si="131"/>
        <v>0</v>
      </c>
      <c r="P236" s="17">
        <f t="shared" si="132"/>
        <v>0</v>
      </c>
      <c r="Q236" s="17">
        <f t="shared" si="133"/>
        <v>0</v>
      </c>
      <c r="R236" s="17">
        <f t="shared" si="134"/>
        <v>0</v>
      </c>
      <c r="S236" s="17">
        <f t="shared" si="135"/>
        <v>0</v>
      </c>
      <c r="T236" s="17">
        <f t="shared" si="136"/>
        <v>0</v>
      </c>
      <c r="U236" s="17">
        <f t="shared" si="137"/>
        <v>0</v>
      </c>
      <c r="V236" s="17">
        <f t="shared" si="138"/>
        <v>0</v>
      </c>
      <c r="W236" s="17">
        <f t="shared" si="139"/>
        <v>0</v>
      </c>
      <c r="X236" s="96" t="str">
        <f t="shared" si="140"/>
        <v>ok</v>
      </c>
    </row>
    <row r="237" spans="1:24" x14ac:dyDescent="0.2">
      <c r="A237" s="18">
        <v>889</v>
      </c>
      <c r="B237" s="16" t="s">
        <v>443</v>
      </c>
      <c r="C237" s="90" t="s">
        <v>521</v>
      </c>
      <c r="D237" s="90" t="s">
        <v>38</v>
      </c>
      <c r="F237" s="159">
        <v>77000</v>
      </c>
      <c r="G237" s="17">
        <f t="shared" si="123"/>
        <v>0</v>
      </c>
      <c r="H237" s="17">
        <f t="shared" si="124"/>
        <v>0</v>
      </c>
      <c r="I237" s="17">
        <f t="shared" si="125"/>
        <v>0</v>
      </c>
      <c r="J237" s="17">
        <f t="shared" si="126"/>
        <v>0</v>
      </c>
      <c r="K237" s="17">
        <f t="shared" si="127"/>
        <v>0</v>
      </c>
      <c r="L237" s="17">
        <f t="shared" si="128"/>
        <v>0</v>
      </c>
      <c r="M237" s="17">
        <f t="shared" si="129"/>
        <v>0</v>
      </c>
      <c r="N237" s="17">
        <f t="shared" si="130"/>
        <v>77000</v>
      </c>
      <c r="O237" s="17">
        <f t="shared" si="131"/>
        <v>0</v>
      </c>
      <c r="P237" s="17">
        <f t="shared" si="132"/>
        <v>0</v>
      </c>
      <c r="Q237" s="17">
        <f t="shared" si="133"/>
        <v>0</v>
      </c>
      <c r="R237" s="17">
        <f t="shared" si="134"/>
        <v>0</v>
      </c>
      <c r="S237" s="17">
        <f t="shared" si="135"/>
        <v>0</v>
      </c>
      <c r="T237" s="17">
        <f t="shared" si="136"/>
        <v>0</v>
      </c>
      <c r="U237" s="17">
        <f t="shared" si="137"/>
        <v>0</v>
      </c>
      <c r="V237" s="17">
        <f t="shared" si="138"/>
        <v>0</v>
      </c>
      <c r="W237" s="17">
        <f t="shared" si="139"/>
        <v>77000</v>
      </c>
      <c r="X237" s="96" t="str">
        <f t="shared" si="140"/>
        <v>ok</v>
      </c>
    </row>
    <row r="238" spans="1:24" x14ac:dyDescent="0.2">
      <c r="A238" s="18">
        <v>890</v>
      </c>
      <c r="B238" s="16" t="s">
        <v>444</v>
      </c>
      <c r="C238" s="90" t="s">
        <v>522</v>
      </c>
      <c r="D238" s="90" t="s">
        <v>45</v>
      </c>
      <c r="F238" s="159">
        <v>176000</v>
      </c>
      <c r="G238" s="17">
        <f t="shared" si="123"/>
        <v>0</v>
      </c>
      <c r="H238" s="17">
        <f t="shared" si="124"/>
        <v>0</v>
      </c>
      <c r="I238" s="17">
        <f t="shared" si="125"/>
        <v>0</v>
      </c>
      <c r="J238" s="17">
        <f t="shared" si="126"/>
        <v>0</v>
      </c>
      <c r="K238" s="17">
        <f t="shared" si="127"/>
        <v>0</v>
      </c>
      <c r="L238" s="17">
        <f t="shared" si="128"/>
        <v>0</v>
      </c>
      <c r="M238" s="17">
        <f t="shared" si="129"/>
        <v>0</v>
      </c>
      <c r="N238" s="17">
        <f t="shared" si="130"/>
        <v>0</v>
      </c>
      <c r="O238" s="17">
        <f t="shared" si="131"/>
        <v>0</v>
      </c>
      <c r="P238" s="17">
        <f t="shared" si="132"/>
        <v>0</v>
      </c>
      <c r="Q238" s="17">
        <f t="shared" si="133"/>
        <v>0</v>
      </c>
      <c r="R238" s="17">
        <f t="shared" si="134"/>
        <v>0</v>
      </c>
      <c r="S238" s="17">
        <f t="shared" si="135"/>
        <v>0</v>
      </c>
      <c r="T238" s="17">
        <f t="shared" si="136"/>
        <v>176000</v>
      </c>
      <c r="U238" s="17">
        <f t="shared" si="137"/>
        <v>0</v>
      </c>
      <c r="V238" s="17">
        <f t="shared" si="138"/>
        <v>0</v>
      </c>
      <c r="W238" s="17">
        <f t="shared" si="139"/>
        <v>176000</v>
      </c>
      <c r="X238" s="96" t="str">
        <f t="shared" si="140"/>
        <v>ok</v>
      </c>
    </row>
    <row r="239" spans="1:24" x14ac:dyDescent="0.2">
      <c r="A239" s="18">
        <v>891</v>
      </c>
      <c r="B239" s="16" t="s">
        <v>445</v>
      </c>
      <c r="C239" s="90" t="s">
        <v>523</v>
      </c>
      <c r="D239" s="90" t="s">
        <v>38</v>
      </c>
      <c r="F239" s="159">
        <v>311896</v>
      </c>
      <c r="G239" s="17">
        <f t="shared" si="123"/>
        <v>0</v>
      </c>
      <c r="H239" s="17">
        <f t="shared" si="124"/>
        <v>0</v>
      </c>
      <c r="I239" s="17">
        <f t="shared" si="125"/>
        <v>0</v>
      </c>
      <c r="J239" s="17">
        <f t="shared" si="126"/>
        <v>0</v>
      </c>
      <c r="K239" s="17">
        <f t="shared" si="127"/>
        <v>0</v>
      </c>
      <c r="L239" s="17">
        <f t="shared" si="128"/>
        <v>0</v>
      </c>
      <c r="M239" s="17">
        <f t="shared" si="129"/>
        <v>0</v>
      </c>
      <c r="N239" s="17">
        <f t="shared" si="130"/>
        <v>311896</v>
      </c>
      <c r="O239" s="17">
        <f t="shared" si="131"/>
        <v>0</v>
      </c>
      <c r="P239" s="17">
        <f t="shared" si="132"/>
        <v>0</v>
      </c>
      <c r="Q239" s="17">
        <f t="shared" si="133"/>
        <v>0</v>
      </c>
      <c r="R239" s="17">
        <f t="shared" si="134"/>
        <v>0</v>
      </c>
      <c r="S239" s="17">
        <f t="shared" si="135"/>
        <v>0</v>
      </c>
      <c r="T239" s="17">
        <f t="shared" si="136"/>
        <v>0</v>
      </c>
      <c r="U239" s="17">
        <f t="shared" si="137"/>
        <v>0</v>
      </c>
      <c r="V239" s="17">
        <f t="shared" si="138"/>
        <v>0</v>
      </c>
      <c r="W239" s="17">
        <f t="shared" si="139"/>
        <v>311896</v>
      </c>
      <c r="X239" s="96" t="str">
        <f t="shared" si="140"/>
        <v>ok</v>
      </c>
    </row>
    <row r="240" spans="1:24" x14ac:dyDescent="0.2">
      <c r="A240" s="18">
        <v>892</v>
      </c>
      <c r="B240" s="16" t="s">
        <v>446</v>
      </c>
      <c r="C240" s="90" t="s">
        <v>524</v>
      </c>
      <c r="D240" s="90" t="s">
        <v>42</v>
      </c>
      <c r="F240" s="159">
        <v>600685</v>
      </c>
      <c r="G240" s="17">
        <f t="shared" si="123"/>
        <v>0</v>
      </c>
      <c r="H240" s="17">
        <f t="shared" si="124"/>
        <v>0</v>
      </c>
      <c r="I240" s="17">
        <f t="shared" si="125"/>
        <v>0</v>
      </c>
      <c r="J240" s="17">
        <f t="shared" si="126"/>
        <v>0</v>
      </c>
      <c r="K240" s="17">
        <f t="shared" si="127"/>
        <v>0</v>
      </c>
      <c r="L240" s="17">
        <f t="shared" si="128"/>
        <v>0</v>
      </c>
      <c r="M240" s="17">
        <f t="shared" si="129"/>
        <v>0</v>
      </c>
      <c r="N240" s="17">
        <f t="shared" si="130"/>
        <v>0</v>
      </c>
      <c r="O240" s="17">
        <f t="shared" si="131"/>
        <v>0</v>
      </c>
      <c r="P240" s="17">
        <f t="shared" si="132"/>
        <v>0</v>
      </c>
      <c r="Q240" s="17">
        <f t="shared" si="133"/>
        <v>0</v>
      </c>
      <c r="R240" s="17">
        <f t="shared" si="134"/>
        <v>0</v>
      </c>
      <c r="S240" s="17">
        <f t="shared" si="135"/>
        <v>600685</v>
      </c>
      <c r="T240" s="17">
        <f t="shared" si="136"/>
        <v>0</v>
      </c>
      <c r="U240" s="17">
        <f t="shared" si="137"/>
        <v>0</v>
      </c>
      <c r="V240" s="17">
        <f t="shared" si="138"/>
        <v>0</v>
      </c>
      <c r="W240" s="17">
        <f t="shared" si="139"/>
        <v>600685</v>
      </c>
      <c r="X240" s="96" t="str">
        <f t="shared" si="140"/>
        <v>ok</v>
      </c>
    </row>
    <row r="241" spans="1:24" x14ac:dyDescent="0.2">
      <c r="A241" s="18">
        <v>893</v>
      </c>
      <c r="B241" s="16" t="s">
        <v>447</v>
      </c>
      <c r="C241" s="90" t="s">
        <v>525</v>
      </c>
      <c r="D241" s="90" t="s">
        <v>45</v>
      </c>
      <c r="F241" s="159">
        <v>0</v>
      </c>
      <c r="G241" s="17">
        <f t="shared" si="123"/>
        <v>0</v>
      </c>
      <c r="H241" s="17">
        <f t="shared" si="124"/>
        <v>0</v>
      </c>
      <c r="I241" s="17">
        <f t="shared" si="125"/>
        <v>0</v>
      </c>
      <c r="J241" s="17">
        <f t="shared" si="126"/>
        <v>0</v>
      </c>
      <c r="K241" s="17">
        <f t="shared" si="127"/>
        <v>0</v>
      </c>
      <c r="L241" s="17">
        <f t="shared" si="128"/>
        <v>0</v>
      </c>
      <c r="M241" s="17">
        <f t="shared" si="129"/>
        <v>0</v>
      </c>
      <c r="N241" s="17">
        <f t="shared" si="130"/>
        <v>0</v>
      </c>
      <c r="O241" s="17">
        <f t="shared" si="131"/>
        <v>0</v>
      </c>
      <c r="P241" s="17">
        <f t="shared" si="132"/>
        <v>0</v>
      </c>
      <c r="Q241" s="17">
        <f t="shared" si="133"/>
        <v>0</v>
      </c>
      <c r="R241" s="17">
        <f t="shared" si="134"/>
        <v>0</v>
      </c>
      <c r="S241" s="17">
        <f t="shared" si="135"/>
        <v>0</v>
      </c>
      <c r="T241" s="17">
        <f t="shared" si="136"/>
        <v>0</v>
      </c>
      <c r="U241" s="17">
        <f t="shared" si="137"/>
        <v>0</v>
      </c>
      <c r="V241" s="17">
        <f t="shared" si="138"/>
        <v>0</v>
      </c>
      <c r="W241" s="17">
        <f t="shared" si="139"/>
        <v>0</v>
      </c>
      <c r="X241" s="96" t="str">
        <f t="shared" si="140"/>
        <v>ok</v>
      </c>
    </row>
    <row r="242" spans="1:24" x14ac:dyDescent="0.2">
      <c r="A242" s="18">
        <v>894</v>
      </c>
      <c r="B242" s="16" t="s">
        <v>448</v>
      </c>
      <c r="C242" s="90" t="s">
        <v>526</v>
      </c>
      <c r="D242" s="90" t="s">
        <v>200</v>
      </c>
      <c r="F242" s="159">
        <v>79000</v>
      </c>
      <c r="G242" s="17">
        <f t="shared" si="123"/>
        <v>0</v>
      </c>
      <c r="H242" s="17">
        <f t="shared" si="124"/>
        <v>0</v>
      </c>
      <c r="I242" s="17">
        <f t="shared" si="125"/>
        <v>0</v>
      </c>
      <c r="J242" s="17">
        <f t="shared" si="126"/>
        <v>0</v>
      </c>
      <c r="K242" s="17">
        <f t="shared" si="127"/>
        <v>0</v>
      </c>
      <c r="L242" s="17">
        <f t="shared" si="128"/>
        <v>0</v>
      </c>
      <c r="M242" s="17">
        <f t="shared" si="129"/>
        <v>0</v>
      </c>
      <c r="N242" s="17">
        <f t="shared" si="130"/>
        <v>4046.8215699077573</v>
      </c>
      <c r="O242" s="17">
        <f t="shared" si="131"/>
        <v>10808.787779027893</v>
      </c>
      <c r="P242" s="17">
        <f t="shared" si="132"/>
        <v>21296.118018127418</v>
      </c>
      <c r="Q242" s="17">
        <f t="shared" si="133"/>
        <v>1847.4040499087762</v>
      </c>
      <c r="R242" s="17">
        <f t="shared" si="134"/>
        <v>1567.8603107666481</v>
      </c>
      <c r="S242" s="17">
        <f t="shared" si="135"/>
        <v>31761.415431556616</v>
      </c>
      <c r="T242" s="17">
        <f t="shared" si="136"/>
        <v>7671.5928407048914</v>
      </c>
      <c r="U242" s="17">
        <f t="shared" si="137"/>
        <v>0</v>
      </c>
      <c r="V242" s="17">
        <f t="shared" si="138"/>
        <v>0</v>
      </c>
      <c r="W242" s="17">
        <f t="shared" si="139"/>
        <v>79000</v>
      </c>
      <c r="X242" s="96" t="str">
        <f t="shared" si="140"/>
        <v>ok</v>
      </c>
    </row>
    <row r="243" spans="1:24" x14ac:dyDescent="0.2">
      <c r="F243" s="22"/>
      <c r="G243" s="16"/>
      <c r="H243" s="16"/>
      <c r="I243" s="16"/>
      <c r="J243" s="16"/>
      <c r="K243" s="16"/>
      <c r="L243" s="16"/>
      <c r="M243" s="16"/>
      <c r="N243" s="16"/>
    </row>
    <row r="244" spans="1:24" x14ac:dyDescent="0.2">
      <c r="A244" s="18" t="s">
        <v>187</v>
      </c>
      <c r="C244" s="90" t="s">
        <v>527</v>
      </c>
      <c r="F244" s="22">
        <f>SUM(F233:F242)</f>
        <v>5424885</v>
      </c>
      <c r="G244" s="22">
        <f t="shared" ref="G244:W244" si="141">SUM(G233:G242)</f>
        <v>0</v>
      </c>
      <c r="H244" s="22">
        <f t="shared" si="141"/>
        <v>0</v>
      </c>
      <c r="I244" s="22">
        <f t="shared" si="141"/>
        <v>0</v>
      </c>
      <c r="J244" s="22">
        <f t="shared" si="141"/>
        <v>0</v>
      </c>
      <c r="K244" s="22">
        <f t="shared" si="141"/>
        <v>0</v>
      </c>
      <c r="L244" s="22">
        <f t="shared" si="141"/>
        <v>0</v>
      </c>
      <c r="M244" s="22">
        <f t="shared" si="141"/>
        <v>0</v>
      </c>
      <c r="N244" s="22">
        <f t="shared" si="141"/>
        <v>392942.82156990777</v>
      </c>
      <c r="O244" s="22">
        <f t="shared" si="141"/>
        <v>1282875.2949790279</v>
      </c>
      <c r="P244" s="22">
        <f t="shared" si="141"/>
        <v>2527597.3812181274</v>
      </c>
      <c r="Q244" s="22">
        <f>SUM(Q233:Q242)</f>
        <v>219265.01508990876</v>
      </c>
      <c r="R244" s="22">
        <f>SUM(R233:R242)</f>
        <v>186086.47887076664</v>
      </c>
      <c r="S244" s="22">
        <f t="shared" si="141"/>
        <v>632446.41543155664</v>
      </c>
      <c r="T244" s="22">
        <f t="shared" si="141"/>
        <v>183671.59284070489</v>
      </c>
      <c r="U244" s="22">
        <f t="shared" si="141"/>
        <v>0</v>
      </c>
      <c r="V244" s="22">
        <f t="shared" si="141"/>
        <v>0</v>
      </c>
      <c r="W244" s="22">
        <f t="shared" si="141"/>
        <v>5424885</v>
      </c>
      <c r="X244" s="96" t="str">
        <f t="shared" si="140"/>
        <v>ok</v>
      </c>
    </row>
    <row r="245" spans="1:24" x14ac:dyDescent="0.2">
      <c r="A245" s="18"/>
      <c r="F245" s="22"/>
    </row>
    <row r="246" spans="1:24" x14ac:dyDescent="0.2">
      <c r="A246" s="18" t="s">
        <v>582</v>
      </c>
      <c r="C246" s="90" t="s">
        <v>348</v>
      </c>
      <c r="F246" s="21">
        <f>F189+F215+F244</f>
        <v>14510178</v>
      </c>
      <c r="G246" s="21">
        <f t="shared" ref="G246:V246" si="142">G189+G215+G244</f>
        <v>0</v>
      </c>
      <c r="H246" s="21">
        <f t="shared" si="142"/>
        <v>0</v>
      </c>
      <c r="I246" s="21">
        <f t="shared" si="142"/>
        <v>0</v>
      </c>
      <c r="J246" s="21">
        <f t="shared" si="142"/>
        <v>0</v>
      </c>
      <c r="K246" s="21">
        <f t="shared" si="142"/>
        <v>743510.09732000006</v>
      </c>
      <c r="L246" s="21">
        <f t="shared" si="142"/>
        <v>1810699.9026800001</v>
      </c>
      <c r="M246" s="21">
        <f t="shared" si="142"/>
        <v>690001</v>
      </c>
      <c r="N246" s="21">
        <f t="shared" si="142"/>
        <v>1315066.6134736193</v>
      </c>
      <c r="O246" s="21">
        <f t="shared" si="142"/>
        <v>1815162.5721757743</v>
      </c>
      <c r="P246" s="21">
        <f t="shared" si="142"/>
        <v>3576341.5055799717</v>
      </c>
      <c r="Q246" s="21">
        <f>Q189+Q215+Q244</f>
        <v>310241.88425521529</v>
      </c>
      <c r="R246" s="21">
        <f>R189+R215+R244</f>
        <v>263296.9961742973</v>
      </c>
      <c r="S246" s="21">
        <f t="shared" si="142"/>
        <v>2196562.3630848913</v>
      </c>
      <c r="T246" s="21">
        <f t="shared" si="142"/>
        <v>1789295.0652562308</v>
      </c>
      <c r="U246" s="21">
        <f t="shared" si="142"/>
        <v>0</v>
      </c>
      <c r="V246" s="21">
        <f t="shared" si="142"/>
        <v>0</v>
      </c>
      <c r="W246" s="17">
        <f>SUM(G246:V246)</f>
        <v>14510178.000000002</v>
      </c>
      <c r="X246" s="96" t="str">
        <f t="shared" si="140"/>
        <v>ok</v>
      </c>
    </row>
    <row r="247" spans="1:24" x14ac:dyDescent="0.2">
      <c r="A247" s="18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17"/>
      <c r="X247" s="96"/>
    </row>
    <row r="248" spans="1:24" x14ac:dyDescent="0.2">
      <c r="A248" s="6"/>
      <c r="F248" s="17"/>
    </row>
    <row r="249" spans="1:24" x14ac:dyDescent="0.2">
      <c r="A249" s="6" t="s">
        <v>459</v>
      </c>
      <c r="F249" s="17"/>
    </row>
    <row r="250" spans="1:24" x14ac:dyDescent="0.2">
      <c r="A250" s="18">
        <v>901</v>
      </c>
      <c r="B250" s="16" t="s">
        <v>137</v>
      </c>
      <c r="C250" s="90" t="s">
        <v>532</v>
      </c>
      <c r="D250" s="90" t="s">
        <v>48</v>
      </c>
      <c r="F250" s="21">
        <v>832243.28</v>
      </c>
      <c r="G250" s="17">
        <f>(VLOOKUP($D250,$C$6:$AJ$991,5,)/VLOOKUP($D250,$C$6:$AJ$991,4,))*$F250</f>
        <v>0</v>
      </c>
      <c r="H250" s="17">
        <f>(VLOOKUP($D250,$C$6:$AJ$991,6,)/VLOOKUP($D250,$C$6:$AJ$991,4,))*$F250</f>
        <v>0</v>
      </c>
      <c r="I250" s="17">
        <f>(VLOOKUP($D250,$C$6:$AJ$991,7,)/VLOOKUP($D250,$C$6:$AJ$991,4,))*$F250</f>
        <v>0</v>
      </c>
      <c r="J250" s="17">
        <f>(VLOOKUP($D250,$C$6:$AJ$991,8,)/VLOOKUP($D250,$C$6:$AJ$991,4,))*$F250</f>
        <v>0</v>
      </c>
      <c r="K250" s="17">
        <f>(VLOOKUP($D250,$C$6:$AJ$991,9,)/VLOOKUP($D250,$C$6:$AJ$991,4,))*$F250</f>
        <v>0</v>
      </c>
      <c r="L250" s="17">
        <f>(VLOOKUP($D250,$C$6:$AJ$991,10,)/VLOOKUP($D250,$C$6:$AJ$991,4,))*$F250</f>
        <v>0</v>
      </c>
      <c r="M250" s="17">
        <f>(VLOOKUP($D250,$C$6:$AJ$991,11,)/VLOOKUP($D250,$C$6:$AJ$991,4,))*$F250</f>
        <v>0</v>
      </c>
      <c r="N250" s="17">
        <f>(VLOOKUP($D250,$C$6:$AJ$991,12,)/VLOOKUP($D250,$C$6:$AJ$991,4,))*$F250</f>
        <v>0</v>
      </c>
      <c r="O250" s="17">
        <f>(VLOOKUP($D250,$C$6:$AJ$991,13,)/VLOOKUP($D250,$C$6:$AJ$991,4,))*$F250</f>
        <v>0</v>
      </c>
      <c r="P250" s="17">
        <f>(VLOOKUP($D250,$C$6:$AJ$991,14,)/VLOOKUP($D250,$C$6:$AJ$991,4,))*$F250</f>
        <v>0</v>
      </c>
      <c r="Q250" s="17">
        <f>(VLOOKUP($D250,$C$6:$AJ$991,15,)/VLOOKUP($D250,$C$6:$AJ$991,4,))*$F250</f>
        <v>0</v>
      </c>
      <c r="R250" s="17">
        <f>(VLOOKUP($D250,$C$6:$AJ$991,16,)/VLOOKUP($D250,$C$6:$AJ$991,4,))*$F250</f>
        <v>0</v>
      </c>
      <c r="S250" s="17">
        <f>(VLOOKUP($D250,$C$6:$AJ$991,17,)/VLOOKUP($D250,$C$6:$AJ$991,4,))*$F250</f>
        <v>0</v>
      </c>
      <c r="T250" s="17">
        <f>(VLOOKUP($D250,$C$6:$AJ$991,18,)/VLOOKUP($D250,$C$6:$AJ$991,4,))*$F250</f>
        <v>0</v>
      </c>
      <c r="U250" s="17">
        <f>(VLOOKUP($D250,$C$6:$AJ$991,19,)/VLOOKUP($D250,$C$6:$AJ$991,4,))*$F250</f>
        <v>832243.28</v>
      </c>
      <c r="V250" s="17">
        <f>(VLOOKUP($D250,$C$6:$AJ$991,20,)/VLOOKUP($D250,$C$6:$AJ$991,4,))*$F250</f>
        <v>0</v>
      </c>
      <c r="W250" s="17">
        <f>SUM(G250:V250)</f>
        <v>832243.28</v>
      </c>
      <c r="X250" s="96" t="str">
        <f>IF(ABS(W250-F250)&lt;1,"ok","err")</f>
        <v>ok</v>
      </c>
    </row>
    <row r="251" spans="1:24" x14ac:dyDescent="0.2">
      <c r="A251" s="18">
        <v>902</v>
      </c>
      <c r="B251" s="16" t="s">
        <v>139</v>
      </c>
      <c r="C251" s="90" t="s">
        <v>533</v>
      </c>
      <c r="D251" s="90" t="s">
        <v>48</v>
      </c>
      <c r="F251" s="17">
        <v>276837.44</v>
      </c>
      <c r="G251" s="17">
        <f>(VLOOKUP($D251,$C$6:$AJ$991,5,)/VLOOKUP($D251,$C$6:$AJ$991,4,))*$F251</f>
        <v>0</v>
      </c>
      <c r="H251" s="17">
        <f>(VLOOKUP($D251,$C$6:$AJ$991,6,)/VLOOKUP($D251,$C$6:$AJ$991,4,))*$F251</f>
        <v>0</v>
      </c>
      <c r="I251" s="17">
        <f>(VLOOKUP($D251,$C$6:$AJ$991,7,)/VLOOKUP($D251,$C$6:$AJ$991,4,))*$F251</f>
        <v>0</v>
      </c>
      <c r="J251" s="17">
        <f>(VLOOKUP($D251,$C$6:$AJ$991,8,)/VLOOKUP($D251,$C$6:$AJ$991,4,))*$F251</f>
        <v>0</v>
      </c>
      <c r="K251" s="17">
        <f>(VLOOKUP($D251,$C$6:$AJ$991,9,)/VLOOKUP($D251,$C$6:$AJ$991,4,))*$F251</f>
        <v>0</v>
      </c>
      <c r="L251" s="17">
        <f>(VLOOKUP($D251,$C$6:$AJ$991,10,)/VLOOKUP($D251,$C$6:$AJ$991,4,))*$F251</f>
        <v>0</v>
      </c>
      <c r="M251" s="17">
        <f>(VLOOKUP($D251,$C$6:$AJ$991,11,)/VLOOKUP($D251,$C$6:$AJ$991,4,))*$F251</f>
        <v>0</v>
      </c>
      <c r="N251" s="17">
        <f>(VLOOKUP($D251,$C$6:$AJ$991,12,)/VLOOKUP($D251,$C$6:$AJ$991,4,))*$F251</f>
        <v>0</v>
      </c>
      <c r="O251" s="17">
        <f>(VLOOKUP($D251,$C$6:$AJ$991,13,)/VLOOKUP($D251,$C$6:$AJ$991,4,))*$F251</f>
        <v>0</v>
      </c>
      <c r="P251" s="17">
        <f>(VLOOKUP($D251,$C$6:$AJ$991,14,)/VLOOKUP($D251,$C$6:$AJ$991,4,))*$F251</f>
        <v>0</v>
      </c>
      <c r="Q251" s="17">
        <f>(VLOOKUP($D251,$C$6:$AJ$991,15,)/VLOOKUP($D251,$C$6:$AJ$991,4,))*$F251</f>
        <v>0</v>
      </c>
      <c r="R251" s="17">
        <f>(VLOOKUP($D251,$C$6:$AJ$991,16,)/VLOOKUP($D251,$C$6:$AJ$991,4,))*$F251</f>
        <v>0</v>
      </c>
      <c r="S251" s="17">
        <f>(VLOOKUP($D251,$C$6:$AJ$991,17,)/VLOOKUP($D251,$C$6:$AJ$991,4,))*$F251</f>
        <v>0</v>
      </c>
      <c r="T251" s="17">
        <f>(VLOOKUP($D251,$C$6:$AJ$991,18,)/VLOOKUP($D251,$C$6:$AJ$991,4,))*$F251</f>
        <v>0</v>
      </c>
      <c r="U251" s="17">
        <f>(VLOOKUP($D251,$C$6:$AJ$991,19,)/VLOOKUP($D251,$C$6:$AJ$991,4,))*$F251</f>
        <v>276837.44</v>
      </c>
      <c r="V251" s="17">
        <f>(VLOOKUP($D251,$C$6:$AJ$991,20,)/VLOOKUP($D251,$C$6:$AJ$991,4,))*$F251</f>
        <v>0</v>
      </c>
      <c r="W251" s="17">
        <f>SUM(G251:V251)</f>
        <v>276837.44</v>
      </c>
      <c r="X251" s="96" t="str">
        <f>IF(ABS(W251-F251)&lt;1,"ok","err")</f>
        <v>ok</v>
      </c>
    </row>
    <row r="252" spans="1:24" x14ac:dyDescent="0.2">
      <c r="A252" s="18">
        <v>903</v>
      </c>
      <c r="B252" s="16" t="s">
        <v>431</v>
      </c>
      <c r="C252" s="90" t="s">
        <v>534</v>
      </c>
      <c r="D252" s="90" t="s">
        <v>48</v>
      </c>
      <c r="F252" s="17">
        <v>2762738.88</v>
      </c>
      <c r="G252" s="17">
        <f>(VLOOKUP($D252,$C$6:$AJ$991,5,)/VLOOKUP($D252,$C$6:$AJ$991,4,))*$F252</f>
        <v>0</v>
      </c>
      <c r="H252" s="17">
        <f>(VLOOKUP($D252,$C$6:$AJ$991,6,)/VLOOKUP($D252,$C$6:$AJ$991,4,))*$F252</f>
        <v>0</v>
      </c>
      <c r="I252" s="17">
        <f>(VLOOKUP($D252,$C$6:$AJ$991,7,)/VLOOKUP($D252,$C$6:$AJ$991,4,))*$F252</f>
        <v>0</v>
      </c>
      <c r="J252" s="17">
        <f>(VLOOKUP($D252,$C$6:$AJ$991,8,)/VLOOKUP($D252,$C$6:$AJ$991,4,))*$F252</f>
        <v>0</v>
      </c>
      <c r="K252" s="17">
        <f>(VLOOKUP($D252,$C$6:$AJ$991,9,)/VLOOKUP($D252,$C$6:$AJ$991,4,))*$F252</f>
        <v>0</v>
      </c>
      <c r="L252" s="17">
        <f>(VLOOKUP($D252,$C$6:$AJ$991,10,)/VLOOKUP($D252,$C$6:$AJ$991,4,))*$F252</f>
        <v>0</v>
      </c>
      <c r="M252" s="17">
        <f>(VLOOKUP($D252,$C$6:$AJ$991,11,)/VLOOKUP($D252,$C$6:$AJ$991,4,))*$F252</f>
        <v>0</v>
      </c>
      <c r="N252" s="17">
        <f>(VLOOKUP($D252,$C$6:$AJ$991,12,)/VLOOKUP($D252,$C$6:$AJ$991,4,))*$F252</f>
        <v>0</v>
      </c>
      <c r="O252" s="17">
        <f>(VLOOKUP($D252,$C$6:$AJ$991,13,)/VLOOKUP($D252,$C$6:$AJ$991,4,))*$F252</f>
        <v>0</v>
      </c>
      <c r="P252" s="17">
        <f>(VLOOKUP($D252,$C$6:$AJ$991,14,)/VLOOKUP($D252,$C$6:$AJ$991,4,))*$F252</f>
        <v>0</v>
      </c>
      <c r="Q252" s="17">
        <f>(VLOOKUP($D252,$C$6:$AJ$991,15,)/VLOOKUP($D252,$C$6:$AJ$991,4,))*$F252</f>
        <v>0</v>
      </c>
      <c r="R252" s="17">
        <f>(VLOOKUP($D252,$C$6:$AJ$991,16,)/VLOOKUP($D252,$C$6:$AJ$991,4,))*$F252</f>
        <v>0</v>
      </c>
      <c r="S252" s="17">
        <f>(VLOOKUP($D252,$C$6:$AJ$991,17,)/VLOOKUP($D252,$C$6:$AJ$991,4,))*$F252</f>
        <v>0</v>
      </c>
      <c r="T252" s="17">
        <f>(VLOOKUP($D252,$C$6:$AJ$991,18,)/VLOOKUP($D252,$C$6:$AJ$991,4,))*$F252</f>
        <v>0</v>
      </c>
      <c r="U252" s="17">
        <f>(VLOOKUP($D252,$C$6:$AJ$991,19,)/VLOOKUP($D252,$C$6:$AJ$991,4,))*$F252</f>
        <v>2762738.88</v>
      </c>
      <c r="V252" s="17">
        <f>(VLOOKUP($D252,$C$6:$AJ$991,20,)/VLOOKUP($D252,$C$6:$AJ$991,4,))*$F252</f>
        <v>0</v>
      </c>
      <c r="W252" s="17">
        <f>SUM(G252:V252)</f>
        <v>2762738.88</v>
      </c>
      <c r="X252" s="96" t="str">
        <f>IF(ABS(W252-F252)&lt;1,"ok","err")</f>
        <v>ok</v>
      </c>
    </row>
    <row r="253" spans="1:24" x14ac:dyDescent="0.2">
      <c r="A253" s="18">
        <v>904</v>
      </c>
      <c r="B253" s="16" t="s">
        <v>142</v>
      </c>
      <c r="C253" s="90" t="s">
        <v>535</v>
      </c>
      <c r="D253" s="90" t="s">
        <v>48</v>
      </c>
      <c r="F253" s="17">
        <v>0</v>
      </c>
      <c r="G253" s="17">
        <f>(VLOOKUP($D253,$C$6:$AJ$991,5,)/VLOOKUP($D253,$C$6:$AJ$991,4,))*$F253</f>
        <v>0</v>
      </c>
      <c r="H253" s="17">
        <f>(VLOOKUP($D253,$C$6:$AJ$991,6,)/VLOOKUP($D253,$C$6:$AJ$991,4,))*$F253</f>
        <v>0</v>
      </c>
      <c r="I253" s="17">
        <f>(VLOOKUP($D253,$C$6:$AJ$991,7,)/VLOOKUP($D253,$C$6:$AJ$991,4,))*$F253</f>
        <v>0</v>
      </c>
      <c r="J253" s="17">
        <f>(VLOOKUP($D253,$C$6:$AJ$991,8,)/VLOOKUP($D253,$C$6:$AJ$991,4,))*$F253</f>
        <v>0</v>
      </c>
      <c r="K253" s="17">
        <f>(VLOOKUP($D253,$C$6:$AJ$991,9,)/VLOOKUP($D253,$C$6:$AJ$991,4,))*$F253</f>
        <v>0</v>
      </c>
      <c r="L253" s="17">
        <f>(VLOOKUP($D253,$C$6:$AJ$991,10,)/VLOOKUP($D253,$C$6:$AJ$991,4,))*$F253</f>
        <v>0</v>
      </c>
      <c r="M253" s="17">
        <f>(VLOOKUP($D253,$C$6:$AJ$991,11,)/VLOOKUP($D253,$C$6:$AJ$991,4,))*$F253</f>
        <v>0</v>
      </c>
      <c r="N253" s="17">
        <f>(VLOOKUP($D253,$C$6:$AJ$991,12,)/VLOOKUP($D253,$C$6:$AJ$991,4,))*$F253</f>
        <v>0</v>
      </c>
      <c r="O253" s="17">
        <f>(VLOOKUP($D253,$C$6:$AJ$991,13,)/VLOOKUP($D253,$C$6:$AJ$991,4,))*$F253</f>
        <v>0</v>
      </c>
      <c r="P253" s="17">
        <f>(VLOOKUP($D253,$C$6:$AJ$991,14,)/VLOOKUP($D253,$C$6:$AJ$991,4,))*$F253</f>
        <v>0</v>
      </c>
      <c r="Q253" s="17">
        <f>(VLOOKUP($D253,$C$6:$AJ$991,15,)/VLOOKUP($D253,$C$6:$AJ$991,4,))*$F253</f>
        <v>0</v>
      </c>
      <c r="R253" s="17">
        <f>(VLOOKUP($D253,$C$6:$AJ$991,16,)/VLOOKUP($D253,$C$6:$AJ$991,4,))*$F253</f>
        <v>0</v>
      </c>
      <c r="S253" s="17">
        <f>(VLOOKUP($D253,$C$6:$AJ$991,17,)/VLOOKUP($D253,$C$6:$AJ$991,4,))*$F253</f>
        <v>0</v>
      </c>
      <c r="T253" s="17">
        <f>(VLOOKUP($D253,$C$6:$AJ$991,18,)/VLOOKUP($D253,$C$6:$AJ$991,4,))*$F253</f>
        <v>0</v>
      </c>
      <c r="U253" s="17">
        <f>(VLOOKUP($D253,$C$6:$AJ$991,19,)/VLOOKUP($D253,$C$6:$AJ$991,4,))*$F253</f>
        <v>0</v>
      </c>
      <c r="V253" s="17">
        <f>(VLOOKUP($D253,$C$6:$AJ$991,20,)/VLOOKUP($D253,$C$6:$AJ$991,4,))*$F253</f>
        <v>0</v>
      </c>
      <c r="W253" s="17">
        <f>SUM(G253:V253)</f>
        <v>0</v>
      </c>
      <c r="X253" s="96" t="str">
        <f>IF(ABS(W253-F253)&lt;1,"ok","err")</f>
        <v>ok</v>
      </c>
    </row>
    <row r="254" spans="1:24" x14ac:dyDescent="0.2">
      <c r="A254" s="18">
        <v>905</v>
      </c>
      <c r="B254" s="16" t="s">
        <v>432</v>
      </c>
      <c r="C254" s="90" t="s">
        <v>536</v>
      </c>
      <c r="D254" s="90" t="s">
        <v>48</v>
      </c>
      <c r="F254" s="17">
        <v>0</v>
      </c>
      <c r="G254" s="17">
        <f>(VLOOKUP($D254,$C$6:$AJ$991,5,)/VLOOKUP($D254,$C$6:$AJ$991,4,))*$F254</f>
        <v>0</v>
      </c>
      <c r="H254" s="17">
        <f>(VLOOKUP($D254,$C$6:$AJ$991,6,)/VLOOKUP($D254,$C$6:$AJ$991,4,))*$F254</f>
        <v>0</v>
      </c>
      <c r="I254" s="17">
        <f>(VLOOKUP($D254,$C$6:$AJ$991,7,)/VLOOKUP($D254,$C$6:$AJ$991,4,))*$F254</f>
        <v>0</v>
      </c>
      <c r="J254" s="17">
        <f>(VLOOKUP($D254,$C$6:$AJ$991,8,)/VLOOKUP($D254,$C$6:$AJ$991,4,))*$F254</f>
        <v>0</v>
      </c>
      <c r="K254" s="17">
        <f>(VLOOKUP($D254,$C$6:$AJ$991,9,)/VLOOKUP($D254,$C$6:$AJ$991,4,))*$F254</f>
        <v>0</v>
      </c>
      <c r="L254" s="17">
        <f>(VLOOKUP($D254,$C$6:$AJ$991,10,)/VLOOKUP($D254,$C$6:$AJ$991,4,))*$F254</f>
        <v>0</v>
      </c>
      <c r="M254" s="17">
        <f>(VLOOKUP($D254,$C$6:$AJ$991,11,)/VLOOKUP($D254,$C$6:$AJ$991,4,))*$F254</f>
        <v>0</v>
      </c>
      <c r="N254" s="17">
        <f>(VLOOKUP($D254,$C$6:$AJ$991,12,)/VLOOKUP($D254,$C$6:$AJ$991,4,))*$F254</f>
        <v>0</v>
      </c>
      <c r="O254" s="17">
        <f>(VLOOKUP($D254,$C$6:$AJ$991,13,)/VLOOKUP($D254,$C$6:$AJ$991,4,))*$F254</f>
        <v>0</v>
      </c>
      <c r="P254" s="17">
        <f>(VLOOKUP($D254,$C$6:$AJ$991,14,)/VLOOKUP($D254,$C$6:$AJ$991,4,))*$F254</f>
        <v>0</v>
      </c>
      <c r="Q254" s="17">
        <f>(VLOOKUP($D254,$C$6:$AJ$991,15,)/VLOOKUP($D254,$C$6:$AJ$991,4,))*$F254</f>
        <v>0</v>
      </c>
      <c r="R254" s="17">
        <f>(VLOOKUP($D254,$C$6:$AJ$991,16,)/VLOOKUP($D254,$C$6:$AJ$991,4,))*$F254</f>
        <v>0</v>
      </c>
      <c r="S254" s="17">
        <f>(VLOOKUP($D254,$C$6:$AJ$991,17,)/VLOOKUP($D254,$C$6:$AJ$991,4,))*$F254</f>
        <v>0</v>
      </c>
      <c r="T254" s="17">
        <f>(VLOOKUP($D254,$C$6:$AJ$991,18,)/VLOOKUP($D254,$C$6:$AJ$991,4,))*$F254</f>
        <v>0</v>
      </c>
      <c r="U254" s="17">
        <f>(VLOOKUP($D254,$C$6:$AJ$991,19,)/VLOOKUP($D254,$C$6:$AJ$991,4,))*$F254</f>
        <v>0</v>
      </c>
      <c r="V254" s="17">
        <f>(VLOOKUP($D254,$C$6:$AJ$991,20,)/VLOOKUP($D254,$C$6:$AJ$991,4,))*$F254</f>
        <v>0</v>
      </c>
      <c r="W254" s="17">
        <f>SUM(G254:V254)</f>
        <v>0</v>
      </c>
      <c r="X254" s="96" t="str">
        <f>IF(ABS(W254-F254)&lt;1,"ok","err")</f>
        <v>ok</v>
      </c>
    </row>
    <row r="255" spans="1:24" x14ac:dyDescent="0.2">
      <c r="A255" s="18"/>
      <c r="F255" s="17"/>
    </row>
    <row r="256" spans="1:24" x14ac:dyDescent="0.2">
      <c r="A256" s="18" t="s">
        <v>469</v>
      </c>
      <c r="C256" s="90" t="s">
        <v>537</v>
      </c>
      <c r="F256" s="21">
        <f>SUM(F250:F254)</f>
        <v>3871819.5999999996</v>
      </c>
      <c r="G256" s="21">
        <f t="shared" ref="G256:V256" si="143">SUM(G250:G254)</f>
        <v>0</v>
      </c>
      <c r="H256" s="21">
        <f t="shared" si="143"/>
        <v>0</v>
      </c>
      <c r="I256" s="21">
        <f t="shared" si="143"/>
        <v>0</v>
      </c>
      <c r="J256" s="21">
        <f t="shared" si="143"/>
        <v>0</v>
      </c>
      <c r="K256" s="21">
        <f t="shared" si="143"/>
        <v>0</v>
      </c>
      <c r="L256" s="21">
        <f t="shared" si="143"/>
        <v>0</v>
      </c>
      <c r="M256" s="21">
        <f t="shared" si="143"/>
        <v>0</v>
      </c>
      <c r="N256" s="21">
        <f t="shared" si="143"/>
        <v>0</v>
      </c>
      <c r="O256" s="21">
        <f t="shared" si="143"/>
        <v>0</v>
      </c>
      <c r="P256" s="21">
        <f t="shared" si="143"/>
        <v>0</v>
      </c>
      <c r="Q256" s="21">
        <f t="shared" si="143"/>
        <v>0</v>
      </c>
      <c r="R256" s="21">
        <f t="shared" si="143"/>
        <v>0</v>
      </c>
      <c r="S256" s="21">
        <f t="shared" si="143"/>
        <v>0</v>
      </c>
      <c r="T256" s="21">
        <f t="shared" si="143"/>
        <v>0</v>
      </c>
      <c r="U256" s="21">
        <f t="shared" si="143"/>
        <v>3871819.5999999996</v>
      </c>
      <c r="V256" s="21">
        <f t="shared" si="143"/>
        <v>0</v>
      </c>
      <c r="W256" s="17">
        <f>SUM(G256:V256)</f>
        <v>3871819.5999999996</v>
      </c>
      <c r="X256" s="96" t="str">
        <f>IF(ABS(W256-F256)&lt;1,"ok","err")</f>
        <v>ok</v>
      </c>
    </row>
    <row r="257" spans="1:24" x14ac:dyDescent="0.2">
      <c r="A257" s="18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17"/>
      <c r="X257" s="96"/>
    </row>
    <row r="258" spans="1:24" x14ac:dyDescent="0.2">
      <c r="A258" s="93" t="s">
        <v>148</v>
      </c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17"/>
      <c r="X258" s="96"/>
    </row>
    <row r="259" spans="1:24" x14ac:dyDescent="0.2">
      <c r="A259" s="18" t="s">
        <v>147</v>
      </c>
      <c r="B259" s="16" t="s">
        <v>13</v>
      </c>
      <c r="C259" s="90" t="s">
        <v>538</v>
      </c>
      <c r="D259" s="90" t="s">
        <v>51</v>
      </c>
      <c r="F259" s="21">
        <v>244904.38999999996</v>
      </c>
      <c r="G259" s="17">
        <f>(VLOOKUP($D259,$C$6:$AJ$991,5,)/VLOOKUP($D259,$C$6:$AJ$991,4,))*$F259</f>
        <v>0</v>
      </c>
      <c r="H259" s="17">
        <f>(VLOOKUP($D259,$C$6:$AJ$991,6,)/VLOOKUP($D259,$C$6:$AJ$991,4,))*$F259</f>
        <v>0</v>
      </c>
      <c r="I259" s="17">
        <f>(VLOOKUP($D259,$C$6:$AJ$991,7,)/VLOOKUP($D259,$C$6:$AJ$991,4,))*$F259</f>
        <v>0</v>
      </c>
      <c r="J259" s="17">
        <f>(VLOOKUP($D259,$C$6:$AJ$991,8,)/VLOOKUP($D259,$C$6:$AJ$991,4,))*$F259</f>
        <v>0</v>
      </c>
      <c r="K259" s="17">
        <f>(VLOOKUP($D259,$C$6:$AJ$991,9,)/VLOOKUP($D259,$C$6:$AJ$991,4,))*$F259</f>
        <v>0</v>
      </c>
      <c r="L259" s="17">
        <f>(VLOOKUP($D259,$C$6:$AJ$991,10,)/VLOOKUP($D259,$C$6:$AJ$991,4,))*$F259</f>
        <v>0</v>
      </c>
      <c r="M259" s="17">
        <f>(VLOOKUP($D259,$C$6:$AJ$991,11,)/VLOOKUP($D259,$C$6:$AJ$991,4,))*$F259</f>
        <v>0</v>
      </c>
      <c r="N259" s="17">
        <f>(VLOOKUP($D259,$C$6:$AJ$991,12,)/VLOOKUP($D259,$C$6:$AJ$991,4,))*$F259</f>
        <v>0</v>
      </c>
      <c r="O259" s="17">
        <f>(VLOOKUP($D259,$C$6:$AJ$991,13,)/VLOOKUP($D259,$C$6:$AJ$991,4,))*$F259</f>
        <v>0</v>
      </c>
      <c r="P259" s="17">
        <f>(VLOOKUP($D259,$C$6:$AJ$991,14,)/VLOOKUP($D259,$C$6:$AJ$991,4,))*$F259</f>
        <v>0</v>
      </c>
      <c r="Q259" s="17">
        <f>(VLOOKUP($D259,$C$6:$AJ$991,15,)/VLOOKUP($D259,$C$6:$AJ$991,4,))*$F259</f>
        <v>0</v>
      </c>
      <c r="R259" s="17">
        <f>(VLOOKUP($D259,$C$6:$AJ$991,16,)/VLOOKUP($D259,$C$6:$AJ$991,4,))*$F259</f>
        <v>0</v>
      </c>
      <c r="S259" s="17">
        <f>(VLOOKUP($D259,$C$6:$AJ$991,17,)/VLOOKUP($D259,$C$6:$AJ$991,4,))*$F259</f>
        <v>0</v>
      </c>
      <c r="T259" s="17">
        <f>(VLOOKUP($D259,$C$6:$AJ$991,18,)/VLOOKUP($D259,$C$6:$AJ$991,4,))*$F259</f>
        <v>0</v>
      </c>
      <c r="U259" s="17">
        <f>(VLOOKUP($D259,$C$6:$AJ$991,19,)/VLOOKUP($D259,$C$6:$AJ$991,4,))*$F259</f>
        <v>0</v>
      </c>
      <c r="V259" s="17">
        <f>(VLOOKUP($D259,$C$6:$AJ$991,20,)/VLOOKUP($D259,$C$6:$AJ$991,4,))*$F259</f>
        <v>244904.38999999996</v>
      </c>
      <c r="W259" s="17">
        <f>SUM(G259:V259)</f>
        <v>244904.38999999996</v>
      </c>
      <c r="X259" s="96" t="str">
        <f>IF(ABS(W259-F259)&lt;1,"ok","err")</f>
        <v>ok</v>
      </c>
    </row>
    <row r="260" spans="1:24" x14ac:dyDescent="0.2">
      <c r="A260" s="18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17"/>
      <c r="X260" s="96"/>
    </row>
    <row r="261" spans="1:24" x14ac:dyDescent="0.2">
      <c r="A261" s="93" t="s">
        <v>151</v>
      </c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17"/>
      <c r="X261" s="96"/>
    </row>
    <row r="262" spans="1:24" x14ac:dyDescent="0.2">
      <c r="A262" s="18" t="s">
        <v>150</v>
      </c>
      <c r="B262" s="16" t="s">
        <v>151</v>
      </c>
      <c r="C262" s="90" t="s">
        <v>539</v>
      </c>
      <c r="D262" s="90" t="s">
        <v>51</v>
      </c>
      <c r="F262" s="21">
        <v>0</v>
      </c>
      <c r="G262" s="17">
        <f>(VLOOKUP($D262,$C$6:$AJ$991,5,)/VLOOKUP($D262,$C$6:$AJ$991,4,))*$F262</f>
        <v>0</v>
      </c>
      <c r="H262" s="17">
        <f>(VLOOKUP($D262,$C$6:$AJ$991,6,)/VLOOKUP($D262,$C$6:$AJ$991,4,))*$F262</f>
        <v>0</v>
      </c>
      <c r="I262" s="17">
        <f>(VLOOKUP($D262,$C$6:$AJ$991,7,)/VLOOKUP($D262,$C$6:$AJ$991,4,))*$F262</f>
        <v>0</v>
      </c>
      <c r="J262" s="17">
        <f>(VLOOKUP($D262,$C$6:$AJ$991,8,)/VLOOKUP($D262,$C$6:$AJ$991,4,))*$F262</f>
        <v>0</v>
      </c>
      <c r="K262" s="17">
        <f>(VLOOKUP($D262,$C$6:$AJ$991,9,)/VLOOKUP($D262,$C$6:$AJ$991,4,))*$F262</f>
        <v>0</v>
      </c>
      <c r="L262" s="17">
        <f>(VLOOKUP($D262,$C$6:$AJ$991,10,)/VLOOKUP($D262,$C$6:$AJ$991,4,))*$F262</f>
        <v>0</v>
      </c>
      <c r="M262" s="17">
        <f>(VLOOKUP($D262,$C$6:$AJ$991,11,)/VLOOKUP($D262,$C$6:$AJ$991,4,))*$F262</f>
        <v>0</v>
      </c>
      <c r="N262" s="17">
        <f>(VLOOKUP($D262,$C$6:$AJ$991,12,)/VLOOKUP($D262,$C$6:$AJ$991,4,))*$F262</f>
        <v>0</v>
      </c>
      <c r="O262" s="17">
        <f>(VLOOKUP($D262,$C$6:$AJ$991,13,)/VLOOKUP($D262,$C$6:$AJ$991,4,))*$F262</f>
        <v>0</v>
      </c>
      <c r="P262" s="17">
        <f>(VLOOKUP($D262,$C$6:$AJ$991,14,)/VLOOKUP($D262,$C$6:$AJ$991,4,))*$F262</f>
        <v>0</v>
      </c>
      <c r="Q262" s="17">
        <f>(VLOOKUP($D262,$C$6:$AJ$991,15,)/VLOOKUP($D262,$C$6:$AJ$991,4,))*$F262</f>
        <v>0</v>
      </c>
      <c r="R262" s="17">
        <f>(VLOOKUP($D262,$C$6:$AJ$991,16,)/VLOOKUP($D262,$C$6:$AJ$991,4,))*$F262</f>
        <v>0</v>
      </c>
      <c r="S262" s="17">
        <f>(VLOOKUP($D262,$C$6:$AJ$991,17,)/VLOOKUP($D262,$C$6:$AJ$991,4,))*$F262</f>
        <v>0</v>
      </c>
      <c r="T262" s="17">
        <f>(VLOOKUP($D262,$C$6:$AJ$991,18,)/VLOOKUP($D262,$C$6:$AJ$991,4,))*$F262</f>
        <v>0</v>
      </c>
      <c r="U262" s="17">
        <f>(VLOOKUP($D262,$C$6:$AJ$991,19,)/VLOOKUP($D262,$C$6:$AJ$991,4,))*$F262</f>
        <v>0</v>
      </c>
      <c r="V262" s="17">
        <f>(VLOOKUP($D262,$C$6:$AJ$991,20,)/VLOOKUP($D262,$C$6:$AJ$991,4,))*$F262</f>
        <v>0</v>
      </c>
      <c r="W262" s="17">
        <f>SUM(G262:V262)</f>
        <v>0</v>
      </c>
      <c r="X262" s="96" t="str">
        <f>IF(ABS(W262-F262)&lt;1,"ok","err")</f>
        <v>ok</v>
      </c>
    </row>
    <row r="263" spans="1:24" x14ac:dyDescent="0.2">
      <c r="A263" s="18"/>
      <c r="F263" s="17"/>
    </row>
    <row r="264" spans="1:24" x14ac:dyDescent="0.2">
      <c r="A264" s="18"/>
      <c r="F264" s="17"/>
    </row>
    <row r="265" spans="1:24" x14ac:dyDescent="0.2">
      <c r="A265" s="18"/>
      <c r="F265" s="17"/>
    </row>
    <row r="266" spans="1:24" x14ac:dyDescent="0.2">
      <c r="A266" s="18"/>
      <c r="F266" s="17"/>
    </row>
    <row r="267" spans="1:24" x14ac:dyDescent="0.2">
      <c r="A267" s="18"/>
      <c r="F267" s="17"/>
    </row>
    <row r="268" spans="1:24" x14ac:dyDescent="0.2">
      <c r="A268" s="18"/>
      <c r="F268" s="17"/>
    </row>
    <row r="269" spans="1:24" x14ac:dyDescent="0.2">
      <c r="A269" s="180"/>
      <c r="F269" s="21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96"/>
    </row>
    <row r="270" spans="1:24" x14ac:dyDescent="0.2">
      <c r="A270" s="18"/>
      <c r="F270" s="17"/>
    </row>
    <row r="271" spans="1:24" x14ac:dyDescent="0.2">
      <c r="A271" s="158" t="s">
        <v>457</v>
      </c>
      <c r="F271" s="17"/>
    </row>
    <row r="272" spans="1:24" x14ac:dyDescent="0.2">
      <c r="A272" s="18"/>
      <c r="F272" s="17"/>
    </row>
    <row r="273" spans="1:24" x14ac:dyDescent="0.2">
      <c r="A273" s="18"/>
      <c r="F273" s="17"/>
    </row>
    <row r="274" spans="1:24" x14ac:dyDescent="0.2">
      <c r="A274" s="93" t="s">
        <v>172</v>
      </c>
      <c r="F274" s="17"/>
    </row>
    <row r="275" spans="1:24" x14ac:dyDescent="0.2">
      <c r="A275" s="18">
        <v>920</v>
      </c>
      <c r="B275" s="16" t="s">
        <v>433</v>
      </c>
      <c r="C275" s="90" t="s">
        <v>540</v>
      </c>
      <c r="D275" s="90" t="s">
        <v>154</v>
      </c>
      <c r="F275" s="160">
        <v>6715477.8399999999</v>
      </c>
      <c r="G275" s="17">
        <f t="shared" ref="G275:G288" si="144">(VLOOKUP($D275,$C$6:$AJ$991,5,)/VLOOKUP($D275,$C$6:$AJ$991,4,))*$F275</f>
        <v>23007.591646893554</v>
      </c>
      <c r="H275" s="17">
        <f t="shared" ref="H275:H288" si="145">(VLOOKUP($D275,$C$6:$AJ$991,6,)/VLOOKUP($D275,$C$6:$AJ$991,4,))*$F275</f>
        <v>172968.48711710604</v>
      </c>
      <c r="I275" s="17">
        <f t="shared" ref="I275:I288" si="146">(VLOOKUP($D275,$C$6:$AJ$991,7,)/VLOOKUP($D275,$C$6:$AJ$991,4,))*$F275</f>
        <v>362475.78513190296</v>
      </c>
      <c r="J275" s="17">
        <f t="shared" ref="J275:J288" si="147">(VLOOKUP($D275,$C$6:$AJ$991,8,)/VLOOKUP($D275,$C$6:$AJ$991,4,))*$F275</f>
        <v>682898.75499842141</v>
      </c>
      <c r="K275" s="17">
        <f t="shared" ref="K275:K288" si="148">(VLOOKUP($D275,$C$6:$AJ$991,9,)/VLOOKUP($D275,$C$6:$AJ$991,4,))*$F275</f>
        <v>218504.87349379898</v>
      </c>
      <c r="L275" s="17">
        <f t="shared" ref="L275:L288" si="149">(VLOOKUP($D275,$C$6:$AJ$991,10,)/VLOOKUP($D275,$C$6:$AJ$991,4,))*$F275</f>
        <v>532133.66515995644</v>
      </c>
      <c r="M275" s="17">
        <f t="shared" ref="M275:M288" si="150">(VLOOKUP($D275,$C$6:$AJ$991,11,)/VLOOKUP($D275,$C$6:$AJ$991,4,))*$F275</f>
        <v>202779.46696224267</v>
      </c>
      <c r="N275" s="17">
        <f t="shared" ref="N275:N288" si="151">(VLOOKUP($D275,$C$6:$AJ$991,12,)/VLOOKUP($D275,$C$6:$AJ$991,4,))*$F275</f>
        <v>386475.53684708016</v>
      </c>
      <c r="O275" s="17">
        <f t="shared" ref="O275:O288" si="152">(VLOOKUP($D275,$C$6:$AJ$991,13,)/VLOOKUP($D275,$C$6:$AJ$991,4,))*$F275</f>
        <v>533445.16723253566</v>
      </c>
      <c r="P275" s="17">
        <f t="shared" ref="P275:P288" si="153">(VLOOKUP($D275,$C$6:$AJ$991,14,)/VLOOKUP($D275,$C$6:$AJ$991,4,))*$F275</f>
        <v>1051025.4683347577</v>
      </c>
      <c r="Q275" s="17">
        <f t="shared" ref="Q275:Q288" si="154">(VLOOKUP($D275,$C$6:$AJ$991,15,)/VLOOKUP($D275,$C$6:$AJ$991,4,))*$F275</f>
        <v>91174.772092553991</v>
      </c>
      <c r="R275" s="17">
        <f t="shared" ref="R275:R288" si="155">(VLOOKUP($D275,$C$6:$AJ$991,16,)/VLOOKUP($D275,$C$6:$AJ$991,4,))*$F275</f>
        <v>77378.474142767402</v>
      </c>
      <c r="S275" s="17">
        <f t="shared" ref="S275:S288" si="156">(VLOOKUP($D275,$C$6:$AJ$991,17,)/VLOOKUP($D275,$C$6:$AJ$991,4,))*$F275</f>
        <v>645532.028411087</v>
      </c>
      <c r="T275" s="17">
        <f t="shared" ref="T275:T288" si="157">(VLOOKUP($D275,$C$6:$AJ$991,18,)/VLOOKUP($D275,$C$6:$AJ$991,4,))*$F275</f>
        <v>525843.15032997006</v>
      </c>
      <c r="U275" s="17">
        <f t="shared" ref="U275:U288" si="158">(VLOOKUP($D275,$C$6:$AJ$991,19,)/VLOOKUP($D275,$C$6:$AJ$991,4,))*$F275</f>
        <v>1137861.415652968</v>
      </c>
      <c r="V275" s="17">
        <f t="shared" ref="V275:V288" si="159">(VLOOKUP($D275,$C$6:$AJ$991,20,)/VLOOKUP($D275,$C$6:$AJ$991,4,))*$F275</f>
        <v>71973.202445957591</v>
      </c>
      <c r="W275" s="17">
        <f>SUM(G275:V275)</f>
        <v>6715477.8399999989</v>
      </c>
      <c r="X275" s="96" t="str">
        <f>IF(ABS(W275-F275)&lt;1,"ok","err")</f>
        <v>ok</v>
      </c>
    </row>
    <row r="276" spans="1:24" x14ac:dyDescent="0.2">
      <c r="A276" s="18">
        <v>921</v>
      </c>
      <c r="B276" s="16" t="s">
        <v>434</v>
      </c>
      <c r="C276" s="90" t="s">
        <v>541</v>
      </c>
      <c r="D276" s="90" t="s">
        <v>154</v>
      </c>
      <c r="F276" s="17">
        <v>7950.9599999999991</v>
      </c>
      <c r="G276" s="17">
        <f t="shared" si="144"/>
        <v>27.240420598392557</v>
      </c>
      <c r="H276" s="17">
        <f t="shared" si="145"/>
        <v>204.79041925162923</v>
      </c>
      <c r="I276" s="17">
        <f t="shared" si="146"/>
        <v>429.16238236776826</v>
      </c>
      <c r="J276" s="17">
        <f t="shared" si="147"/>
        <v>808.53526947864202</v>
      </c>
      <c r="K276" s="17">
        <f t="shared" si="148"/>
        <v>258.70437671703428</v>
      </c>
      <c r="L276" s="17">
        <f t="shared" si="149"/>
        <v>630.03312454385321</v>
      </c>
      <c r="M276" s="17">
        <f t="shared" si="150"/>
        <v>240.08588354423233</v>
      </c>
      <c r="N276" s="17">
        <f t="shared" si="151"/>
        <v>457.57749599686866</v>
      </c>
      <c r="O276" s="17">
        <f t="shared" si="152"/>
        <v>631.58591062511812</v>
      </c>
      <c r="P276" s="17">
        <f t="shared" si="153"/>
        <v>1244.3882113548786</v>
      </c>
      <c r="Q276" s="17">
        <f t="shared" si="154"/>
        <v>107.94867963066839</v>
      </c>
      <c r="R276" s="17">
        <f t="shared" si="155"/>
        <v>91.614203401224813</v>
      </c>
      <c r="S276" s="17">
        <f t="shared" si="156"/>
        <v>764.29398754674696</v>
      </c>
      <c r="T276" s="17">
        <f t="shared" si="157"/>
        <v>622.58531025806769</v>
      </c>
      <c r="U276" s="17">
        <f t="shared" si="158"/>
        <v>1347.1998295507922</v>
      </c>
      <c r="V276" s="17">
        <f t="shared" si="159"/>
        <v>85.214495134081318</v>
      </c>
      <c r="W276" s="17">
        <f t="shared" ref="W276:W288" si="160">SUM(G276:V276)</f>
        <v>7950.9599999999982</v>
      </c>
      <c r="X276" s="96" t="str">
        <f t="shared" ref="X276:X288" si="161">IF(ABS(W276-F276)&lt;1,"ok","err")</f>
        <v>ok</v>
      </c>
    </row>
    <row r="277" spans="1:24" x14ac:dyDescent="0.2">
      <c r="A277" s="18">
        <v>922</v>
      </c>
      <c r="B277" s="16" t="s">
        <v>435</v>
      </c>
      <c r="C277" s="90" t="s">
        <v>542</v>
      </c>
      <c r="D277" s="90" t="s">
        <v>154</v>
      </c>
      <c r="F277" s="17">
        <v>-677330.87999999989</v>
      </c>
      <c r="G277" s="17">
        <f t="shared" si="144"/>
        <v>-2320.5723655356533</v>
      </c>
      <c r="H277" s="17">
        <f t="shared" si="145"/>
        <v>-17445.802127953724</v>
      </c>
      <c r="I277" s="17">
        <f t="shared" si="146"/>
        <v>-36559.727896009659</v>
      </c>
      <c r="J277" s="17">
        <f t="shared" si="147"/>
        <v>-68877.9600937504</v>
      </c>
      <c r="K277" s="17">
        <f t="shared" si="148"/>
        <v>-22038.654846911613</v>
      </c>
      <c r="L277" s="17">
        <f t="shared" si="149"/>
        <v>-53671.618355071296</v>
      </c>
      <c r="M277" s="17">
        <f t="shared" si="150"/>
        <v>-20452.572114133687</v>
      </c>
      <c r="N277" s="17">
        <f t="shared" si="151"/>
        <v>-38980.370676214632</v>
      </c>
      <c r="O277" s="17">
        <f t="shared" si="152"/>
        <v>-53803.897974497741</v>
      </c>
      <c r="P277" s="17">
        <f t="shared" si="153"/>
        <v>-106007.64715941546</v>
      </c>
      <c r="Q277" s="17">
        <f t="shared" si="154"/>
        <v>-9195.9932095091281</v>
      </c>
      <c r="R277" s="17">
        <f t="shared" si="155"/>
        <v>-7804.4826046478147</v>
      </c>
      <c r="S277" s="17">
        <f t="shared" si="156"/>
        <v>-65109.108731995526</v>
      </c>
      <c r="T277" s="17">
        <f t="shared" si="157"/>
        <v>-53037.149736908497</v>
      </c>
      <c r="U277" s="17">
        <f t="shared" si="158"/>
        <v>-114766.02147231126</v>
      </c>
      <c r="V277" s="17">
        <f t="shared" si="159"/>
        <v>-7259.3006351337463</v>
      </c>
      <c r="W277" s="17">
        <f t="shared" si="160"/>
        <v>-677330.87999999977</v>
      </c>
      <c r="X277" s="96" t="str">
        <f t="shared" si="161"/>
        <v>ok</v>
      </c>
    </row>
    <row r="278" spans="1:24" x14ac:dyDescent="0.2">
      <c r="A278" s="18">
        <v>923</v>
      </c>
      <c r="B278" s="16" t="s">
        <v>157</v>
      </c>
      <c r="C278" s="90" t="s">
        <v>543</v>
      </c>
      <c r="D278" s="90" t="s">
        <v>154</v>
      </c>
      <c r="F278" s="17">
        <v>0</v>
      </c>
      <c r="G278" s="17">
        <f t="shared" si="144"/>
        <v>0</v>
      </c>
      <c r="H278" s="17">
        <f t="shared" si="145"/>
        <v>0</v>
      </c>
      <c r="I278" s="17">
        <f t="shared" si="146"/>
        <v>0</v>
      </c>
      <c r="J278" s="17">
        <f t="shared" si="147"/>
        <v>0</v>
      </c>
      <c r="K278" s="17">
        <f t="shared" si="148"/>
        <v>0</v>
      </c>
      <c r="L278" s="17">
        <f t="shared" si="149"/>
        <v>0</v>
      </c>
      <c r="M278" s="17">
        <f t="shared" si="150"/>
        <v>0</v>
      </c>
      <c r="N278" s="17">
        <f t="shared" si="151"/>
        <v>0</v>
      </c>
      <c r="O278" s="17">
        <f t="shared" si="152"/>
        <v>0</v>
      </c>
      <c r="P278" s="17">
        <f t="shared" si="153"/>
        <v>0</v>
      </c>
      <c r="Q278" s="17">
        <f t="shared" si="154"/>
        <v>0</v>
      </c>
      <c r="R278" s="17">
        <f t="shared" si="155"/>
        <v>0</v>
      </c>
      <c r="S278" s="17">
        <f t="shared" si="156"/>
        <v>0</v>
      </c>
      <c r="T278" s="17">
        <f t="shared" si="157"/>
        <v>0</v>
      </c>
      <c r="U278" s="17">
        <f t="shared" si="158"/>
        <v>0</v>
      </c>
      <c r="V278" s="17">
        <f t="shared" si="159"/>
        <v>0</v>
      </c>
      <c r="W278" s="17">
        <f t="shared" si="160"/>
        <v>0</v>
      </c>
      <c r="X278" s="96" t="str">
        <f t="shared" si="161"/>
        <v>ok</v>
      </c>
    </row>
    <row r="279" spans="1:24" x14ac:dyDescent="0.2">
      <c r="A279" s="18">
        <v>924</v>
      </c>
      <c r="B279" s="16" t="s">
        <v>160</v>
      </c>
      <c r="C279" s="90" t="s">
        <v>544</v>
      </c>
      <c r="D279" s="90" t="s">
        <v>72</v>
      </c>
      <c r="F279" s="17">
        <v>0</v>
      </c>
      <c r="G279" s="17">
        <f t="shared" si="144"/>
        <v>0</v>
      </c>
      <c r="H279" s="17">
        <f t="shared" si="145"/>
        <v>0</v>
      </c>
      <c r="I279" s="17">
        <f t="shared" si="146"/>
        <v>0</v>
      </c>
      <c r="J279" s="17">
        <f t="shared" si="147"/>
        <v>0</v>
      </c>
      <c r="K279" s="17">
        <f t="shared" si="148"/>
        <v>0</v>
      </c>
      <c r="L279" s="17">
        <f t="shared" si="149"/>
        <v>0</v>
      </c>
      <c r="M279" s="17">
        <f t="shared" si="150"/>
        <v>0</v>
      </c>
      <c r="N279" s="17">
        <f t="shared" si="151"/>
        <v>0</v>
      </c>
      <c r="O279" s="17">
        <f t="shared" si="152"/>
        <v>0</v>
      </c>
      <c r="P279" s="17">
        <f t="shared" si="153"/>
        <v>0</v>
      </c>
      <c r="Q279" s="17">
        <f t="shared" si="154"/>
        <v>0</v>
      </c>
      <c r="R279" s="17">
        <f t="shared" si="155"/>
        <v>0</v>
      </c>
      <c r="S279" s="17">
        <f t="shared" si="156"/>
        <v>0</v>
      </c>
      <c r="T279" s="17">
        <f t="shared" si="157"/>
        <v>0</v>
      </c>
      <c r="U279" s="17">
        <f t="shared" si="158"/>
        <v>0</v>
      </c>
      <c r="V279" s="17">
        <f t="shared" si="159"/>
        <v>0</v>
      </c>
      <c r="W279" s="17">
        <f t="shared" si="160"/>
        <v>0</v>
      </c>
      <c r="X279" s="96" t="str">
        <f t="shared" si="161"/>
        <v>ok</v>
      </c>
    </row>
    <row r="280" spans="1:24" x14ac:dyDescent="0.2">
      <c r="A280" s="18">
        <v>925</v>
      </c>
      <c r="B280" s="16" t="s">
        <v>162</v>
      </c>
      <c r="C280" s="90" t="s">
        <v>545</v>
      </c>
      <c r="D280" s="90" t="s">
        <v>154</v>
      </c>
      <c r="F280" s="17">
        <v>0</v>
      </c>
      <c r="G280" s="17">
        <f t="shared" si="144"/>
        <v>0</v>
      </c>
      <c r="H280" s="17">
        <f t="shared" si="145"/>
        <v>0</v>
      </c>
      <c r="I280" s="17">
        <f t="shared" si="146"/>
        <v>0</v>
      </c>
      <c r="J280" s="17">
        <f t="shared" si="147"/>
        <v>0</v>
      </c>
      <c r="K280" s="17">
        <f t="shared" si="148"/>
        <v>0</v>
      </c>
      <c r="L280" s="17">
        <f t="shared" si="149"/>
        <v>0</v>
      </c>
      <c r="M280" s="17">
        <f t="shared" si="150"/>
        <v>0</v>
      </c>
      <c r="N280" s="17">
        <f t="shared" si="151"/>
        <v>0</v>
      </c>
      <c r="O280" s="17">
        <f t="shared" si="152"/>
        <v>0</v>
      </c>
      <c r="P280" s="17">
        <f t="shared" si="153"/>
        <v>0</v>
      </c>
      <c r="Q280" s="17">
        <f t="shared" si="154"/>
        <v>0</v>
      </c>
      <c r="R280" s="17">
        <f t="shared" si="155"/>
        <v>0</v>
      </c>
      <c r="S280" s="17">
        <f t="shared" si="156"/>
        <v>0</v>
      </c>
      <c r="T280" s="17">
        <f t="shared" si="157"/>
        <v>0</v>
      </c>
      <c r="U280" s="17">
        <f t="shared" si="158"/>
        <v>0</v>
      </c>
      <c r="V280" s="17">
        <f t="shared" si="159"/>
        <v>0</v>
      </c>
      <c r="W280" s="17">
        <f t="shared" si="160"/>
        <v>0</v>
      </c>
      <c r="X280" s="96" t="str">
        <f t="shared" si="161"/>
        <v>ok</v>
      </c>
    </row>
    <row r="281" spans="1:24" x14ac:dyDescent="0.2">
      <c r="A281" s="18">
        <v>926</v>
      </c>
      <c r="B281" s="16" t="s">
        <v>436</v>
      </c>
      <c r="C281" s="90" t="s">
        <v>546</v>
      </c>
      <c r="D281" s="90" t="s">
        <v>154</v>
      </c>
      <c r="F281" s="17">
        <v>0</v>
      </c>
      <c r="G281" s="17">
        <f t="shared" si="144"/>
        <v>0</v>
      </c>
      <c r="H281" s="17">
        <f t="shared" si="145"/>
        <v>0</v>
      </c>
      <c r="I281" s="17">
        <f t="shared" si="146"/>
        <v>0</v>
      </c>
      <c r="J281" s="17">
        <f t="shared" si="147"/>
        <v>0</v>
      </c>
      <c r="K281" s="17">
        <f t="shared" si="148"/>
        <v>0</v>
      </c>
      <c r="L281" s="17">
        <f t="shared" si="149"/>
        <v>0</v>
      </c>
      <c r="M281" s="17">
        <f t="shared" si="150"/>
        <v>0</v>
      </c>
      <c r="N281" s="17">
        <f t="shared" si="151"/>
        <v>0</v>
      </c>
      <c r="O281" s="17">
        <f t="shared" si="152"/>
        <v>0</v>
      </c>
      <c r="P281" s="17">
        <f t="shared" si="153"/>
        <v>0</v>
      </c>
      <c r="Q281" s="17">
        <f t="shared" si="154"/>
        <v>0</v>
      </c>
      <c r="R281" s="17">
        <f t="shared" si="155"/>
        <v>0</v>
      </c>
      <c r="S281" s="17">
        <f t="shared" si="156"/>
        <v>0</v>
      </c>
      <c r="T281" s="17">
        <f t="shared" si="157"/>
        <v>0</v>
      </c>
      <c r="U281" s="17">
        <f t="shared" si="158"/>
        <v>0</v>
      </c>
      <c r="V281" s="17">
        <f t="shared" si="159"/>
        <v>0</v>
      </c>
      <c r="W281" s="17">
        <f t="shared" si="160"/>
        <v>0</v>
      </c>
      <c r="X281" s="96" t="str">
        <f t="shared" si="161"/>
        <v>ok</v>
      </c>
    </row>
    <row r="282" spans="1:24" x14ac:dyDescent="0.2">
      <c r="A282" s="18">
        <v>927</v>
      </c>
      <c r="B282" s="16" t="s">
        <v>683</v>
      </c>
      <c r="C282" s="90" t="s">
        <v>547</v>
      </c>
      <c r="D282" s="90" t="s">
        <v>72</v>
      </c>
      <c r="F282" s="17">
        <v>0</v>
      </c>
      <c r="G282" s="17">
        <f t="shared" si="144"/>
        <v>0</v>
      </c>
      <c r="H282" s="17">
        <f t="shared" si="145"/>
        <v>0</v>
      </c>
      <c r="I282" s="17">
        <f t="shared" si="146"/>
        <v>0</v>
      </c>
      <c r="J282" s="17">
        <f t="shared" si="147"/>
        <v>0</v>
      </c>
      <c r="K282" s="17">
        <f t="shared" si="148"/>
        <v>0</v>
      </c>
      <c r="L282" s="17">
        <f t="shared" si="149"/>
        <v>0</v>
      </c>
      <c r="M282" s="17">
        <f t="shared" si="150"/>
        <v>0</v>
      </c>
      <c r="N282" s="17">
        <f t="shared" si="151"/>
        <v>0</v>
      </c>
      <c r="O282" s="17">
        <f t="shared" si="152"/>
        <v>0</v>
      </c>
      <c r="P282" s="17">
        <f t="shared" si="153"/>
        <v>0</v>
      </c>
      <c r="Q282" s="17">
        <f t="shared" si="154"/>
        <v>0</v>
      </c>
      <c r="R282" s="17">
        <f t="shared" si="155"/>
        <v>0</v>
      </c>
      <c r="S282" s="17">
        <f t="shared" si="156"/>
        <v>0</v>
      </c>
      <c r="T282" s="17">
        <f t="shared" si="157"/>
        <v>0</v>
      </c>
      <c r="U282" s="17">
        <f t="shared" si="158"/>
        <v>0</v>
      </c>
      <c r="V282" s="17">
        <f t="shared" si="159"/>
        <v>0</v>
      </c>
      <c r="W282" s="17">
        <f t="shared" si="160"/>
        <v>0</v>
      </c>
      <c r="X282" s="96" t="str">
        <f t="shared" si="161"/>
        <v>ok</v>
      </c>
    </row>
    <row r="283" spans="1:24" x14ac:dyDescent="0.2">
      <c r="A283" s="18">
        <v>928</v>
      </c>
      <c r="B283" s="16" t="s">
        <v>166</v>
      </c>
      <c r="C283" s="90" t="s">
        <v>548</v>
      </c>
      <c r="D283" s="90" t="s">
        <v>72</v>
      </c>
      <c r="F283" s="17">
        <v>0</v>
      </c>
      <c r="G283" s="17">
        <f t="shared" si="144"/>
        <v>0</v>
      </c>
      <c r="H283" s="17">
        <f t="shared" si="145"/>
        <v>0</v>
      </c>
      <c r="I283" s="17">
        <f t="shared" si="146"/>
        <v>0</v>
      </c>
      <c r="J283" s="17">
        <f t="shared" si="147"/>
        <v>0</v>
      </c>
      <c r="K283" s="17">
        <f t="shared" si="148"/>
        <v>0</v>
      </c>
      <c r="L283" s="17">
        <f t="shared" si="149"/>
        <v>0</v>
      </c>
      <c r="M283" s="17">
        <f t="shared" si="150"/>
        <v>0</v>
      </c>
      <c r="N283" s="17">
        <f t="shared" si="151"/>
        <v>0</v>
      </c>
      <c r="O283" s="17">
        <f t="shared" si="152"/>
        <v>0</v>
      </c>
      <c r="P283" s="17">
        <f t="shared" si="153"/>
        <v>0</v>
      </c>
      <c r="Q283" s="17">
        <f t="shared" si="154"/>
        <v>0</v>
      </c>
      <c r="R283" s="17">
        <f t="shared" si="155"/>
        <v>0</v>
      </c>
      <c r="S283" s="17">
        <f t="shared" si="156"/>
        <v>0</v>
      </c>
      <c r="T283" s="17">
        <f t="shared" si="157"/>
        <v>0</v>
      </c>
      <c r="U283" s="17">
        <f t="shared" si="158"/>
        <v>0</v>
      </c>
      <c r="V283" s="17">
        <f t="shared" si="159"/>
        <v>0</v>
      </c>
      <c r="W283" s="17">
        <f t="shared" si="160"/>
        <v>0</v>
      </c>
      <c r="X283" s="96" t="str">
        <f t="shared" si="161"/>
        <v>ok</v>
      </c>
    </row>
    <row r="284" spans="1:24" x14ac:dyDescent="0.2">
      <c r="A284" s="18">
        <v>929</v>
      </c>
      <c r="B284" s="16" t="s">
        <v>682</v>
      </c>
      <c r="C284" s="90" t="s">
        <v>549</v>
      </c>
      <c r="D284" s="90" t="s">
        <v>154</v>
      </c>
      <c r="F284" s="17">
        <v>0</v>
      </c>
      <c r="G284" s="17">
        <f t="shared" si="144"/>
        <v>0</v>
      </c>
      <c r="H284" s="17">
        <f t="shared" si="145"/>
        <v>0</v>
      </c>
      <c r="I284" s="17">
        <f t="shared" si="146"/>
        <v>0</v>
      </c>
      <c r="J284" s="17">
        <f t="shared" si="147"/>
        <v>0</v>
      </c>
      <c r="K284" s="17">
        <f t="shared" si="148"/>
        <v>0</v>
      </c>
      <c r="L284" s="17">
        <f t="shared" si="149"/>
        <v>0</v>
      </c>
      <c r="M284" s="17">
        <f t="shared" si="150"/>
        <v>0</v>
      </c>
      <c r="N284" s="17">
        <f t="shared" si="151"/>
        <v>0</v>
      </c>
      <c r="O284" s="17">
        <f t="shared" si="152"/>
        <v>0</v>
      </c>
      <c r="P284" s="17">
        <f t="shared" si="153"/>
        <v>0</v>
      </c>
      <c r="Q284" s="17">
        <f t="shared" si="154"/>
        <v>0</v>
      </c>
      <c r="R284" s="17">
        <f t="shared" si="155"/>
        <v>0</v>
      </c>
      <c r="S284" s="17">
        <f t="shared" si="156"/>
        <v>0</v>
      </c>
      <c r="T284" s="17">
        <f t="shared" si="157"/>
        <v>0</v>
      </c>
      <c r="U284" s="17">
        <f t="shared" si="158"/>
        <v>0</v>
      </c>
      <c r="V284" s="17">
        <f t="shared" si="159"/>
        <v>0</v>
      </c>
      <c r="W284" s="17">
        <f t="shared" si="160"/>
        <v>0</v>
      </c>
      <c r="X284" s="96" t="str">
        <f t="shared" si="161"/>
        <v>ok</v>
      </c>
    </row>
    <row r="285" spans="1:24" x14ac:dyDescent="0.2">
      <c r="A285" s="18">
        <v>930.1</v>
      </c>
      <c r="B285" s="16" t="s">
        <v>437</v>
      </c>
      <c r="C285" s="90" t="s">
        <v>550</v>
      </c>
      <c r="D285" s="90" t="s">
        <v>72</v>
      </c>
      <c r="F285" s="102">
        <v>0</v>
      </c>
      <c r="G285" s="17">
        <f t="shared" si="144"/>
        <v>0</v>
      </c>
      <c r="H285" s="17">
        <f t="shared" si="145"/>
        <v>0</v>
      </c>
      <c r="I285" s="17">
        <f t="shared" si="146"/>
        <v>0</v>
      </c>
      <c r="J285" s="17">
        <f t="shared" si="147"/>
        <v>0</v>
      </c>
      <c r="K285" s="17">
        <f t="shared" si="148"/>
        <v>0</v>
      </c>
      <c r="L285" s="17">
        <f t="shared" si="149"/>
        <v>0</v>
      </c>
      <c r="M285" s="17">
        <f t="shared" si="150"/>
        <v>0</v>
      </c>
      <c r="N285" s="17">
        <f t="shared" si="151"/>
        <v>0</v>
      </c>
      <c r="O285" s="17">
        <f t="shared" si="152"/>
        <v>0</v>
      </c>
      <c r="P285" s="17">
        <f t="shared" si="153"/>
        <v>0</v>
      </c>
      <c r="Q285" s="17">
        <f t="shared" si="154"/>
        <v>0</v>
      </c>
      <c r="R285" s="17">
        <f t="shared" si="155"/>
        <v>0</v>
      </c>
      <c r="S285" s="17">
        <f t="shared" si="156"/>
        <v>0</v>
      </c>
      <c r="T285" s="17">
        <f t="shared" si="157"/>
        <v>0</v>
      </c>
      <c r="U285" s="17">
        <f t="shared" si="158"/>
        <v>0</v>
      </c>
      <c r="V285" s="17">
        <f t="shared" si="159"/>
        <v>0</v>
      </c>
      <c r="W285" s="17">
        <f t="shared" si="160"/>
        <v>0</v>
      </c>
      <c r="X285" s="96" t="str">
        <f t="shared" si="161"/>
        <v>ok</v>
      </c>
    </row>
    <row r="286" spans="1:24" x14ac:dyDescent="0.2">
      <c r="A286" s="18">
        <v>930.2</v>
      </c>
      <c r="B286" s="16" t="s">
        <v>438</v>
      </c>
      <c r="C286" s="90" t="s">
        <v>551</v>
      </c>
      <c r="D286" s="90" t="s">
        <v>154</v>
      </c>
      <c r="F286" s="102">
        <v>0</v>
      </c>
      <c r="G286" s="17">
        <f t="shared" si="144"/>
        <v>0</v>
      </c>
      <c r="H286" s="17">
        <f t="shared" si="145"/>
        <v>0</v>
      </c>
      <c r="I286" s="17">
        <f t="shared" si="146"/>
        <v>0</v>
      </c>
      <c r="J286" s="17">
        <f t="shared" si="147"/>
        <v>0</v>
      </c>
      <c r="K286" s="17">
        <f t="shared" si="148"/>
        <v>0</v>
      </c>
      <c r="L286" s="17">
        <f t="shared" si="149"/>
        <v>0</v>
      </c>
      <c r="M286" s="17">
        <f t="shared" si="150"/>
        <v>0</v>
      </c>
      <c r="N286" s="17">
        <f t="shared" si="151"/>
        <v>0</v>
      </c>
      <c r="O286" s="17">
        <f t="shared" si="152"/>
        <v>0</v>
      </c>
      <c r="P286" s="17">
        <f t="shared" si="153"/>
        <v>0</v>
      </c>
      <c r="Q286" s="17">
        <f t="shared" si="154"/>
        <v>0</v>
      </c>
      <c r="R286" s="17">
        <f t="shared" si="155"/>
        <v>0</v>
      </c>
      <c r="S286" s="17">
        <f t="shared" si="156"/>
        <v>0</v>
      </c>
      <c r="T286" s="17">
        <f t="shared" si="157"/>
        <v>0</v>
      </c>
      <c r="U286" s="17">
        <f t="shared" si="158"/>
        <v>0</v>
      </c>
      <c r="V286" s="17">
        <f t="shared" si="159"/>
        <v>0</v>
      </c>
      <c r="W286" s="17">
        <f t="shared" si="160"/>
        <v>0</v>
      </c>
      <c r="X286" s="96" t="str">
        <f t="shared" si="161"/>
        <v>ok</v>
      </c>
    </row>
    <row r="287" spans="1:24" x14ac:dyDescent="0.2">
      <c r="A287" s="18">
        <v>931</v>
      </c>
      <c r="B287" s="16" t="s">
        <v>108</v>
      </c>
      <c r="C287" s="90" t="s">
        <v>552</v>
      </c>
      <c r="D287" s="90" t="s">
        <v>72</v>
      </c>
      <c r="F287" s="102">
        <v>0</v>
      </c>
      <c r="G287" s="17">
        <f t="shared" si="144"/>
        <v>0</v>
      </c>
      <c r="H287" s="17">
        <f t="shared" si="145"/>
        <v>0</v>
      </c>
      <c r="I287" s="17">
        <f t="shared" si="146"/>
        <v>0</v>
      </c>
      <c r="J287" s="17">
        <f t="shared" si="147"/>
        <v>0</v>
      </c>
      <c r="K287" s="17">
        <f t="shared" si="148"/>
        <v>0</v>
      </c>
      <c r="L287" s="17">
        <f t="shared" si="149"/>
        <v>0</v>
      </c>
      <c r="M287" s="17">
        <f t="shared" si="150"/>
        <v>0</v>
      </c>
      <c r="N287" s="17">
        <f t="shared" si="151"/>
        <v>0</v>
      </c>
      <c r="O287" s="17">
        <f t="shared" si="152"/>
        <v>0</v>
      </c>
      <c r="P287" s="17">
        <f t="shared" si="153"/>
        <v>0</v>
      </c>
      <c r="Q287" s="17">
        <f t="shared" si="154"/>
        <v>0</v>
      </c>
      <c r="R287" s="17">
        <f t="shared" si="155"/>
        <v>0</v>
      </c>
      <c r="S287" s="17">
        <f t="shared" si="156"/>
        <v>0</v>
      </c>
      <c r="T287" s="17">
        <f t="shared" si="157"/>
        <v>0</v>
      </c>
      <c r="U287" s="17">
        <f t="shared" si="158"/>
        <v>0</v>
      </c>
      <c r="V287" s="17">
        <f t="shared" si="159"/>
        <v>0</v>
      </c>
      <c r="W287" s="17">
        <f t="shared" si="160"/>
        <v>0</v>
      </c>
      <c r="X287" s="96" t="str">
        <f t="shared" si="161"/>
        <v>ok</v>
      </c>
    </row>
    <row r="288" spans="1:24" x14ac:dyDescent="0.2">
      <c r="A288" s="18">
        <v>935</v>
      </c>
      <c r="B288" s="16" t="s">
        <v>188</v>
      </c>
      <c r="C288" s="90" t="s">
        <v>553</v>
      </c>
      <c r="D288" s="90" t="s">
        <v>62</v>
      </c>
      <c r="F288" s="17">
        <v>233020.49</v>
      </c>
      <c r="G288" s="17">
        <f t="shared" si="144"/>
        <v>0</v>
      </c>
      <c r="H288" s="17">
        <f t="shared" si="145"/>
        <v>0</v>
      </c>
      <c r="I288" s="17">
        <f t="shared" si="146"/>
        <v>34484.13623114353</v>
      </c>
      <c r="J288" s="17">
        <f t="shared" si="147"/>
        <v>0</v>
      </c>
      <c r="K288" s="17">
        <f t="shared" si="148"/>
        <v>3129.6031884555118</v>
      </c>
      <c r="L288" s="17">
        <f t="shared" si="149"/>
        <v>7621.6479227241543</v>
      </c>
      <c r="M288" s="17">
        <f t="shared" si="150"/>
        <v>0</v>
      </c>
      <c r="N288" s="17">
        <f t="shared" si="151"/>
        <v>9619.4025815497334</v>
      </c>
      <c r="O288" s="17">
        <f t="shared" si="152"/>
        <v>25692.776236579684</v>
      </c>
      <c r="P288" s="17">
        <f t="shared" si="153"/>
        <v>50621.439344861486</v>
      </c>
      <c r="Q288" s="17">
        <f t="shared" si="154"/>
        <v>4391.3285969914868</v>
      </c>
      <c r="R288" s="17">
        <f t="shared" si="155"/>
        <v>3726.845688736862</v>
      </c>
      <c r="S288" s="17">
        <f t="shared" si="156"/>
        <v>75497.729840101005</v>
      </c>
      <c r="T288" s="17">
        <f t="shared" si="157"/>
        <v>18235.580368856536</v>
      </c>
      <c r="U288" s="17">
        <f t="shared" si="158"/>
        <v>0</v>
      </c>
      <c r="V288" s="17">
        <f t="shared" si="159"/>
        <v>0</v>
      </c>
      <c r="W288" s="17">
        <f t="shared" si="160"/>
        <v>233020.49</v>
      </c>
      <c r="X288" s="96" t="str">
        <f t="shared" si="161"/>
        <v>ok</v>
      </c>
    </row>
    <row r="289" spans="1:24" x14ac:dyDescent="0.2">
      <c r="A289" s="18"/>
      <c r="F289" s="17"/>
      <c r="G289" s="101"/>
    </row>
    <row r="290" spans="1:24" x14ac:dyDescent="0.2">
      <c r="A290" s="18" t="s">
        <v>468</v>
      </c>
      <c r="C290" s="90" t="s">
        <v>554</v>
      </c>
      <c r="F290" s="21">
        <f>SUM(F275:F288)</f>
        <v>6279118.4100000001</v>
      </c>
      <c r="G290" s="21">
        <f t="shared" ref="G290:V290" si="162">SUM(G275:G288)</f>
        <v>20714.259701956293</v>
      </c>
      <c r="H290" s="21">
        <f t="shared" si="162"/>
        <v>155727.47540840393</v>
      </c>
      <c r="I290" s="21">
        <f t="shared" si="162"/>
        <v>360829.35584940464</v>
      </c>
      <c r="J290" s="21">
        <f t="shared" si="162"/>
        <v>614829.33017414971</v>
      </c>
      <c r="K290" s="21">
        <f t="shared" si="162"/>
        <v>199854.52621205992</v>
      </c>
      <c r="L290" s="21">
        <f t="shared" si="162"/>
        <v>486713.72785215313</v>
      </c>
      <c r="M290" s="21">
        <f t="shared" si="162"/>
        <v>182566.98073165322</v>
      </c>
      <c r="N290" s="21">
        <f t="shared" si="162"/>
        <v>357572.14624841209</v>
      </c>
      <c r="O290" s="21">
        <f t="shared" si="162"/>
        <v>505965.63140524278</v>
      </c>
      <c r="P290" s="21">
        <f t="shared" si="162"/>
        <v>996883.64873155858</v>
      </c>
      <c r="Q290" s="21">
        <f>SUM(Q275:Q288)</f>
        <v>86478.05615966703</v>
      </c>
      <c r="R290" s="21">
        <f>SUM(R275:R288)</f>
        <v>73392.451430257686</v>
      </c>
      <c r="S290" s="21">
        <f t="shared" si="162"/>
        <v>656684.9435067391</v>
      </c>
      <c r="T290" s="21">
        <f t="shared" si="162"/>
        <v>491664.1662721762</v>
      </c>
      <c r="U290" s="21">
        <f t="shared" si="162"/>
        <v>1024442.5940102075</v>
      </c>
      <c r="V290" s="21">
        <f t="shared" si="162"/>
        <v>64799.116305957919</v>
      </c>
      <c r="W290" s="17">
        <f>SUM(G290:V290)</f>
        <v>6279118.4100000001</v>
      </c>
      <c r="X290" s="96" t="str">
        <f>IF(ABS(W290-F290)&lt;1,"ok","err")</f>
        <v>ok</v>
      </c>
    </row>
    <row r="291" spans="1:24" x14ac:dyDescent="0.2">
      <c r="A291" s="18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</row>
    <row r="292" spans="1:24" x14ac:dyDescent="0.2">
      <c r="A292" s="18" t="s">
        <v>460</v>
      </c>
      <c r="C292" s="90" t="s">
        <v>341</v>
      </c>
      <c r="F292" s="21">
        <f t="shared" ref="F292:V292" si="163">F144+F179+F246+F256+F259+F262+F290</f>
        <v>29129984.400000002</v>
      </c>
      <c r="G292" s="21">
        <f t="shared" si="163"/>
        <v>99002.567101956301</v>
      </c>
      <c r="H292" s="21">
        <f t="shared" si="163"/>
        <v>744290.16800840397</v>
      </c>
      <c r="I292" s="21">
        <f t="shared" si="163"/>
        <v>1594231.6226744186</v>
      </c>
      <c r="J292" s="21">
        <f t="shared" si="163"/>
        <v>2938540.0633491362</v>
      </c>
      <c r="K292" s="21">
        <f t="shared" si="163"/>
        <v>943364.62353205995</v>
      </c>
      <c r="L292" s="21">
        <f t="shared" si="163"/>
        <v>2297413.630532153</v>
      </c>
      <c r="M292" s="21">
        <f t="shared" si="163"/>
        <v>872567.98073165328</v>
      </c>
      <c r="N292" s="21">
        <f t="shared" si="163"/>
        <v>1672638.7597220314</v>
      </c>
      <c r="O292" s="21">
        <f t="shared" si="163"/>
        <v>2321128.203581017</v>
      </c>
      <c r="P292" s="21">
        <f t="shared" si="163"/>
        <v>4573225.1543115303</v>
      </c>
      <c r="Q292" s="21">
        <f>Q144+Q179+Q246+Q256+Q259+Q262+Q290</f>
        <v>396719.94041488232</v>
      </c>
      <c r="R292" s="21">
        <f>R144+R179+R246+R256+R259+R262+R290</f>
        <v>336689.447604555</v>
      </c>
      <c r="S292" s="21">
        <f t="shared" si="163"/>
        <v>2853247.3065916304</v>
      </c>
      <c r="T292" s="21">
        <f t="shared" si="163"/>
        <v>2280959.231528407</v>
      </c>
      <c r="U292" s="21">
        <f t="shared" si="163"/>
        <v>4896262.1940102074</v>
      </c>
      <c r="V292" s="21">
        <f t="shared" si="163"/>
        <v>309703.50630595785</v>
      </c>
      <c r="W292" s="17">
        <f>SUM(G292:V292)</f>
        <v>29129984.399999995</v>
      </c>
      <c r="X292" s="96" t="str">
        <f>IF(ABS(W292-F292)&lt;1,"ok","err")</f>
        <v>ok</v>
      </c>
    </row>
    <row r="293" spans="1:24" x14ac:dyDescent="0.2">
      <c r="A293" s="18"/>
      <c r="F293" s="22"/>
      <c r="G293" s="101"/>
    </row>
    <row r="294" spans="1:24" x14ac:dyDescent="0.2">
      <c r="A294" s="18"/>
      <c r="F294" s="22"/>
      <c r="G294" s="101"/>
    </row>
    <row r="295" spans="1:24" x14ac:dyDescent="0.2">
      <c r="A295" s="18"/>
      <c r="F295" s="22"/>
      <c r="G295" s="101"/>
    </row>
    <row r="296" spans="1:24" x14ac:dyDescent="0.2">
      <c r="A296" s="18"/>
      <c r="F296" s="22"/>
      <c r="G296" s="101"/>
    </row>
    <row r="297" spans="1:24" x14ac:dyDescent="0.2">
      <c r="A297" s="18"/>
      <c r="F297" s="22"/>
      <c r="G297" s="101"/>
    </row>
    <row r="298" spans="1:24" x14ac:dyDescent="0.2">
      <c r="A298" s="18"/>
      <c r="F298" s="22"/>
      <c r="G298" s="101"/>
    </row>
    <row r="299" spans="1:24" x14ac:dyDescent="0.2">
      <c r="A299" s="18"/>
      <c r="F299" s="22"/>
      <c r="G299" s="101"/>
    </row>
    <row r="300" spans="1:24" x14ac:dyDescent="0.2">
      <c r="A300" s="18"/>
      <c r="F300" s="22"/>
      <c r="G300" s="101"/>
    </row>
    <row r="301" spans="1:24" x14ac:dyDescent="0.2">
      <c r="A301" s="18"/>
      <c r="F301" s="22"/>
      <c r="G301" s="101"/>
    </row>
    <row r="302" spans="1:24" x14ac:dyDescent="0.2">
      <c r="A302" s="18"/>
      <c r="F302" s="22"/>
      <c r="G302" s="101"/>
    </row>
    <row r="303" spans="1:24" x14ac:dyDescent="0.2">
      <c r="A303" s="18"/>
      <c r="F303" s="22"/>
      <c r="G303" s="101"/>
    </row>
    <row r="304" spans="1:24" x14ac:dyDescent="0.2">
      <c r="A304" s="18"/>
      <c r="F304" s="22"/>
      <c r="G304" s="101"/>
    </row>
    <row r="305" spans="1:24" x14ac:dyDescent="0.2">
      <c r="A305" s="18"/>
      <c r="F305" s="22"/>
      <c r="G305" s="101"/>
    </row>
    <row r="306" spans="1:24" x14ac:dyDescent="0.2">
      <c r="A306" s="18"/>
      <c r="F306" s="22"/>
      <c r="G306" s="101"/>
    </row>
    <row r="307" spans="1:24" x14ac:dyDescent="0.2">
      <c r="A307" s="18"/>
      <c r="F307" s="22"/>
      <c r="G307" s="101"/>
    </row>
    <row r="308" spans="1:24" x14ac:dyDescent="0.2">
      <c r="A308" s="18"/>
      <c r="F308" s="22"/>
      <c r="G308" s="101"/>
    </row>
    <row r="309" spans="1:24" x14ac:dyDescent="0.2">
      <c r="A309" s="18"/>
      <c r="F309" s="22"/>
      <c r="G309" s="101"/>
    </row>
    <row r="310" spans="1:24" x14ac:dyDescent="0.2">
      <c r="A310" s="18"/>
      <c r="F310" s="22"/>
      <c r="G310" s="101"/>
    </row>
    <row r="311" spans="1:24" x14ac:dyDescent="0.2">
      <c r="A311" s="18"/>
      <c r="F311" s="22"/>
      <c r="G311" s="101"/>
    </row>
    <row r="312" spans="1:24" x14ac:dyDescent="0.2">
      <c r="A312" s="180"/>
      <c r="F312" s="21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96"/>
    </row>
    <row r="313" spans="1:24" x14ac:dyDescent="0.2">
      <c r="A313" s="18"/>
      <c r="F313" s="22"/>
      <c r="G313" s="101"/>
    </row>
    <row r="314" spans="1:24" x14ac:dyDescent="0.2">
      <c r="A314" s="158" t="s">
        <v>461</v>
      </c>
      <c r="F314" s="22"/>
    </row>
    <row r="315" spans="1:24" x14ac:dyDescent="0.2">
      <c r="C315" s="16"/>
      <c r="D315" s="16"/>
      <c r="E315" s="16"/>
    </row>
    <row r="316" spans="1:24" x14ac:dyDescent="0.2">
      <c r="A316" s="18" t="s">
        <v>814</v>
      </c>
      <c r="B316" s="16" t="s">
        <v>452</v>
      </c>
      <c r="C316" s="90" t="s">
        <v>555</v>
      </c>
      <c r="D316" s="90" t="s">
        <v>635</v>
      </c>
      <c r="F316" s="22">
        <v>331077.00000000326</v>
      </c>
      <c r="G316" s="17">
        <f>(VLOOKUP($D316,$C$6:$AJ$991,5,)/VLOOKUP($D316,$C$6:$AJ$991,4,))*$F316</f>
        <v>38868.439800000386</v>
      </c>
      <c r="H316" s="17">
        <f>(VLOOKUP($D316,$C$6:$AJ$991,6,)/VLOOKUP($D316,$C$6:$AJ$991,4,))*$F316</f>
        <v>292208.56020000292</v>
      </c>
      <c r="I316" s="17">
        <f>(VLOOKUP($D316,$C$6:$AJ$991,7,)/VLOOKUP($D316,$C$6:$AJ$991,4,))*$F316</f>
        <v>0</v>
      </c>
      <c r="J316" s="17">
        <f>(VLOOKUP($D316,$C$6:$AJ$991,8,)/VLOOKUP($D316,$C$6:$AJ$991,4,))*$F316</f>
        <v>0</v>
      </c>
      <c r="K316" s="17">
        <f>(VLOOKUP($D316,$C$6:$AJ$991,9,)/VLOOKUP($D316,$C$6:$AJ$991,4,))*$F316</f>
        <v>0</v>
      </c>
      <c r="L316" s="17">
        <f>(VLOOKUP($D316,$C$6:$AJ$991,10,)/VLOOKUP($D316,$C$6:$AJ$991,4,))*$F316</f>
        <v>0</v>
      </c>
      <c r="M316" s="17">
        <f>(VLOOKUP($D316,$C$6:$AJ$991,11,)/VLOOKUP($D316,$C$6:$AJ$991,4,))*$F316</f>
        <v>0</v>
      </c>
      <c r="N316" s="17">
        <f>(VLOOKUP($D316,$C$6:$AJ$991,12,)/VLOOKUP($D316,$C$6:$AJ$991,4,))*$F316</f>
        <v>0</v>
      </c>
      <c r="O316" s="17">
        <f>(VLOOKUP($D316,$C$6:$AJ$991,13,)/VLOOKUP($D316,$C$6:$AJ$991,4,))*$F316</f>
        <v>0</v>
      </c>
      <c r="P316" s="17">
        <f>(VLOOKUP($D316,$C$6:$AJ$991,14,)/VLOOKUP($D316,$C$6:$AJ$991,4,))*$F316</f>
        <v>0</v>
      </c>
      <c r="Q316" s="17">
        <f>(VLOOKUP($D316,$C$6:$AJ$991,15,)/VLOOKUP($D316,$C$6:$AJ$991,4,))*$F316</f>
        <v>0</v>
      </c>
      <c r="R316" s="17">
        <f>(VLOOKUP($D316,$C$6:$AJ$991,16,)/VLOOKUP($D316,$C$6:$AJ$991,4,))*$F316</f>
        <v>0</v>
      </c>
      <c r="S316" s="17">
        <f>(VLOOKUP($D316,$C$6:$AJ$991,17,)/VLOOKUP($D316,$C$6:$AJ$991,4,))*$F316</f>
        <v>0</v>
      </c>
      <c r="T316" s="17">
        <f>(VLOOKUP($D316,$C$6:$AJ$991,18,)/VLOOKUP($D316,$C$6:$AJ$991,4,))*$F316</f>
        <v>0</v>
      </c>
      <c r="U316" s="17">
        <f>(VLOOKUP($D316,$C$6:$AJ$991,19,)/VLOOKUP($D316,$C$6:$AJ$991,4,))*$F316</f>
        <v>0</v>
      </c>
      <c r="V316" s="17">
        <f>(VLOOKUP($D316,$C$6:$AJ$991,20,)/VLOOKUP($D316,$C$6:$AJ$991,4,))*$F316</f>
        <v>0</v>
      </c>
      <c r="W316" s="17">
        <f>SUM(G316:V316)</f>
        <v>331077.00000000332</v>
      </c>
      <c r="X316" s="96" t="str">
        <f>IF(ABS(W316-F316)&lt;1,"ok","err")</f>
        <v>ok</v>
      </c>
    </row>
    <row r="317" spans="1:24" x14ac:dyDescent="0.2">
      <c r="F317" s="22"/>
    </row>
    <row r="318" spans="1:24" x14ac:dyDescent="0.2">
      <c r="A318" s="93" t="s">
        <v>454</v>
      </c>
      <c r="F318" s="22"/>
    </row>
    <row r="319" spans="1:24" x14ac:dyDescent="0.2">
      <c r="A319" s="93" t="s">
        <v>430</v>
      </c>
      <c r="C319" s="16"/>
      <c r="D319" s="16"/>
      <c r="E319" s="16"/>
      <c r="G319" s="16"/>
      <c r="H319" s="16"/>
      <c r="I319" s="16"/>
      <c r="J319" s="16"/>
      <c r="K319" s="16"/>
      <c r="L319" s="16"/>
      <c r="M319" s="16"/>
      <c r="N319" s="16"/>
    </row>
    <row r="320" spans="1:24" x14ac:dyDescent="0.2">
      <c r="A320" s="18">
        <v>814</v>
      </c>
      <c r="B320" s="16" t="s">
        <v>397</v>
      </c>
      <c r="C320" s="90" t="s">
        <v>94</v>
      </c>
      <c r="D320" s="90" t="s">
        <v>630</v>
      </c>
      <c r="F320" s="17">
        <v>1103959</v>
      </c>
      <c r="G320" s="17">
        <f t="shared" ref="G320:G331" si="164">(VLOOKUP($D320,$C$6:$AJ$991,5,)/VLOOKUP($D320,$C$6:$AJ$991,4,))*$F320</f>
        <v>0</v>
      </c>
      <c r="H320" s="17">
        <f t="shared" ref="H320:H331" si="165">(VLOOKUP($D320,$C$6:$AJ$991,6,)/VLOOKUP($D320,$C$6:$AJ$991,4,))*$F320</f>
        <v>0</v>
      </c>
      <c r="I320" s="17">
        <f t="shared" ref="I320:I331" si="166">(VLOOKUP($D320,$C$6:$AJ$991,7,)/VLOOKUP($D320,$C$6:$AJ$991,4,))*$F320</f>
        <v>259199.68344502844</v>
      </c>
      <c r="J320" s="17">
        <f t="shared" ref="J320:J331" si="167">(VLOOKUP($D320,$C$6:$AJ$991,8,)/VLOOKUP($D320,$C$6:$AJ$991,4,))*$F320</f>
        <v>844759.3165549715</v>
      </c>
      <c r="K320" s="17">
        <f t="shared" ref="K320:K331" si="168">(VLOOKUP($D320,$C$6:$AJ$991,9,)/VLOOKUP($D320,$C$6:$AJ$991,4,))*$F320</f>
        <v>0</v>
      </c>
      <c r="L320" s="17">
        <f t="shared" ref="L320:L331" si="169">(VLOOKUP($D320,$C$6:$AJ$991,10,)/VLOOKUP($D320,$C$6:$AJ$991,4,))*$F320</f>
        <v>0</v>
      </c>
      <c r="M320" s="17">
        <f t="shared" ref="M320:M331" si="170">(VLOOKUP($D320,$C$6:$AJ$991,11,)/VLOOKUP($D320,$C$6:$AJ$991,4,))*$F320</f>
        <v>0</v>
      </c>
      <c r="N320" s="17">
        <f t="shared" ref="N320:N331" si="171">(VLOOKUP($D320,$C$6:$AJ$991,12,)/VLOOKUP($D320,$C$6:$AJ$991,4,))*$F320</f>
        <v>0</v>
      </c>
      <c r="O320" s="17">
        <f t="shared" ref="O320:O331" si="172">(VLOOKUP($D320,$C$6:$AJ$991,13,)/VLOOKUP($D320,$C$6:$AJ$991,4,))*$F320</f>
        <v>0</v>
      </c>
      <c r="P320" s="17">
        <f t="shared" ref="P320:P331" si="173">(VLOOKUP($D320,$C$6:$AJ$991,14,)/VLOOKUP($D320,$C$6:$AJ$991,4,))*$F320</f>
        <v>0</v>
      </c>
      <c r="Q320" s="17">
        <f t="shared" ref="Q320:Q331" si="174">(VLOOKUP($D320,$C$6:$AJ$991,15,)/VLOOKUP($D320,$C$6:$AJ$991,4,))*$F320</f>
        <v>0</v>
      </c>
      <c r="R320" s="17">
        <f t="shared" ref="R320:R331" si="175">(VLOOKUP($D320,$C$6:$AJ$991,16,)/VLOOKUP($D320,$C$6:$AJ$991,4,))*$F320</f>
        <v>0</v>
      </c>
      <c r="S320" s="17">
        <f t="shared" ref="S320:S331" si="176">(VLOOKUP($D320,$C$6:$AJ$991,17,)/VLOOKUP($D320,$C$6:$AJ$991,4,))*$F320</f>
        <v>0</v>
      </c>
      <c r="T320" s="17">
        <f t="shared" ref="T320:T331" si="177">(VLOOKUP($D320,$C$6:$AJ$991,18,)/VLOOKUP($D320,$C$6:$AJ$991,4,))*$F320</f>
        <v>0</v>
      </c>
      <c r="U320" s="17">
        <f t="shared" ref="U320:U331" si="178">(VLOOKUP($D320,$C$6:$AJ$991,19,)/VLOOKUP($D320,$C$6:$AJ$991,4,))*$F320</f>
        <v>0</v>
      </c>
      <c r="V320" s="17">
        <f t="shared" ref="V320:V331" si="179">(VLOOKUP($D320,$C$6:$AJ$991,20,)/VLOOKUP($D320,$C$6:$AJ$991,4,))*$F320</f>
        <v>0</v>
      </c>
      <c r="W320" s="17">
        <f t="shared" ref="W320:W331" si="180">SUM(G320:V320)</f>
        <v>1103959</v>
      </c>
      <c r="X320" s="96" t="str">
        <f t="shared" ref="X320:X331" si="181">IF(ABS(W320-F320)&lt;1,"ok","err")</f>
        <v>ok</v>
      </c>
    </row>
    <row r="321" spans="1:24" x14ac:dyDescent="0.2">
      <c r="A321" s="18">
        <v>815</v>
      </c>
      <c r="B321" s="16" t="s">
        <v>398</v>
      </c>
      <c r="C321" s="90" t="s">
        <v>95</v>
      </c>
      <c r="D321" s="90" t="s">
        <v>25</v>
      </c>
      <c r="F321" s="17">
        <v>0</v>
      </c>
      <c r="G321" s="17">
        <f t="shared" si="164"/>
        <v>0</v>
      </c>
      <c r="H321" s="17">
        <f t="shared" si="165"/>
        <v>0</v>
      </c>
      <c r="I321" s="17">
        <f t="shared" si="166"/>
        <v>0</v>
      </c>
      <c r="J321" s="17">
        <f t="shared" si="167"/>
        <v>0</v>
      </c>
      <c r="K321" s="17">
        <f t="shared" si="168"/>
        <v>0</v>
      </c>
      <c r="L321" s="17">
        <f t="shared" si="169"/>
        <v>0</v>
      </c>
      <c r="M321" s="17">
        <f t="shared" si="170"/>
        <v>0</v>
      </c>
      <c r="N321" s="17">
        <f t="shared" si="171"/>
        <v>0</v>
      </c>
      <c r="O321" s="17">
        <f t="shared" si="172"/>
        <v>0</v>
      </c>
      <c r="P321" s="17">
        <f t="shared" si="173"/>
        <v>0</v>
      </c>
      <c r="Q321" s="17">
        <f t="shared" si="174"/>
        <v>0</v>
      </c>
      <c r="R321" s="17">
        <f t="shared" si="175"/>
        <v>0</v>
      </c>
      <c r="S321" s="17">
        <f t="shared" si="176"/>
        <v>0</v>
      </c>
      <c r="T321" s="17">
        <f t="shared" si="177"/>
        <v>0</v>
      </c>
      <c r="U321" s="17">
        <f t="shared" si="178"/>
        <v>0</v>
      </c>
      <c r="V321" s="17">
        <f t="shared" si="179"/>
        <v>0</v>
      </c>
      <c r="W321" s="17">
        <f t="shared" si="180"/>
        <v>0</v>
      </c>
      <c r="X321" s="96" t="str">
        <f t="shared" si="181"/>
        <v>ok</v>
      </c>
    </row>
    <row r="322" spans="1:24" x14ac:dyDescent="0.2">
      <c r="A322" s="18">
        <v>816</v>
      </c>
      <c r="B322" s="16" t="s">
        <v>399</v>
      </c>
      <c r="C322" s="90" t="s">
        <v>96</v>
      </c>
      <c r="D322" s="90" t="s">
        <v>25</v>
      </c>
      <c r="F322" s="17">
        <v>102154.99999999999</v>
      </c>
      <c r="G322" s="17">
        <f t="shared" si="164"/>
        <v>0</v>
      </c>
      <c r="H322" s="17">
        <f t="shared" si="165"/>
        <v>0</v>
      </c>
      <c r="I322" s="17">
        <f t="shared" si="166"/>
        <v>102154.99999999999</v>
      </c>
      <c r="J322" s="17">
        <f t="shared" si="167"/>
        <v>0</v>
      </c>
      <c r="K322" s="17">
        <f t="shared" si="168"/>
        <v>0</v>
      </c>
      <c r="L322" s="17">
        <f t="shared" si="169"/>
        <v>0</v>
      </c>
      <c r="M322" s="17">
        <f t="shared" si="170"/>
        <v>0</v>
      </c>
      <c r="N322" s="17">
        <f t="shared" si="171"/>
        <v>0</v>
      </c>
      <c r="O322" s="17">
        <f t="shared" si="172"/>
        <v>0</v>
      </c>
      <c r="P322" s="17">
        <f t="shared" si="173"/>
        <v>0</v>
      </c>
      <c r="Q322" s="17">
        <f t="shared" si="174"/>
        <v>0</v>
      </c>
      <c r="R322" s="17">
        <f t="shared" si="175"/>
        <v>0</v>
      </c>
      <c r="S322" s="17">
        <f t="shared" si="176"/>
        <v>0</v>
      </c>
      <c r="T322" s="17">
        <f t="shared" si="177"/>
        <v>0</v>
      </c>
      <c r="U322" s="17">
        <f t="shared" si="178"/>
        <v>0</v>
      </c>
      <c r="V322" s="17">
        <f t="shared" si="179"/>
        <v>0</v>
      </c>
      <c r="W322" s="17">
        <f t="shared" si="180"/>
        <v>102154.99999999999</v>
      </c>
      <c r="X322" s="96" t="str">
        <f t="shared" si="181"/>
        <v>ok</v>
      </c>
    </row>
    <row r="323" spans="1:24" x14ac:dyDescent="0.2">
      <c r="A323" s="18">
        <v>817</v>
      </c>
      <c r="B323" s="16" t="s">
        <v>97</v>
      </c>
      <c r="C323" s="90" t="s">
        <v>98</v>
      </c>
      <c r="D323" s="90" t="s">
        <v>25</v>
      </c>
      <c r="F323" s="17">
        <v>563449.99999999988</v>
      </c>
      <c r="G323" s="17">
        <f t="shared" si="164"/>
        <v>0</v>
      </c>
      <c r="H323" s="17">
        <f t="shared" si="165"/>
        <v>0</v>
      </c>
      <c r="I323" s="17">
        <f t="shared" si="166"/>
        <v>563449.99999999988</v>
      </c>
      <c r="J323" s="17">
        <f t="shared" si="167"/>
        <v>0</v>
      </c>
      <c r="K323" s="17">
        <f t="shared" si="168"/>
        <v>0</v>
      </c>
      <c r="L323" s="17">
        <f t="shared" si="169"/>
        <v>0</v>
      </c>
      <c r="M323" s="17">
        <f t="shared" si="170"/>
        <v>0</v>
      </c>
      <c r="N323" s="17">
        <f t="shared" si="171"/>
        <v>0</v>
      </c>
      <c r="O323" s="17">
        <f t="shared" si="172"/>
        <v>0</v>
      </c>
      <c r="P323" s="17">
        <f t="shared" si="173"/>
        <v>0</v>
      </c>
      <c r="Q323" s="17">
        <f t="shared" si="174"/>
        <v>0</v>
      </c>
      <c r="R323" s="17">
        <f t="shared" si="175"/>
        <v>0</v>
      </c>
      <c r="S323" s="17">
        <f t="shared" si="176"/>
        <v>0</v>
      </c>
      <c r="T323" s="17">
        <f t="shared" si="177"/>
        <v>0</v>
      </c>
      <c r="U323" s="17">
        <f t="shared" si="178"/>
        <v>0</v>
      </c>
      <c r="V323" s="17">
        <f t="shared" si="179"/>
        <v>0</v>
      </c>
      <c r="W323" s="17">
        <f t="shared" si="180"/>
        <v>563449.99999999988</v>
      </c>
      <c r="X323" s="96" t="str">
        <f t="shared" si="181"/>
        <v>ok</v>
      </c>
    </row>
    <row r="324" spans="1:24" x14ac:dyDescent="0.2">
      <c r="A324" s="18">
        <v>818</v>
      </c>
      <c r="B324" s="16" t="s">
        <v>657</v>
      </c>
      <c r="C324" s="90" t="s">
        <v>99</v>
      </c>
      <c r="D324" s="90" t="s">
        <v>124</v>
      </c>
      <c r="F324" s="17">
        <v>2155843</v>
      </c>
      <c r="G324" s="17">
        <f t="shared" si="164"/>
        <v>0</v>
      </c>
      <c r="H324" s="17">
        <f t="shared" si="165"/>
        <v>0</v>
      </c>
      <c r="I324" s="17">
        <f t="shared" si="166"/>
        <v>0</v>
      </c>
      <c r="J324" s="17">
        <f t="shared" si="167"/>
        <v>2155843</v>
      </c>
      <c r="K324" s="17">
        <f t="shared" si="168"/>
        <v>0</v>
      </c>
      <c r="L324" s="17">
        <f t="shared" si="169"/>
        <v>0</v>
      </c>
      <c r="M324" s="17">
        <f t="shared" si="170"/>
        <v>0</v>
      </c>
      <c r="N324" s="17">
        <f t="shared" si="171"/>
        <v>0</v>
      </c>
      <c r="O324" s="17">
        <f t="shared" si="172"/>
        <v>0</v>
      </c>
      <c r="P324" s="17">
        <f t="shared" si="173"/>
        <v>0</v>
      </c>
      <c r="Q324" s="17">
        <f t="shared" si="174"/>
        <v>0</v>
      </c>
      <c r="R324" s="17">
        <f t="shared" si="175"/>
        <v>0</v>
      </c>
      <c r="S324" s="17">
        <f t="shared" si="176"/>
        <v>0</v>
      </c>
      <c r="T324" s="17">
        <f t="shared" si="177"/>
        <v>0</v>
      </c>
      <c r="U324" s="17">
        <f t="shared" si="178"/>
        <v>0</v>
      </c>
      <c r="V324" s="17">
        <f t="shared" si="179"/>
        <v>0</v>
      </c>
      <c r="W324" s="17">
        <f t="shared" si="180"/>
        <v>2155843</v>
      </c>
      <c r="X324" s="96" t="str">
        <f t="shared" si="181"/>
        <v>ok</v>
      </c>
    </row>
    <row r="325" spans="1:24" x14ac:dyDescent="0.2">
      <c r="A325" s="18">
        <v>819</v>
      </c>
      <c r="B325" s="16" t="s">
        <v>400</v>
      </c>
      <c r="C325" s="90" t="s">
        <v>101</v>
      </c>
      <c r="D325" s="90" t="s">
        <v>124</v>
      </c>
      <c r="F325" s="17">
        <v>582000</v>
      </c>
      <c r="G325" s="17">
        <f t="shared" si="164"/>
        <v>0</v>
      </c>
      <c r="H325" s="17">
        <f t="shared" si="165"/>
        <v>0</v>
      </c>
      <c r="I325" s="17">
        <f t="shared" si="166"/>
        <v>0</v>
      </c>
      <c r="J325" s="17">
        <f t="shared" si="167"/>
        <v>582000</v>
      </c>
      <c r="K325" s="17">
        <f t="shared" si="168"/>
        <v>0</v>
      </c>
      <c r="L325" s="17">
        <f t="shared" si="169"/>
        <v>0</v>
      </c>
      <c r="M325" s="17">
        <f t="shared" si="170"/>
        <v>0</v>
      </c>
      <c r="N325" s="17">
        <f t="shared" si="171"/>
        <v>0</v>
      </c>
      <c r="O325" s="17">
        <f t="shared" si="172"/>
        <v>0</v>
      </c>
      <c r="P325" s="17">
        <f t="shared" si="173"/>
        <v>0</v>
      </c>
      <c r="Q325" s="17">
        <f t="shared" si="174"/>
        <v>0</v>
      </c>
      <c r="R325" s="17">
        <f t="shared" si="175"/>
        <v>0</v>
      </c>
      <c r="S325" s="17">
        <f t="shared" si="176"/>
        <v>0</v>
      </c>
      <c r="T325" s="17">
        <f t="shared" si="177"/>
        <v>0</v>
      </c>
      <c r="U325" s="17">
        <f t="shared" si="178"/>
        <v>0</v>
      </c>
      <c r="V325" s="17">
        <f t="shared" si="179"/>
        <v>0</v>
      </c>
      <c r="W325" s="17">
        <f t="shared" si="180"/>
        <v>582000</v>
      </c>
      <c r="X325" s="96" t="str">
        <f t="shared" si="181"/>
        <v>ok</v>
      </c>
    </row>
    <row r="326" spans="1:24" x14ac:dyDescent="0.2">
      <c r="A326" s="18">
        <v>820</v>
      </c>
      <c r="B326" s="16" t="s">
        <v>401</v>
      </c>
      <c r="C326" s="90" t="s">
        <v>102</v>
      </c>
      <c r="D326" s="90" t="s">
        <v>25</v>
      </c>
      <c r="F326" s="102">
        <v>0</v>
      </c>
      <c r="G326" s="17">
        <f t="shared" si="164"/>
        <v>0</v>
      </c>
      <c r="H326" s="17">
        <f t="shared" si="165"/>
        <v>0</v>
      </c>
      <c r="I326" s="17">
        <f t="shared" si="166"/>
        <v>0</v>
      </c>
      <c r="J326" s="17">
        <f t="shared" si="167"/>
        <v>0</v>
      </c>
      <c r="K326" s="17">
        <f t="shared" si="168"/>
        <v>0</v>
      </c>
      <c r="L326" s="17">
        <f t="shared" si="169"/>
        <v>0</v>
      </c>
      <c r="M326" s="17">
        <f t="shared" si="170"/>
        <v>0</v>
      </c>
      <c r="N326" s="17">
        <f t="shared" si="171"/>
        <v>0</v>
      </c>
      <c r="O326" s="17">
        <f t="shared" si="172"/>
        <v>0</v>
      </c>
      <c r="P326" s="17">
        <f t="shared" si="173"/>
        <v>0</v>
      </c>
      <c r="Q326" s="17">
        <f t="shared" si="174"/>
        <v>0</v>
      </c>
      <c r="R326" s="17">
        <f t="shared" si="175"/>
        <v>0</v>
      </c>
      <c r="S326" s="17">
        <f t="shared" si="176"/>
        <v>0</v>
      </c>
      <c r="T326" s="17">
        <f t="shared" si="177"/>
        <v>0</v>
      </c>
      <c r="U326" s="17">
        <f t="shared" si="178"/>
        <v>0</v>
      </c>
      <c r="V326" s="17">
        <f t="shared" si="179"/>
        <v>0</v>
      </c>
      <c r="W326" s="17">
        <f t="shared" si="180"/>
        <v>0</v>
      </c>
      <c r="X326" s="96" t="str">
        <f t="shared" si="181"/>
        <v>ok</v>
      </c>
    </row>
    <row r="327" spans="1:24" x14ac:dyDescent="0.2">
      <c r="A327" s="18">
        <v>821</v>
      </c>
      <c r="B327" s="16" t="s">
        <v>714</v>
      </c>
      <c r="C327" s="90" t="s">
        <v>103</v>
      </c>
      <c r="D327" s="90" t="s">
        <v>124</v>
      </c>
      <c r="F327" s="17">
        <v>1836317</v>
      </c>
      <c r="G327" s="17">
        <f t="shared" si="164"/>
        <v>0</v>
      </c>
      <c r="H327" s="17">
        <f t="shared" si="165"/>
        <v>0</v>
      </c>
      <c r="I327" s="17">
        <f t="shared" si="166"/>
        <v>0</v>
      </c>
      <c r="J327" s="17">
        <f t="shared" si="167"/>
        <v>1836317</v>
      </c>
      <c r="K327" s="17">
        <f t="shared" si="168"/>
        <v>0</v>
      </c>
      <c r="L327" s="17">
        <f t="shared" si="169"/>
        <v>0</v>
      </c>
      <c r="M327" s="17">
        <f t="shared" si="170"/>
        <v>0</v>
      </c>
      <c r="N327" s="17">
        <f t="shared" si="171"/>
        <v>0</v>
      </c>
      <c r="O327" s="17">
        <f t="shared" si="172"/>
        <v>0</v>
      </c>
      <c r="P327" s="17">
        <f t="shared" si="173"/>
        <v>0</v>
      </c>
      <c r="Q327" s="17">
        <f t="shared" si="174"/>
        <v>0</v>
      </c>
      <c r="R327" s="17">
        <f t="shared" si="175"/>
        <v>0</v>
      </c>
      <c r="S327" s="17">
        <f t="shared" si="176"/>
        <v>0</v>
      </c>
      <c r="T327" s="17">
        <f t="shared" si="177"/>
        <v>0</v>
      </c>
      <c r="U327" s="17">
        <f t="shared" si="178"/>
        <v>0</v>
      </c>
      <c r="V327" s="17">
        <f t="shared" si="179"/>
        <v>0</v>
      </c>
      <c r="W327" s="17">
        <f t="shared" si="180"/>
        <v>1836317</v>
      </c>
      <c r="X327" s="96" t="str">
        <f t="shared" si="181"/>
        <v>ok</v>
      </c>
    </row>
    <row r="328" spans="1:24" x14ac:dyDescent="0.2">
      <c r="A328" s="18">
        <v>823</v>
      </c>
      <c r="B328" s="16" t="s">
        <v>715</v>
      </c>
      <c r="C328" s="90" t="s">
        <v>104</v>
      </c>
      <c r="D328" s="90" t="s">
        <v>124</v>
      </c>
      <c r="F328" s="17">
        <v>0</v>
      </c>
      <c r="G328" s="17">
        <f t="shared" si="164"/>
        <v>0</v>
      </c>
      <c r="H328" s="17">
        <f t="shared" si="165"/>
        <v>0</v>
      </c>
      <c r="I328" s="17">
        <f t="shared" si="166"/>
        <v>0</v>
      </c>
      <c r="J328" s="17">
        <f t="shared" si="167"/>
        <v>0</v>
      </c>
      <c r="K328" s="17">
        <f t="shared" si="168"/>
        <v>0</v>
      </c>
      <c r="L328" s="17">
        <f t="shared" si="169"/>
        <v>0</v>
      </c>
      <c r="M328" s="17">
        <f t="shared" si="170"/>
        <v>0</v>
      </c>
      <c r="N328" s="17">
        <f t="shared" si="171"/>
        <v>0</v>
      </c>
      <c r="O328" s="17">
        <f t="shared" si="172"/>
        <v>0</v>
      </c>
      <c r="P328" s="17">
        <f t="shared" si="173"/>
        <v>0</v>
      </c>
      <c r="Q328" s="17">
        <f t="shared" si="174"/>
        <v>0</v>
      </c>
      <c r="R328" s="17">
        <f t="shared" si="175"/>
        <v>0</v>
      </c>
      <c r="S328" s="17">
        <f t="shared" si="176"/>
        <v>0</v>
      </c>
      <c r="T328" s="17">
        <f t="shared" si="177"/>
        <v>0</v>
      </c>
      <c r="U328" s="17">
        <f t="shared" si="178"/>
        <v>0</v>
      </c>
      <c r="V328" s="17">
        <f t="shared" si="179"/>
        <v>0</v>
      </c>
      <c r="W328" s="17">
        <f t="shared" si="180"/>
        <v>0</v>
      </c>
      <c r="X328" s="96" t="str">
        <f t="shared" si="181"/>
        <v>ok</v>
      </c>
    </row>
    <row r="329" spans="1:24" x14ac:dyDescent="0.2">
      <c r="A329" s="18">
        <v>824</v>
      </c>
      <c r="B329" s="16" t="s">
        <v>105</v>
      </c>
      <c r="C329" s="90" t="s">
        <v>106</v>
      </c>
      <c r="D329" s="90" t="s">
        <v>124</v>
      </c>
      <c r="F329" s="102">
        <v>0</v>
      </c>
      <c r="G329" s="17">
        <f t="shared" si="164"/>
        <v>0</v>
      </c>
      <c r="H329" s="17">
        <f t="shared" si="165"/>
        <v>0</v>
      </c>
      <c r="I329" s="17">
        <f t="shared" si="166"/>
        <v>0</v>
      </c>
      <c r="J329" s="17">
        <f t="shared" si="167"/>
        <v>0</v>
      </c>
      <c r="K329" s="17">
        <f t="shared" si="168"/>
        <v>0</v>
      </c>
      <c r="L329" s="17">
        <f t="shared" si="169"/>
        <v>0</v>
      </c>
      <c r="M329" s="17">
        <f t="shared" si="170"/>
        <v>0</v>
      </c>
      <c r="N329" s="17">
        <f t="shared" si="171"/>
        <v>0</v>
      </c>
      <c r="O329" s="17">
        <f t="shared" si="172"/>
        <v>0</v>
      </c>
      <c r="P329" s="17">
        <f t="shared" si="173"/>
        <v>0</v>
      </c>
      <c r="Q329" s="17">
        <f t="shared" si="174"/>
        <v>0</v>
      </c>
      <c r="R329" s="17">
        <f t="shared" si="175"/>
        <v>0</v>
      </c>
      <c r="S329" s="17">
        <f t="shared" si="176"/>
        <v>0</v>
      </c>
      <c r="T329" s="17">
        <f t="shared" si="177"/>
        <v>0</v>
      </c>
      <c r="U329" s="17">
        <f t="shared" si="178"/>
        <v>0</v>
      </c>
      <c r="V329" s="17">
        <f t="shared" si="179"/>
        <v>0</v>
      </c>
      <c r="W329" s="17">
        <f t="shared" si="180"/>
        <v>0</v>
      </c>
      <c r="X329" s="96" t="str">
        <f t="shared" si="181"/>
        <v>ok</v>
      </c>
    </row>
    <row r="330" spans="1:24" x14ac:dyDescent="0.2">
      <c r="A330" s="18">
        <v>825</v>
      </c>
      <c r="B330" s="16" t="s">
        <v>403</v>
      </c>
      <c r="C330" s="90" t="s">
        <v>107</v>
      </c>
      <c r="D330" s="90" t="s">
        <v>25</v>
      </c>
      <c r="F330" s="17">
        <v>156507</v>
      </c>
      <c r="G330" s="17">
        <f t="shared" si="164"/>
        <v>0</v>
      </c>
      <c r="H330" s="17">
        <f t="shared" si="165"/>
        <v>0</v>
      </c>
      <c r="I330" s="17">
        <f t="shared" si="166"/>
        <v>156507</v>
      </c>
      <c r="J330" s="17">
        <f t="shared" si="167"/>
        <v>0</v>
      </c>
      <c r="K330" s="17">
        <f t="shared" si="168"/>
        <v>0</v>
      </c>
      <c r="L330" s="17">
        <f t="shared" si="169"/>
        <v>0</v>
      </c>
      <c r="M330" s="17">
        <f t="shared" si="170"/>
        <v>0</v>
      </c>
      <c r="N330" s="17">
        <f t="shared" si="171"/>
        <v>0</v>
      </c>
      <c r="O330" s="17">
        <f t="shared" si="172"/>
        <v>0</v>
      </c>
      <c r="P330" s="17">
        <f t="shared" si="173"/>
        <v>0</v>
      </c>
      <c r="Q330" s="17">
        <f t="shared" si="174"/>
        <v>0</v>
      </c>
      <c r="R330" s="17">
        <f t="shared" si="175"/>
        <v>0</v>
      </c>
      <c r="S330" s="17">
        <f t="shared" si="176"/>
        <v>0</v>
      </c>
      <c r="T330" s="17">
        <f t="shared" si="177"/>
        <v>0</v>
      </c>
      <c r="U330" s="17">
        <f t="shared" si="178"/>
        <v>0</v>
      </c>
      <c r="V330" s="17">
        <f t="shared" si="179"/>
        <v>0</v>
      </c>
      <c r="W330" s="17">
        <f t="shared" si="180"/>
        <v>156507</v>
      </c>
      <c r="X330" s="96" t="str">
        <f t="shared" si="181"/>
        <v>ok</v>
      </c>
    </row>
    <row r="331" spans="1:24" x14ac:dyDescent="0.2">
      <c r="A331" s="18">
        <v>826</v>
      </c>
      <c r="B331" s="16" t="s">
        <v>108</v>
      </c>
      <c r="C331" s="90" t="s">
        <v>109</v>
      </c>
      <c r="D331" s="90" t="s">
        <v>25</v>
      </c>
      <c r="F331" s="102">
        <v>0</v>
      </c>
      <c r="G331" s="17">
        <f t="shared" si="164"/>
        <v>0</v>
      </c>
      <c r="H331" s="17">
        <f t="shared" si="165"/>
        <v>0</v>
      </c>
      <c r="I331" s="17">
        <f t="shared" si="166"/>
        <v>0</v>
      </c>
      <c r="J331" s="17">
        <f t="shared" si="167"/>
        <v>0</v>
      </c>
      <c r="K331" s="17">
        <f t="shared" si="168"/>
        <v>0</v>
      </c>
      <c r="L331" s="17">
        <f t="shared" si="169"/>
        <v>0</v>
      </c>
      <c r="M331" s="17">
        <f t="shared" si="170"/>
        <v>0</v>
      </c>
      <c r="N331" s="17">
        <f t="shared" si="171"/>
        <v>0</v>
      </c>
      <c r="O331" s="17">
        <f t="shared" si="172"/>
        <v>0</v>
      </c>
      <c r="P331" s="17">
        <f t="shared" si="173"/>
        <v>0</v>
      </c>
      <c r="Q331" s="17">
        <f t="shared" si="174"/>
        <v>0</v>
      </c>
      <c r="R331" s="17">
        <f t="shared" si="175"/>
        <v>0</v>
      </c>
      <c r="S331" s="17">
        <f t="shared" si="176"/>
        <v>0</v>
      </c>
      <c r="T331" s="17">
        <f t="shared" si="177"/>
        <v>0</v>
      </c>
      <c r="U331" s="17">
        <f t="shared" si="178"/>
        <v>0</v>
      </c>
      <c r="V331" s="17">
        <f t="shared" si="179"/>
        <v>0</v>
      </c>
      <c r="W331" s="17">
        <f t="shared" si="180"/>
        <v>0</v>
      </c>
      <c r="X331" s="96" t="str">
        <f t="shared" si="181"/>
        <v>ok</v>
      </c>
    </row>
    <row r="332" spans="1:24" x14ac:dyDescent="0.2">
      <c r="A332" s="18"/>
      <c r="F332" s="17"/>
    </row>
    <row r="333" spans="1:24" x14ac:dyDescent="0.2">
      <c r="A333" s="18" t="s">
        <v>462</v>
      </c>
      <c r="C333" s="90" t="s">
        <v>556</v>
      </c>
      <c r="F333" s="21">
        <f>SUM(F320:F332)</f>
        <v>6500231</v>
      </c>
      <c r="G333" s="21">
        <f t="shared" ref="G333:V333" si="182">SUM(G320:G332)</f>
        <v>0</v>
      </c>
      <c r="H333" s="21">
        <f t="shared" si="182"/>
        <v>0</v>
      </c>
      <c r="I333" s="21">
        <f t="shared" si="182"/>
        <v>1081311.6834450283</v>
      </c>
      <c r="J333" s="21">
        <f t="shared" si="182"/>
        <v>5418919.316554971</v>
      </c>
      <c r="K333" s="21">
        <f t="shared" si="182"/>
        <v>0</v>
      </c>
      <c r="L333" s="21">
        <f t="shared" si="182"/>
        <v>0</v>
      </c>
      <c r="M333" s="21">
        <f t="shared" si="182"/>
        <v>0</v>
      </c>
      <c r="N333" s="21">
        <f t="shared" si="182"/>
        <v>0</v>
      </c>
      <c r="O333" s="21">
        <f t="shared" si="182"/>
        <v>0</v>
      </c>
      <c r="P333" s="21">
        <f t="shared" si="182"/>
        <v>0</v>
      </c>
      <c r="Q333" s="21">
        <f>SUM(Q320:Q332)</f>
        <v>0</v>
      </c>
      <c r="R333" s="21">
        <f>SUM(R320:R332)</f>
        <v>0</v>
      </c>
      <c r="S333" s="21">
        <f t="shared" si="182"/>
        <v>0</v>
      </c>
      <c r="T333" s="21">
        <f t="shared" si="182"/>
        <v>0</v>
      </c>
      <c r="U333" s="21">
        <f t="shared" si="182"/>
        <v>0</v>
      </c>
      <c r="V333" s="21">
        <f t="shared" si="182"/>
        <v>0</v>
      </c>
      <c r="W333" s="17">
        <f>SUM(G333:V333)</f>
        <v>6500230.9999999991</v>
      </c>
      <c r="X333" s="96" t="str">
        <f>IF(ABS(W333-F333)&lt;1,"ok","err")</f>
        <v>ok</v>
      </c>
    </row>
    <row r="334" spans="1:24" x14ac:dyDescent="0.2">
      <c r="A334" s="18"/>
      <c r="F334" s="17"/>
    </row>
    <row r="335" spans="1:24" x14ac:dyDescent="0.2">
      <c r="A335" s="93"/>
      <c r="F335" s="22"/>
      <c r="G335" s="101"/>
    </row>
    <row r="336" spans="1:24" x14ac:dyDescent="0.2">
      <c r="A336" s="18"/>
      <c r="F336" s="22"/>
      <c r="G336" s="101"/>
    </row>
    <row r="337" spans="1:24" x14ac:dyDescent="0.2">
      <c r="A337" s="93" t="s">
        <v>455</v>
      </c>
      <c r="F337" s="22"/>
      <c r="G337" s="101"/>
    </row>
    <row r="338" spans="1:24" x14ac:dyDescent="0.2">
      <c r="A338" s="93" t="s">
        <v>456</v>
      </c>
      <c r="F338" s="22"/>
      <c r="G338" s="101"/>
    </row>
    <row r="339" spans="1:24" x14ac:dyDescent="0.2">
      <c r="A339" s="18">
        <v>830</v>
      </c>
      <c r="B339" s="16" t="s">
        <v>404</v>
      </c>
      <c r="C339" s="90" t="s">
        <v>110</v>
      </c>
      <c r="D339" s="90" t="s">
        <v>631</v>
      </c>
      <c r="F339" s="21">
        <v>577331</v>
      </c>
      <c r="G339" s="17">
        <f t="shared" ref="G339:G346" si="183">(VLOOKUP($D339,$C$6:$AJ$991,5,)/VLOOKUP($D339,$C$6:$AJ$991,4,))*$F339</f>
        <v>0</v>
      </c>
      <c r="H339" s="17">
        <f t="shared" ref="H339:H346" si="184">(VLOOKUP($D339,$C$6:$AJ$991,6,)/VLOOKUP($D339,$C$6:$AJ$991,4,))*$F339</f>
        <v>0</v>
      </c>
      <c r="I339" s="17">
        <f t="shared" ref="I339:I346" si="185">(VLOOKUP($D339,$C$6:$AJ$991,7,)/VLOOKUP($D339,$C$6:$AJ$991,4,))*$F339</f>
        <v>293862.21327703987</v>
      </c>
      <c r="J339" s="17">
        <f t="shared" ref="J339:J346" si="186">(VLOOKUP($D339,$C$6:$AJ$991,8,)/VLOOKUP($D339,$C$6:$AJ$991,4,))*$F339</f>
        <v>283468.78672296013</v>
      </c>
      <c r="K339" s="17">
        <f t="shared" ref="K339:K346" si="187">(VLOOKUP($D339,$C$6:$AJ$991,9,)/VLOOKUP($D339,$C$6:$AJ$991,4,))*$F339</f>
        <v>0</v>
      </c>
      <c r="L339" s="17">
        <f t="shared" ref="L339:L346" si="188">(VLOOKUP($D339,$C$6:$AJ$991,10,)/VLOOKUP($D339,$C$6:$AJ$991,4,))*$F339</f>
        <v>0</v>
      </c>
      <c r="M339" s="17">
        <f t="shared" ref="M339:M346" si="189">(VLOOKUP($D339,$C$6:$AJ$991,11,)/VLOOKUP($D339,$C$6:$AJ$991,4,))*$F339</f>
        <v>0</v>
      </c>
      <c r="N339" s="17">
        <f t="shared" ref="N339:N346" si="190">(VLOOKUP($D339,$C$6:$AJ$991,12,)/VLOOKUP($D339,$C$6:$AJ$991,4,))*$F339</f>
        <v>0</v>
      </c>
      <c r="O339" s="17">
        <f t="shared" ref="O339:O346" si="191">(VLOOKUP($D339,$C$6:$AJ$991,13,)/VLOOKUP($D339,$C$6:$AJ$991,4,))*$F339</f>
        <v>0</v>
      </c>
      <c r="P339" s="17">
        <f t="shared" ref="P339:P346" si="192">(VLOOKUP($D339,$C$6:$AJ$991,14,)/VLOOKUP($D339,$C$6:$AJ$991,4,))*$F339</f>
        <v>0</v>
      </c>
      <c r="Q339" s="17">
        <f t="shared" ref="Q339:Q346" si="193">(VLOOKUP($D339,$C$6:$AJ$991,15,)/VLOOKUP($D339,$C$6:$AJ$991,4,))*$F339</f>
        <v>0</v>
      </c>
      <c r="R339" s="17">
        <f t="shared" ref="R339:R346" si="194">(VLOOKUP($D339,$C$6:$AJ$991,16,)/VLOOKUP($D339,$C$6:$AJ$991,4,))*$F339</f>
        <v>0</v>
      </c>
      <c r="S339" s="17">
        <f t="shared" ref="S339:S346" si="195">(VLOOKUP($D339,$C$6:$AJ$991,17,)/VLOOKUP($D339,$C$6:$AJ$991,4,))*$F339</f>
        <v>0</v>
      </c>
      <c r="T339" s="17">
        <f t="shared" ref="T339:T346" si="196">(VLOOKUP($D339,$C$6:$AJ$991,18,)/VLOOKUP($D339,$C$6:$AJ$991,4,))*$F339</f>
        <v>0</v>
      </c>
      <c r="U339" s="17">
        <f t="shared" ref="U339:U346" si="197">(VLOOKUP($D339,$C$6:$AJ$991,19,)/VLOOKUP($D339,$C$6:$AJ$991,4,))*$F339</f>
        <v>0</v>
      </c>
      <c r="V339" s="17">
        <f t="shared" ref="V339:V346" si="198">(VLOOKUP($D339,$C$6:$AJ$991,20,)/VLOOKUP($D339,$C$6:$AJ$991,4,))*$F339</f>
        <v>0</v>
      </c>
      <c r="W339" s="17">
        <f>SUM(G339:V339)</f>
        <v>577331</v>
      </c>
      <c r="X339" s="96" t="str">
        <f>IF(ABS(W339-F339)&lt;1,"ok","err")</f>
        <v>ok</v>
      </c>
    </row>
    <row r="340" spans="1:24" x14ac:dyDescent="0.2">
      <c r="A340" s="18">
        <v>831</v>
      </c>
      <c r="B340" s="16" t="s">
        <v>111</v>
      </c>
      <c r="C340" s="90" t="s">
        <v>112</v>
      </c>
      <c r="D340" s="90" t="s">
        <v>25</v>
      </c>
      <c r="F340" s="102">
        <v>0</v>
      </c>
      <c r="G340" s="17">
        <f t="shared" si="183"/>
        <v>0</v>
      </c>
      <c r="H340" s="17">
        <f t="shared" si="184"/>
        <v>0</v>
      </c>
      <c r="I340" s="17">
        <f t="shared" si="185"/>
        <v>0</v>
      </c>
      <c r="J340" s="17">
        <f t="shared" si="186"/>
        <v>0</v>
      </c>
      <c r="K340" s="17">
        <f t="shared" si="187"/>
        <v>0</v>
      </c>
      <c r="L340" s="17">
        <f t="shared" si="188"/>
        <v>0</v>
      </c>
      <c r="M340" s="17">
        <f t="shared" si="189"/>
        <v>0</v>
      </c>
      <c r="N340" s="17">
        <f t="shared" si="190"/>
        <v>0</v>
      </c>
      <c r="O340" s="17">
        <f t="shared" si="191"/>
        <v>0</v>
      </c>
      <c r="P340" s="17">
        <f t="shared" si="192"/>
        <v>0</v>
      </c>
      <c r="Q340" s="17">
        <f t="shared" si="193"/>
        <v>0</v>
      </c>
      <c r="R340" s="17">
        <f t="shared" si="194"/>
        <v>0</v>
      </c>
      <c r="S340" s="17">
        <f t="shared" si="195"/>
        <v>0</v>
      </c>
      <c r="T340" s="17">
        <f t="shared" si="196"/>
        <v>0</v>
      </c>
      <c r="U340" s="17">
        <f t="shared" si="197"/>
        <v>0</v>
      </c>
      <c r="V340" s="17">
        <f t="shared" si="198"/>
        <v>0</v>
      </c>
      <c r="W340" s="17">
        <f t="shared" ref="W340:W346" si="199">SUM(G340:V340)</f>
        <v>0</v>
      </c>
      <c r="X340" s="96" t="str">
        <f t="shared" ref="X340:X346" si="200">IF(ABS(W340-F340)&lt;1,"ok","err")</f>
        <v>ok</v>
      </c>
    </row>
    <row r="341" spans="1:24" x14ac:dyDescent="0.2">
      <c r="A341" s="18">
        <v>832</v>
      </c>
      <c r="B341" s="16" t="s">
        <v>405</v>
      </c>
      <c r="C341" s="90" t="s">
        <v>113</v>
      </c>
      <c r="D341" s="90" t="s">
        <v>25</v>
      </c>
      <c r="F341" s="17">
        <v>1267142.0000000002</v>
      </c>
      <c r="G341" s="17">
        <f t="shared" si="183"/>
        <v>0</v>
      </c>
      <c r="H341" s="17">
        <f t="shared" si="184"/>
        <v>0</v>
      </c>
      <c r="I341" s="17">
        <f t="shared" si="185"/>
        <v>1267142.0000000002</v>
      </c>
      <c r="J341" s="17">
        <f t="shared" si="186"/>
        <v>0</v>
      </c>
      <c r="K341" s="17">
        <f t="shared" si="187"/>
        <v>0</v>
      </c>
      <c r="L341" s="17">
        <f t="shared" si="188"/>
        <v>0</v>
      </c>
      <c r="M341" s="17">
        <f t="shared" si="189"/>
        <v>0</v>
      </c>
      <c r="N341" s="17">
        <f t="shared" si="190"/>
        <v>0</v>
      </c>
      <c r="O341" s="17">
        <f t="shared" si="191"/>
        <v>0</v>
      </c>
      <c r="P341" s="17">
        <f t="shared" si="192"/>
        <v>0</v>
      </c>
      <c r="Q341" s="17">
        <f t="shared" si="193"/>
        <v>0</v>
      </c>
      <c r="R341" s="17">
        <f t="shared" si="194"/>
        <v>0</v>
      </c>
      <c r="S341" s="17">
        <f t="shared" si="195"/>
        <v>0</v>
      </c>
      <c r="T341" s="17">
        <f t="shared" si="196"/>
        <v>0</v>
      </c>
      <c r="U341" s="17">
        <f t="shared" si="197"/>
        <v>0</v>
      </c>
      <c r="V341" s="17">
        <f t="shared" si="198"/>
        <v>0</v>
      </c>
      <c r="W341" s="17">
        <f t="shared" si="199"/>
        <v>1267142.0000000002</v>
      </c>
      <c r="X341" s="96" t="str">
        <f t="shared" si="200"/>
        <v>ok</v>
      </c>
    </row>
    <row r="342" spans="1:24" x14ac:dyDescent="0.2">
      <c r="A342" s="18">
        <v>833</v>
      </c>
      <c r="B342" s="16" t="s">
        <v>114</v>
      </c>
      <c r="C342" s="90" t="s">
        <v>115</v>
      </c>
      <c r="D342" s="90" t="s">
        <v>25</v>
      </c>
      <c r="F342" s="17">
        <v>735944.99999999988</v>
      </c>
      <c r="G342" s="17">
        <f t="shared" si="183"/>
        <v>0</v>
      </c>
      <c r="H342" s="17">
        <f t="shared" si="184"/>
        <v>0</v>
      </c>
      <c r="I342" s="17">
        <f t="shared" si="185"/>
        <v>735944.99999999988</v>
      </c>
      <c r="J342" s="17">
        <f t="shared" si="186"/>
        <v>0</v>
      </c>
      <c r="K342" s="17">
        <f t="shared" si="187"/>
        <v>0</v>
      </c>
      <c r="L342" s="17">
        <f t="shared" si="188"/>
        <v>0</v>
      </c>
      <c r="M342" s="17">
        <f t="shared" si="189"/>
        <v>0</v>
      </c>
      <c r="N342" s="17">
        <f t="shared" si="190"/>
        <v>0</v>
      </c>
      <c r="O342" s="17">
        <f t="shared" si="191"/>
        <v>0</v>
      </c>
      <c r="P342" s="17">
        <f t="shared" si="192"/>
        <v>0</v>
      </c>
      <c r="Q342" s="17">
        <f t="shared" si="193"/>
        <v>0</v>
      </c>
      <c r="R342" s="17">
        <f t="shared" si="194"/>
        <v>0</v>
      </c>
      <c r="S342" s="17">
        <f t="shared" si="195"/>
        <v>0</v>
      </c>
      <c r="T342" s="17">
        <f t="shared" si="196"/>
        <v>0</v>
      </c>
      <c r="U342" s="17">
        <f t="shared" si="197"/>
        <v>0</v>
      </c>
      <c r="V342" s="17">
        <f t="shared" si="198"/>
        <v>0</v>
      </c>
      <c r="W342" s="17">
        <f t="shared" si="199"/>
        <v>735944.99999999988</v>
      </c>
      <c r="X342" s="96" t="str">
        <f t="shared" si="200"/>
        <v>ok</v>
      </c>
    </row>
    <row r="343" spans="1:24" x14ac:dyDescent="0.2">
      <c r="A343" s="18">
        <v>834</v>
      </c>
      <c r="B343" s="16" t="s">
        <v>406</v>
      </c>
      <c r="C343" s="90" t="s">
        <v>116</v>
      </c>
      <c r="D343" s="90" t="s">
        <v>124</v>
      </c>
      <c r="F343" s="17">
        <v>461478</v>
      </c>
      <c r="G343" s="17">
        <f t="shared" si="183"/>
        <v>0</v>
      </c>
      <c r="H343" s="17">
        <f t="shared" si="184"/>
        <v>0</v>
      </c>
      <c r="I343" s="17">
        <f t="shared" si="185"/>
        <v>0</v>
      </c>
      <c r="J343" s="17">
        <f t="shared" si="186"/>
        <v>461478</v>
      </c>
      <c r="K343" s="17">
        <f t="shared" si="187"/>
        <v>0</v>
      </c>
      <c r="L343" s="17">
        <f t="shared" si="188"/>
        <v>0</v>
      </c>
      <c r="M343" s="17">
        <f t="shared" si="189"/>
        <v>0</v>
      </c>
      <c r="N343" s="17">
        <f t="shared" si="190"/>
        <v>0</v>
      </c>
      <c r="O343" s="17">
        <f t="shared" si="191"/>
        <v>0</v>
      </c>
      <c r="P343" s="17">
        <f t="shared" si="192"/>
        <v>0</v>
      </c>
      <c r="Q343" s="17">
        <f t="shared" si="193"/>
        <v>0</v>
      </c>
      <c r="R343" s="17">
        <f t="shared" si="194"/>
        <v>0</v>
      </c>
      <c r="S343" s="17">
        <f t="shared" si="195"/>
        <v>0</v>
      </c>
      <c r="T343" s="17">
        <f t="shared" si="196"/>
        <v>0</v>
      </c>
      <c r="U343" s="17">
        <f t="shared" si="197"/>
        <v>0</v>
      </c>
      <c r="V343" s="17">
        <f t="shared" si="198"/>
        <v>0</v>
      </c>
      <c r="W343" s="17">
        <f t="shared" si="199"/>
        <v>461478</v>
      </c>
      <c r="X343" s="96" t="str">
        <f t="shared" si="200"/>
        <v>ok</v>
      </c>
    </row>
    <row r="344" spans="1:24" x14ac:dyDescent="0.2">
      <c r="A344" s="18">
        <v>835</v>
      </c>
      <c r="B344" s="16" t="s">
        <v>407</v>
      </c>
      <c r="C344" s="90" t="s">
        <v>117</v>
      </c>
      <c r="D344" s="90" t="s">
        <v>25</v>
      </c>
      <c r="F344" s="17">
        <v>0</v>
      </c>
      <c r="G344" s="17">
        <f t="shared" si="183"/>
        <v>0</v>
      </c>
      <c r="H344" s="17">
        <f t="shared" si="184"/>
        <v>0</v>
      </c>
      <c r="I344" s="17">
        <f t="shared" si="185"/>
        <v>0</v>
      </c>
      <c r="J344" s="17">
        <f t="shared" si="186"/>
        <v>0</v>
      </c>
      <c r="K344" s="17">
        <f t="shared" si="187"/>
        <v>0</v>
      </c>
      <c r="L344" s="17">
        <f t="shared" si="188"/>
        <v>0</v>
      </c>
      <c r="M344" s="17">
        <f t="shared" si="189"/>
        <v>0</v>
      </c>
      <c r="N344" s="17">
        <f t="shared" si="190"/>
        <v>0</v>
      </c>
      <c r="O344" s="17">
        <f t="shared" si="191"/>
        <v>0</v>
      </c>
      <c r="P344" s="17">
        <f t="shared" si="192"/>
        <v>0</v>
      </c>
      <c r="Q344" s="17">
        <f t="shared" si="193"/>
        <v>0</v>
      </c>
      <c r="R344" s="17">
        <f t="shared" si="194"/>
        <v>0</v>
      </c>
      <c r="S344" s="17">
        <f t="shared" si="195"/>
        <v>0</v>
      </c>
      <c r="T344" s="17">
        <f t="shared" si="196"/>
        <v>0</v>
      </c>
      <c r="U344" s="17">
        <f t="shared" si="197"/>
        <v>0</v>
      </c>
      <c r="V344" s="17">
        <f t="shared" si="198"/>
        <v>0</v>
      </c>
      <c r="W344" s="17">
        <f t="shared" si="199"/>
        <v>0</v>
      </c>
      <c r="X344" s="96" t="str">
        <f t="shared" si="200"/>
        <v>ok</v>
      </c>
    </row>
    <row r="345" spans="1:24" x14ac:dyDescent="0.2">
      <c r="A345" s="18">
        <v>836</v>
      </c>
      <c r="B345" s="16" t="s">
        <v>408</v>
      </c>
      <c r="C345" s="90" t="s">
        <v>118</v>
      </c>
      <c r="D345" s="90" t="s">
        <v>124</v>
      </c>
      <c r="F345" s="17">
        <v>660606</v>
      </c>
      <c r="G345" s="17">
        <f t="shared" si="183"/>
        <v>0</v>
      </c>
      <c r="H345" s="17">
        <f t="shared" si="184"/>
        <v>0</v>
      </c>
      <c r="I345" s="17">
        <f t="shared" si="185"/>
        <v>0</v>
      </c>
      <c r="J345" s="17">
        <f t="shared" si="186"/>
        <v>660606</v>
      </c>
      <c r="K345" s="17">
        <f t="shared" si="187"/>
        <v>0</v>
      </c>
      <c r="L345" s="17">
        <f t="shared" si="188"/>
        <v>0</v>
      </c>
      <c r="M345" s="17">
        <f t="shared" si="189"/>
        <v>0</v>
      </c>
      <c r="N345" s="17">
        <f t="shared" si="190"/>
        <v>0</v>
      </c>
      <c r="O345" s="17">
        <f t="shared" si="191"/>
        <v>0</v>
      </c>
      <c r="P345" s="17">
        <f t="shared" si="192"/>
        <v>0</v>
      </c>
      <c r="Q345" s="17">
        <f t="shared" si="193"/>
        <v>0</v>
      </c>
      <c r="R345" s="17">
        <f t="shared" si="194"/>
        <v>0</v>
      </c>
      <c r="S345" s="17">
        <f t="shared" si="195"/>
        <v>0</v>
      </c>
      <c r="T345" s="17">
        <f t="shared" si="196"/>
        <v>0</v>
      </c>
      <c r="U345" s="17">
        <f t="shared" si="197"/>
        <v>0</v>
      </c>
      <c r="V345" s="17">
        <f t="shared" si="198"/>
        <v>0</v>
      </c>
      <c r="W345" s="17">
        <f t="shared" si="199"/>
        <v>660606</v>
      </c>
      <c r="X345" s="96" t="str">
        <f t="shared" si="200"/>
        <v>ok</v>
      </c>
    </row>
    <row r="346" spans="1:24" x14ac:dyDescent="0.2">
      <c r="A346" s="18">
        <v>837</v>
      </c>
      <c r="B346" s="16" t="s">
        <v>409</v>
      </c>
      <c r="C346" s="90" t="s">
        <v>119</v>
      </c>
      <c r="D346" s="90" t="s">
        <v>25</v>
      </c>
      <c r="F346" s="17">
        <v>368416.00000000006</v>
      </c>
      <c r="G346" s="17">
        <f t="shared" si="183"/>
        <v>0</v>
      </c>
      <c r="H346" s="17">
        <f t="shared" si="184"/>
        <v>0</v>
      </c>
      <c r="I346" s="17">
        <f t="shared" si="185"/>
        <v>368416.00000000006</v>
      </c>
      <c r="J346" s="17">
        <f t="shared" si="186"/>
        <v>0</v>
      </c>
      <c r="K346" s="17">
        <f t="shared" si="187"/>
        <v>0</v>
      </c>
      <c r="L346" s="17">
        <f t="shared" si="188"/>
        <v>0</v>
      </c>
      <c r="M346" s="17">
        <f t="shared" si="189"/>
        <v>0</v>
      </c>
      <c r="N346" s="17">
        <f t="shared" si="190"/>
        <v>0</v>
      </c>
      <c r="O346" s="17">
        <f t="shared" si="191"/>
        <v>0</v>
      </c>
      <c r="P346" s="17">
        <f t="shared" si="192"/>
        <v>0</v>
      </c>
      <c r="Q346" s="17">
        <f t="shared" si="193"/>
        <v>0</v>
      </c>
      <c r="R346" s="17">
        <f t="shared" si="194"/>
        <v>0</v>
      </c>
      <c r="S346" s="17">
        <f t="shared" si="195"/>
        <v>0</v>
      </c>
      <c r="T346" s="17">
        <f t="shared" si="196"/>
        <v>0</v>
      </c>
      <c r="U346" s="17">
        <f t="shared" si="197"/>
        <v>0</v>
      </c>
      <c r="V346" s="17">
        <f t="shared" si="198"/>
        <v>0</v>
      </c>
      <c r="W346" s="17">
        <f t="shared" si="199"/>
        <v>368416.00000000006</v>
      </c>
      <c r="X346" s="96" t="str">
        <f t="shared" si="200"/>
        <v>ok</v>
      </c>
    </row>
    <row r="347" spans="1:24" x14ac:dyDescent="0.2">
      <c r="A347" s="18"/>
      <c r="F347" s="17"/>
    </row>
    <row r="348" spans="1:24" x14ac:dyDescent="0.2">
      <c r="A348" s="18" t="s">
        <v>189</v>
      </c>
      <c r="C348" s="90" t="s">
        <v>557</v>
      </c>
      <c r="F348" s="21">
        <f>+SUM(F339:F346)</f>
        <v>4070918</v>
      </c>
      <c r="G348" s="21">
        <f t="shared" ref="G348:V348" si="201">SUM(G339:G347)</f>
        <v>0</v>
      </c>
      <c r="H348" s="21">
        <f t="shared" si="201"/>
        <v>0</v>
      </c>
      <c r="I348" s="21">
        <f t="shared" si="201"/>
        <v>2665365.21327704</v>
      </c>
      <c r="J348" s="21">
        <f t="shared" si="201"/>
        <v>1405552.7867229602</v>
      </c>
      <c r="K348" s="21">
        <f t="shared" si="201"/>
        <v>0</v>
      </c>
      <c r="L348" s="21">
        <f t="shared" si="201"/>
        <v>0</v>
      </c>
      <c r="M348" s="21">
        <f t="shared" si="201"/>
        <v>0</v>
      </c>
      <c r="N348" s="21">
        <f t="shared" si="201"/>
        <v>0</v>
      </c>
      <c r="O348" s="21">
        <f t="shared" si="201"/>
        <v>0</v>
      </c>
      <c r="P348" s="21">
        <f t="shared" si="201"/>
        <v>0</v>
      </c>
      <c r="Q348" s="21">
        <f>SUM(Q339:Q347)</f>
        <v>0</v>
      </c>
      <c r="R348" s="21">
        <f>SUM(R339:R347)</f>
        <v>0</v>
      </c>
      <c r="S348" s="21">
        <f t="shared" si="201"/>
        <v>0</v>
      </c>
      <c r="T348" s="21">
        <f t="shared" si="201"/>
        <v>0</v>
      </c>
      <c r="U348" s="21">
        <f t="shared" si="201"/>
        <v>0</v>
      </c>
      <c r="V348" s="21">
        <f t="shared" si="201"/>
        <v>0</v>
      </c>
      <c r="W348" s="17">
        <f>SUM(G348:V348)</f>
        <v>4070918</v>
      </c>
      <c r="X348" s="96" t="str">
        <f>IF(ABS(W348-F348)&lt;1,"ok","err")</f>
        <v>ok</v>
      </c>
    </row>
    <row r="349" spans="1:24" x14ac:dyDescent="0.2">
      <c r="A349" s="18"/>
      <c r="F349" s="17"/>
    </row>
    <row r="350" spans="1:24" x14ac:dyDescent="0.2">
      <c r="A350" s="18"/>
      <c r="F350" s="17"/>
    </row>
    <row r="351" spans="1:24" x14ac:dyDescent="0.2">
      <c r="A351" s="18" t="s">
        <v>463</v>
      </c>
      <c r="C351" s="90" t="s">
        <v>558</v>
      </c>
      <c r="F351" s="21">
        <f>+F333+F348</f>
        <v>10571149</v>
      </c>
      <c r="G351" s="17">
        <f t="shared" ref="G351:W351" si="202">+G333+G348</f>
        <v>0</v>
      </c>
      <c r="H351" s="17">
        <f t="shared" si="202"/>
        <v>0</v>
      </c>
      <c r="I351" s="17">
        <f t="shared" si="202"/>
        <v>3746676.8967220681</v>
      </c>
      <c r="J351" s="17">
        <f t="shared" si="202"/>
        <v>6824472.103277931</v>
      </c>
      <c r="K351" s="17">
        <f t="shared" si="202"/>
        <v>0</v>
      </c>
      <c r="L351" s="17">
        <f t="shared" si="202"/>
        <v>0</v>
      </c>
      <c r="M351" s="17">
        <f t="shared" si="202"/>
        <v>0</v>
      </c>
      <c r="N351" s="17">
        <f t="shared" si="202"/>
        <v>0</v>
      </c>
      <c r="O351" s="17">
        <f t="shared" si="202"/>
        <v>0</v>
      </c>
      <c r="P351" s="17">
        <f t="shared" si="202"/>
        <v>0</v>
      </c>
      <c r="Q351" s="17">
        <f t="shared" si="202"/>
        <v>0</v>
      </c>
      <c r="R351" s="17">
        <f t="shared" si="202"/>
        <v>0</v>
      </c>
      <c r="S351" s="17">
        <f t="shared" si="202"/>
        <v>0</v>
      </c>
      <c r="T351" s="17">
        <f t="shared" si="202"/>
        <v>0</v>
      </c>
      <c r="U351" s="17">
        <f t="shared" si="202"/>
        <v>0</v>
      </c>
      <c r="V351" s="17">
        <f t="shared" si="202"/>
        <v>0</v>
      </c>
      <c r="W351" s="17">
        <f t="shared" si="202"/>
        <v>10571149</v>
      </c>
      <c r="X351" s="96" t="str">
        <f>IF(ABS(W351-F351)&lt;1,"ok","err")</f>
        <v>ok</v>
      </c>
    </row>
    <row r="352" spans="1:24" x14ac:dyDescent="0.2">
      <c r="A352" s="18"/>
      <c r="F352" s="17"/>
    </row>
    <row r="353" spans="1:24" x14ac:dyDescent="0.2">
      <c r="A353" s="18"/>
      <c r="F353" s="17"/>
    </row>
    <row r="354" spans="1:24" x14ac:dyDescent="0.2">
      <c r="A354" s="163"/>
      <c r="F354" s="17"/>
    </row>
    <row r="355" spans="1:24" x14ac:dyDescent="0.2">
      <c r="A355" s="164"/>
      <c r="F355" s="17"/>
    </row>
    <row r="356" spans="1:24" x14ac:dyDescent="0.2">
      <c r="A356" s="18"/>
      <c r="F356" s="17"/>
    </row>
    <row r="357" spans="1:24" x14ac:dyDescent="0.2">
      <c r="A357" s="158" t="s">
        <v>464</v>
      </c>
      <c r="F357" s="17"/>
    </row>
    <row r="358" spans="1:24" x14ac:dyDescent="0.2">
      <c r="A358" s="18"/>
      <c r="F358" s="17"/>
    </row>
    <row r="359" spans="1:24" x14ac:dyDescent="0.2">
      <c r="A359" s="93"/>
      <c r="F359" s="17"/>
    </row>
    <row r="360" spans="1:24" x14ac:dyDescent="0.2">
      <c r="A360" s="93" t="s">
        <v>4</v>
      </c>
      <c r="F360" s="17"/>
    </row>
    <row r="361" spans="1:24" x14ac:dyDescent="0.2">
      <c r="A361" s="18" t="s">
        <v>120</v>
      </c>
      <c r="B361" s="16" t="s">
        <v>429</v>
      </c>
      <c r="C361" s="90" t="s">
        <v>121</v>
      </c>
      <c r="D361" s="90" t="s">
        <v>28</v>
      </c>
      <c r="F361" s="21">
        <v>16082390</v>
      </c>
      <c r="G361" s="17">
        <f>(VLOOKUP($D361,$C$6:$AJ$991,5,)/VLOOKUP($D361,$C$6:$AJ$991,4,))*$F361</f>
        <v>0</v>
      </c>
      <c r="H361" s="17">
        <f>(VLOOKUP($D361,$C$6:$AJ$991,6,)/VLOOKUP($D361,$C$6:$AJ$991,4,))*$F361</f>
        <v>0</v>
      </c>
      <c r="I361" s="17">
        <f>(VLOOKUP($D361,$C$6:$AJ$991,7,)/VLOOKUP($D361,$C$6:$AJ$991,4,))*$F361</f>
        <v>0</v>
      </c>
      <c r="J361" s="17">
        <f>(VLOOKUP($D361,$C$6:$AJ$991,8,)/VLOOKUP($D361,$C$6:$AJ$991,4,))*$F361</f>
        <v>0</v>
      </c>
      <c r="K361" s="17">
        <f>(VLOOKUP($D361,$C$6:$AJ$991,9,)/VLOOKUP($D361,$C$6:$AJ$991,4,))*$F361</f>
        <v>4681455.0698800003</v>
      </c>
      <c r="L361" s="17">
        <f>(VLOOKUP($D361,$C$6:$AJ$991,10,)/VLOOKUP($D361,$C$6:$AJ$991,4,))*$F361</f>
        <v>11400934.930120001</v>
      </c>
      <c r="M361" s="17">
        <f>(VLOOKUP($D361,$C$6:$AJ$991,11,)/VLOOKUP($D361,$C$6:$AJ$991,4,))*$F361</f>
        <v>0</v>
      </c>
      <c r="N361" s="17">
        <f>(VLOOKUP($D361,$C$6:$AJ$991,12,)/VLOOKUP($D361,$C$6:$AJ$991,4,))*$F361</f>
        <v>0</v>
      </c>
      <c r="O361" s="17">
        <f>(VLOOKUP($D361,$C$6:$AJ$991,13,)/VLOOKUP($D361,$C$6:$AJ$991,4,))*$F361</f>
        <v>0</v>
      </c>
      <c r="P361" s="17">
        <f>(VLOOKUP($D361,$C$6:$AJ$991,14,)/VLOOKUP($D361,$C$6:$AJ$991,4,))*$F361</f>
        <v>0</v>
      </c>
      <c r="Q361" s="17">
        <f>(VLOOKUP($D361,$C$6:$AJ$991,15,)/VLOOKUP($D361,$C$6:$AJ$991,4,))*$F361</f>
        <v>0</v>
      </c>
      <c r="R361" s="17">
        <f>(VLOOKUP($D361,$C$6:$AJ$991,16,)/VLOOKUP($D361,$C$6:$AJ$991,4,))*$F361</f>
        <v>0</v>
      </c>
      <c r="S361" s="17">
        <f>(VLOOKUP($D361,$C$6:$AJ$991,17,)/VLOOKUP($D361,$C$6:$AJ$991,4,))*$F361</f>
        <v>0</v>
      </c>
      <c r="T361" s="17">
        <f>(VLOOKUP($D361,$C$6:$AJ$991,18,)/VLOOKUP($D361,$C$6:$AJ$991,4,))*$F361</f>
        <v>0</v>
      </c>
      <c r="U361" s="17">
        <f>(VLOOKUP($D361,$C$6:$AJ$991,19,)/VLOOKUP($D361,$C$6:$AJ$991,4,))*$F361</f>
        <v>0</v>
      </c>
      <c r="V361" s="17">
        <f>(VLOOKUP($D361,$C$6:$AJ$991,20,)/VLOOKUP($D361,$C$6:$AJ$991,4,))*$F361</f>
        <v>0</v>
      </c>
      <c r="W361" s="17">
        <f>SUM(G361:V361)</f>
        <v>16082390</v>
      </c>
      <c r="X361" s="96" t="str">
        <f>IF(ABS(W361-F361)&lt;1,"ok","err")</f>
        <v>ok</v>
      </c>
    </row>
    <row r="362" spans="1:24" x14ac:dyDescent="0.2">
      <c r="A362" s="93"/>
      <c r="F362" s="17"/>
    </row>
    <row r="363" spans="1:24" x14ac:dyDescent="0.2">
      <c r="A363" s="93" t="s">
        <v>6</v>
      </c>
      <c r="F363" s="17"/>
    </row>
    <row r="364" spans="1:24" x14ac:dyDescent="0.2">
      <c r="A364" s="93" t="s">
        <v>430</v>
      </c>
      <c r="F364" s="17"/>
    </row>
    <row r="365" spans="1:24" x14ac:dyDescent="0.2">
      <c r="A365" s="18">
        <v>870</v>
      </c>
      <c r="B365" s="16" t="s">
        <v>410</v>
      </c>
      <c r="C365" s="90" t="s">
        <v>122</v>
      </c>
      <c r="D365" s="90" t="s">
        <v>637</v>
      </c>
      <c r="F365" s="21">
        <v>0</v>
      </c>
      <c r="G365" s="17">
        <f t="shared" ref="G365:G385" si="203">(VLOOKUP($D365,$C$6:$AJ$991,5,)/VLOOKUP($D365,$C$6:$AJ$991,4,))*$F365</f>
        <v>0</v>
      </c>
      <c r="H365" s="17">
        <f t="shared" ref="H365:H385" si="204">(VLOOKUP($D365,$C$6:$AJ$991,6,)/VLOOKUP($D365,$C$6:$AJ$991,4,))*$F365</f>
        <v>0</v>
      </c>
      <c r="I365" s="17">
        <f t="shared" ref="I365:I385" si="205">(VLOOKUP($D365,$C$6:$AJ$991,7,)/VLOOKUP($D365,$C$6:$AJ$991,4,))*$F365</f>
        <v>0</v>
      </c>
      <c r="J365" s="17">
        <f t="shared" ref="J365:J385" si="206">(VLOOKUP($D365,$C$6:$AJ$991,8,)/VLOOKUP($D365,$C$6:$AJ$991,4,))*$F365</f>
        <v>0</v>
      </c>
      <c r="K365" s="17">
        <f t="shared" ref="K365:K385" si="207">(VLOOKUP($D365,$C$6:$AJ$991,9,)/VLOOKUP($D365,$C$6:$AJ$991,4,))*$F365</f>
        <v>0</v>
      </c>
      <c r="L365" s="17">
        <f t="shared" ref="L365:L385" si="208">(VLOOKUP($D365,$C$6:$AJ$991,10,)/VLOOKUP($D365,$C$6:$AJ$991,4,))*$F365</f>
        <v>0</v>
      </c>
      <c r="M365" s="17">
        <f t="shared" ref="M365:M385" si="209">(VLOOKUP($D365,$C$6:$AJ$991,11,)/VLOOKUP($D365,$C$6:$AJ$991,4,))*$F365</f>
        <v>0</v>
      </c>
      <c r="N365" s="17">
        <f t="shared" ref="N365:N385" si="210">(VLOOKUP($D365,$C$6:$AJ$991,12,)/VLOOKUP($D365,$C$6:$AJ$991,4,))*$F365</f>
        <v>0</v>
      </c>
      <c r="O365" s="17">
        <f t="shared" ref="O365:O385" si="211">(VLOOKUP($D365,$C$6:$AJ$991,13,)/VLOOKUP($D365,$C$6:$AJ$991,4,))*$F365</f>
        <v>0</v>
      </c>
      <c r="P365" s="17">
        <f t="shared" ref="P365:P385" si="212">(VLOOKUP($D365,$C$6:$AJ$991,14,)/VLOOKUP($D365,$C$6:$AJ$991,4,))*$F365</f>
        <v>0</v>
      </c>
      <c r="Q365" s="17">
        <f t="shared" ref="Q365:Q385" si="213">(VLOOKUP($D365,$C$6:$AJ$991,15,)/VLOOKUP($D365,$C$6:$AJ$991,4,))*$F365</f>
        <v>0</v>
      </c>
      <c r="R365" s="17">
        <f t="shared" ref="R365:R385" si="214">(VLOOKUP($D365,$C$6:$AJ$991,16,)/VLOOKUP($D365,$C$6:$AJ$991,4,))*$F365</f>
        <v>0</v>
      </c>
      <c r="S365" s="17">
        <f t="shared" ref="S365:S385" si="215">(VLOOKUP($D365,$C$6:$AJ$991,17,)/VLOOKUP($D365,$C$6:$AJ$991,4,))*$F365</f>
        <v>0</v>
      </c>
      <c r="T365" s="17">
        <f t="shared" ref="T365:T385" si="216">(VLOOKUP($D365,$C$6:$AJ$991,18,)/VLOOKUP($D365,$C$6:$AJ$991,4,))*$F365</f>
        <v>0</v>
      </c>
      <c r="U365" s="17">
        <f t="shared" ref="U365:U385" si="217">(VLOOKUP($D365,$C$6:$AJ$991,19,)/VLOOKUP($D365,$C$6:$AJ$991,4,))*$F365</f>
        <v>0</v>
      </c>
      <c r="V365" s="17">
        <f t="shared" ref="V365:V385" si="218">(VLOOKUP($D365,$C$6:$AJ$991,20,)/VLOOKUP($D365,$C$6:$AJ$991,4,))*$F365</f>
        <v>0</v>
      </c>
      <c r="W365" s="17">
        <f>SUM(G365:V365)</f>
        <v>0</v>
      </c>
      <c r="X365" s="96" t="str">
        <f>IF(ABS(W365-F365)&lt;1,"ok","err")</f>
        <v>ok</v>
      </c>
    </row>
    <row r="366" spans="1:24" x14ac:dyDescent="0.2">
      <c r="A366" s="18">
        <v>871</v>
      </c>
      <c r="B366" s="16" t="s">
        <v>411</v>
      </c>
      <c r="C366" s="90" t="s">
        <v>123</v>
      </c>
      <c r="D366" s="90" t="s">
        <v>35</v>
      </c>
      <c r="F366" s="17">
        <v>912658</v>
      </c>
      <c r="G366" s="17">
        <f t="shared" si="203"/>
        <v>0</v>
      </c>
      <c r="H366" s="17">
        <f t="shared" si="204"/>
        <v>0</v>
      </c>
      <c r="I366" s="17">
        <f t="shared" si="205"/>
        <v>0</v>
      </c>
      <c r="J366" s="17">
        <f t="shared" si="206"/>
        <v>0</v>
      </c>
      <c r="K366" s="17">
        <f t="shared" si="207"/>
        <v>0</v>
      </c>
      <c r="L366" s="17">
        <f t="shared" si="208"/>
        <v>0</v>
      </c>
      <c r="M366" s="17">
        <f t="shared" si="209"/>
        <v>912658</v>
      </c>
      <c r="N366" s="17">
        <f t="shared" si="210"/>
        <v>0</v>
      </c>
      <c r="O366" s="17">
        <f t="shared" si="211"/>
        <v>0</v>
      </c>
      <c r="P366" s="17">
        <f t="shared" si="212"/>
        <v>0</v>
      </c>
      <c r="Q366" s="17">
        <f t="shared" si="213"/>
        <v>0</v>
      </c>
      <c r="R366" s="17">
        <f t="shared" si="214"/>
        <v>0</v>
      </c>
      <c r="S366" s="17">
        <f t="shared" si="215"/>
        <v>0</v>
      </c>
      <c r="T366" s="17">
        <f t="shared" si="216"/>
        <v>0</v>
      </c>
      <c r="U366" s="17">
        <f t="shared" si="217"/>
        <v>0</v>
      </c>
      <c r="V366" s="17">
        <f t="shared" si="218"/>
        <v>0</v>
      </c>
      <c r="W366" s="17">
        <f t="shared" ref="W366:W385" si="219">SUM(G366:V366)</f>
        <v>912658</v>
      </c>
      <c r="X366" s="96" t="str">
        <f t="shared" ref="X366:X387" si="220">IF(ABS(W366-F366)&lt;1,"ok","err")</f>
        <v>ok</v>
      </c>
    </row>
    <row r="367" spans="1:24" x14ac:dyDescent="0.2">
      <c r="A367" s="18">
        <v>872</v>
      </c>
      <c r="B367" s="16" t="s">
        <v>413</v>
      </c>
      <c r="C367" s="90" t="s">
        <v>559</v>
      </c>
      <c r="D367" s="90" t="s">
        <v>35</v>
      </c>
      <c r="F367" s="17">
        <v>0</v>
      </c>
      <c r="G367" s="17">
        <f t="shared" si="203"/>
        <v>0</v>
      </c>
      <c r="H367" s="17">
        <f t="shared" si="204"/>
        <v>0</v>
      </c>
      <c r="I367" s="17">
        <f t="shared" si="205"/>
        <v>0</v>
      </c>
      <c r="J367" s="17">
        <f t="shared" si="206"/>
        <v>0</v>
      </c>
      <c r="K367" s="17">
        <f t="shared" si="207"/>
        <v>0</v>
      </c>
      <c r="L367" s="17">
        <f t="shared" si="208"/>
        <v>0</v>
      </c>
      <c r="M367" s="17">
        <f t="shared" si="209"/>
        <v>0</v>
      </c>
      <c r="N367" s="17">
        <f t="shared" si="210"/>
        <v>0</v>
      </c>
      <c r="O367" s="17">
        <f t="shared" si="211"/>
        <v>0</v>
      </c>
      <c r="P367" s="17">
        <f t="shared" si="212"/>
        <v>0</v>
      </c>
      <c r="Q367" s="17">
        <f t="shared" si="213"/>
        <v>0</v>
      </c>
      <c r="R367" s="17">
        <f t="shared" si="214"/>
        <v>0</v>
      </c>
      <c r="S367" s="17">
        <f t="shared" si="215"/>
        <v>0</v>
      </c>
      <c r="T367" s="17">
        <f t="shared" si="216"/>
        <v>0</v>
      </c>
      <c r="U367" s="17">
        <f t="shared" si="217"/>
        <v>0</v>
      </c>
      <c r="V367" s="17">
        <f t="shared" si="218"/>
        <v>0</v>
      </c>
      <c r="W367" s="17">
        <f t="shared" si="219"/>
        <v>0</v>
      </c>
      <c r="X367" s="96" t="str">
        <f t="shared" si="220"/>
        <v>ok</v>
      </c>
    </row>
    <row r="368" spans="1:24" x14ac:dyDescent="0.2">
      <c r="A368" s="18">
        <v>873</v>
      </c>
      <c r="B368" s="16" t="s">
        <v>412</v>
      </c>
      <c r="C368" s="90" t="s">
        <v>560</v>
      </c>
      <c r="D368" s="90" t="s">
        <v>35</v>
      </c>
      <c r="F368" s="17">
        <v>0</v>
      </c>
      <c r="G368" s="17">
        <f t="shared" si="203"/>
        <v>0</v>
      </c>
      <c r="H368" s="17">
        <f t="shared" si="204"/>
        <v>0</v>
      </c>
      <c r="I368" s="17">
        <f t="shared" si="205"/>
        <v>0</v>
      </c>
      <c r="J368" s="17">
        <f t="shared" si="206"/>
        <v>0</v>
      </c>
      <c r="K368" s="17">
        <f t="shared" si="207"/>
        <v>0</v>
      </c>
      <c r="L368" s="17">
        <f t="shared" si="208"/>
        <v>0</v>
      </c>
      <c r="M368" s="17">
        <f t="shared" si="209"/>
        <v>0</v>
      </c>
      <c r="N368" s="17">
        <f t="shared" si="210"/>
        <v>0</v>
      </c>
      <c r="O368" s="17">
        <f t="shared" si="211"/>
        <v>0</v>
      </c>
      <c r="P368" s="17">
        <f t="shared" si="212"/>
        <v>0</v>
      </c>
      <c r="Q368" s="17">
        <f t="shared" si="213"/>
        <v>0</v>
      </c>
      <c r="R368" s="17">
        <f t="shared" si="214"/>
        <v>0</v>
      </c>
      <c r="S368" s="17">
        <f t="shared" si="215"/>
        <v>0</v>
      </c>
      <c r="T368" s="17">
        <f t="shared" si="216"/>
        <v>0</v>
      </c>
      <c r="U368" s="17">
        <f t="shared" si="217"/>
        <v>0</v>
      </c>
      <c r="V368" s="17">
        <f t="shared" si="218"/>
        <v>0</v>
      </c>
      <c r="W368" s="17">
        <f t="shared" si="219"/>
        <v>0</v>
      </c>
      <c r="X368" s="96" t="str">
        <f t="shared" si="220"/>
        <v>ok</v>
      </c>
    </row>
    <row r="369" spans="1:24" x14ac:dyDescent="0.2">
      <c r="A369" s="18">
        <v>874.01</v>
      </c>
      <c r="B369" s="16" t="s">
        <v>414</v>
      </c>
      <c r="C369" s="90" t="s">
        <v>561</v>
      </c>
      <c r="D369" s="90" t="s">
        <v>634</v>
      </c>
      <c r="F369" s="17">
        <v>5470693.9999999991</v>
      </c>
      <c r="G369" s="17">
        <f t="shared" si="203"/>
        <v>0</v>
      </c>
      <c r="H369" s="17">
        <f t="shared" si="204"/>
        <v>0</v>
      </c>
      <c r="I369" s="17">
        <f t="shared" si="205"/>
        <v>0</v>
      </c>
      <c r="J369" s="17">
        <f t="shared" si="206"/>
        <v>0</v>
      </c>
      <c r="K369" s="17">
        <f t="shared" si="207"/>
        <v>0</v>
      </c>
      <c r="L369" s="17">
        <f t="shared" si="208"/>
        <v>0</v>
      </c>
      <c r="M369" s="17">
        <f t="shared" si="209"/>
        <v>0</v>
      </c>
      <c r="N369" s="17">
        <f t="shared" si="210"/>
        <v>0</v>
      </c>
      <c r="O369" s="17">
        <f t="shared" si="211"/>
        <v>878867.07680872967</v>
      </c>
      <c r="P369" s="17">
        <f t="shared" si="212"/>
        <v>1731596.3059502922</v>
      </c>
      <c r="Q369" s="17">
        <f t="shared" si="213"/>
        <v>150213.19968722321</v>
      </c>
      <c r="R369" s="17">
        <f t="shared" si="214"/>
        <v>127483.38077665896</v>
      </c>
      <c r="S369" s="17">
        <f t="shared" si="215"/>
        <v>2582534.0367770959</v>
      </c>
      <c r="T369" s="17">
        <f t="shared" si="216"/>
        <v>0</v>
      </c>
      <c r="U369" s="17">
        <f t="shared" si="217"/>
        <v>0</v>
      </c>
      <c r="V369" s="17">
        <f t="shared" si="218"/>
        <v>0</v>
      </c>
      <c r="W369" s="17">
        <f t="shared" si="219"/>
        <v>5470694</v>
      </c>
      <c r="X369" s="96" t="str">
        <f t="shared" si="220"/>
        <v>ok</v>
      </c>
    </row>
    <row r="370" spans="1:24" x14ac:dyDescent="0.2">
      <c r="A370" s="18">
        <v>874.02</v>
      </c>
      <c r="B370" s="16" t="s">
        <v>415</v>
      </c>
      <c r="C370" s="90" t="s">
        <v>562</v>
      </c>
      <c r="D370" s="90" t="s">
        <v>40</v>
      </c>
      <c r="F370" s="17">
        <v>0</v>
      </c>
      <c r="G370" s="17">
        <f t="shared" si="203"/>
        <v>0</v>
      </c>
      <c r="H370" s="17">
        <f t="shared" si="204"/>
        <v>0</v>
      </c>
      <c r="I370" s="17">
        <f t="shared" si="205"/>
        <v>0</v>
      </c>
      <c r="J370" s="17">
        <f t="shared" si="206"/>
        <v>0</v>
      </c>
      <c r="K370" s="17">
        <f t="shared" si="207"/>
        <v>0</v>
      </c>
      <c r="L370" s="17">
        <f t="shared" si="208"/>
        <v>0</v>
      </c>
      <c r="M370" s="17">
        <f t="shared" si="209"/>
        <v>0</v>
      </c>
      <c r="N370" s="17">
        <f t="shared" si="210"/>
        <v>0</v>
      </c>
      <c r="O370" s="17">
        <f t="shared" si="211"/>
        <v>0</v>
      </c>
      <c r="P370" s="17">
        <f t="shared" si="212"/>
        <v>0</v>
      </c>
      <c r="Q370" s="17">
        <f t="shared" si="213"/>
        <v>0</v>
      </c>
      <c r="R370" s="17">
        <f t="shared" si="214"/>
        <v>0</v>
      </c>
      <c r="S370" s="17">
        <f t="shared" si="215"/>
        <v>0</v>
      </c>
      <c r="T370" s="17">
        <f t="shared" si="216"/>
        <v>0</v>
      </c>
      <c r="U370" s="17">
        <f t="shared" si="217"/>
        <v>0</v>
      </c>
      <c r="V370" s="17">
        <f t="shared" si="218"/>
        <v>0</v>
      </c>
      <c r="W370" s="17">
        <f t="shared" si="219"/>
        <v>0</v>
      </c>
      <c r="X370" s="96" t="str">
        <f t="shared" si="220"/>
        <v>ok</v>
      </c>
    </row>
    <row r="371" spans="1:24" x14ac:dyDescent="0.2">
      <c r="A371" s="18">
        <v>874.03</v>
      </c>
      <c r="B371" s="16" t="s">
        <v>416</v>
      </c>
      <c r="C371" s="90" t="s">
        <v>563</v>
      </c>
      <c r="D371" s="90" t="s">
        <v>42</v>
      </c>
      <c r="F371" s="17">
        <v>0</v>
      </c>
      <c r="G371" s="17">
        <f t="shared" si="203"/>
        <v>0</v>
      </c>
      <c r="H371" s="17">
        <f t="shared" si="204"/>
        <v>0</v>
      </c>
      <c r="I371" s="17">
        <f t="shared" si="205"/>
        <v>0</v>
      </c>
      <c r="J371" s="17">
        <f t="shared" si="206"/>
        <v>0</v>
      </c>
      <c r="K371" s="17">
        <f t="shared" si="207"/>
        <v>0</v>
      </c>
      <c r="L371" s="17">
        <f t="shared" si="208"/>
        <v>0</v>
      </c>
      <c r="M371" s="17">
        <f t="shared" si="209"/>
        <v>0</v>
      </c>
      <c r="N371" s="17">
        <f t="shared" si="210"/>
        <v>0</v>
      </c>
      <c r="O371" s="17">
        <f t="shared" si="211"/>
        <v>0</v>
      </c>
      <c r="P371" s="17">
        <f t="shared" si="212"/>
        <v>0</v>
      </c>
      <c r="Q371" s="17">
        <f t="shared" si="213"/>
        <v>0</v>
      </c>
      <c r="R371" s="17">
        <f t="shared" si="214"/>
        <v>0</v>
      </c>
      <c r="S371" s="17">
        <f t="shared" si="215"/>
        <v>0</v>
      </c>
      <c r="T371" s="17">
        <f t="shared" si="216"/>
        <v>0</v>
      </c>
      <c r="U371" s="17">
        <f t="shared" si="217"/>
        <v>0</v>
      </c>
      <c r="V371" s="17">
        <f t="shared" si="218"/>
        <v>0</v>
      </c>
      <c r="W371" s="17">
        <f t="shared" si="219"/>
        <v>0</v>
      </c>
      <c r="X371" s="96" t="str">
        <f t="shared" si="220"/>
        <v>ok</v>
      </c>
    </row>
    <row r="372" spans="1:24" x14ac:dyDescent="0.2">
      <c r="A372" s="18">
        <v>874.04</v>
      </c>
      <c r="B372" s="16" t="s">
        <v>417</v>
      </c>
      <c r="C372" s="90" t="s">
        <v>564</v>
      </c>
      <c r="D372" s="90" t="s">
        <v>634</v>
      </c>
      <c r="F372" s="17">
        <v>0</v>
      </c>
      <c r="G372" s="17">
        <f t="shared" si="203"/>
        <v>0</v>
      </c>
      <c r="H372" s="17">
        <f t="shared" si="204"/>
        <v>0</v>
      </c>
      <c r="I372" s="17">
        <f t="shared" si="205"/>
        <v>0</v>
      </c>
      <c r="J372" s="17">
        <f t="shared" si="206"/>
        <v>0</v>
      </c>
      <c r="K372" s="17">
        <f t="shared" si="207"/>
        <v>0</v>
      </c>
      <c r="L372" s="17">
        <f t="shared" si="208"/>
        <v>0</v>
      </c>
      <c r="M372" s="17">
        <f t="shared" si="209"/>
        <v>0</v>
      </c>
      <c r="N372" s="17">
        <f t="shared" si="210"/>
        <v>0</v>
      </c>
      <c r="O372" s="17">
        <f t="shared" si="211"/>
        <v>0</v>
      </c>
      <c r="P372" s="17">
        <f t="shared" si="212"/>
        <v>0</v>
      </c>
      <c r="Q372" s="17">
        <f t="shared" si="213"/>
        <v>0</v>
      </c>
      <c r="R372" s="17">
        <f t="shared" si="214"/>
        <v>0</v>
      </c>
      <c r="S372" s="17">
        <f t="shared" si="215"/>
        <v>0</v>
      </c>
      <c r="T372" s="17">
        <f t="shared" si="216"/>
        <v>0</v>
      </c>
      <c r="U372" s="17">
        <f t="shared" si="217"/>
        <v>0</v>
      </c>
      <c r="V372" s="17">
        <f t="shared" si="218"/>
        <v>0</v>
      </c>
      <c r="W372" s="17">
        <f t="shared" si="219"/>
        <v>0</v>
      </c>
      <c r="X372" s="96" t="str">
        <f t="shared" si="220"/>
        <v>ok</v>
      </c>
    </row>
    <row r="373" spans="1:24" x14ac:dyDescent="0.2">
      <c r="A373" s="18">
        <v>874.05</v>
      </c>
      <c r="B373" s="16" t="s">
        <v>418</v>
      </c>
      <c r="C373" s="90" t="s">
        <v>565</v>
      </c>
      <c r="D373" s="90" t="s">
        <v>42</v>
      </c>
      <c r="F373" s="17">
        <v>0</v>
      </c>
      <c r="G373" s="17">
        <f t="shared" si="203"/>
        <v>0</v>
      </c>
      <c r="H373" s="17">
        <f t="shared" si="204"/>
        <v>0</v>
      </c>
      <c r="I373" s="17">
        <f t="shared" si="205"/>
        <v>0</v>
      </c>
      <c r="J373" s="17">
        <f t="shared" si="206"/>
        <v>0</v>
      </c>
      <c r="K373" s="17">
        <f t="shared" si="207"/>
        <v>0</v>
      </c>
      <c r="L373" s="17">
        <f t="shared" si="208"/>
        <v>0</v>
      </c>
      <c r="M373" s="17">
        <f t="shared" si="209"/>
        <v>0</v>
      </c>
      <c r="N373" s="17">
        <f t="shared" si="210"/>
        <v>0</v>
      </c>
      <c r="O373" s="17">
        <f t="shared" si="211"/>
        <v>0</v>
      </c>
      <c r="P373" s="17">
        <f t="shared" si="212"/>
        <v>0</v>
      </c>
      <c r="Q373" s="17">
        <f t="shared" si="213"/>
        <v>0</v>
      </c>
      <c r="R373" s="17">
        <f t="shared" si="214"/>
        <v>0</v>
      </c>
      <c r="S373" s="17">
        <f t="shared" si="215"/>
        <v>0</v>
      </c>
      <c r="T373" s="17">
        <f t="shared" si="216"/>
        <v>0</v>
      </c>
      <c r="U373" s="17">
        <f t="shared" si="217"/>
        <v>0</v>
      </c>
      <c r="V373" s="17">
        <f t="shared" si="218"/>
        <v>0</v>
      </c>
      <c r="W373" s="17">
        <f t="shared" si="219"/>
        <v>0</v>
      </c>
      <c r="X373" s="96" t="str">
        <f t="shared" si="220"/>
        <v>ok</v>
      </c>
    </row>
    <row r="374" spans="1:24" x14ac:dyDescent="0.2">
      <c r="A374" s="18">
        <v>874.06</v>
      </c>
      <c r="B374" s="16" t="s">
        <v>419</v>
      </c>
      <c r="C374" s="90" t="s">
        <v>566</v>
      </c>
      <c r="D374" s="90" t="s">
        <v>40</v>
      </c>
      <c r="F374" s="17">
        <v>0</v>
      </c>
      <c r="G374" s="17">
        <f t="shared" si="203"/>
        <v>0</v>
      </c>
      <c r="H374" s="17">
        <f t="shared" si="204"/>
        <v>0</v>
      </c>
      <c r="I374" s="17">
        <f t="shared" si="205"/>
        <v>0</v>
      </c>
      <c r="J374" s="17">
        <f t="shared" si="206"/>
        <v>0</v>
      </c>
      <c r="K374" s="17">
        <f t="shared" si="207"/>
        <v>0</v>
      </c>
      <c r="L374" s="17">
        <f t="shared" si="208"/>
        <v>0</v>
      </c>
      <c r="M374" s="17">
        <f t="shared" si="209"/>
        <v>0</v>
      </c>
      <c r="N374" s="17">
        <f t="shared" si="210"/>
        <v>0</v>
      </c>
      <c r="O374" s="17">
        <f t="shared" si="211"/>
        <v>0</v>
      </c>
      <c r="P374" s="17">
        <f t="shared" si="212"/>
        <v>0</v>
      </c>
      <c r="Q374" s="17">
        <f t="shared" si="213"/>
        <v>0</v>
      </c>
      <c r="R374" s="17">
        <f t="shared" si="214"/>
        <v>0</v>
      </c>
      <c r="S374" s="17">
        <f t="shared" si="215"/>
        <v>0</v>
      </c>
      <c r="T374" s="17">
        <f t="shared" si="216"/>
        <v>0</v>
      </c>
      <c r="U374" s="17">
        <f t="shared" si="217"/>
        <v>0</v>
      </c>
      <c r="V374" s="17">
        <f t="shared" si="218"/>
        <v>0</v>
      </c>
      <c r="W374" s="17">
        <f t="shared" si="219"/>
        <v>0</v>
      </c>
      <c r="X374" s="96" t="str">
        <f t="shared" si="220"/>
        <v>ok</v>
      </c>
    </row>
    <row r="375" spans="1:24" x14ac:dyDescent="0.2">
      <c r="A375" s="18">
        <v>874.07</v>
      </c>
      <c r="B375" s="16" t="s">
        <v>420</v>
      </c>
      <c r="C375" s="90" t="s">
        <v>567</v>
      </c>
      <c r="D375" s="90" t="s">
        <v>40</v>
      </c>
      <c r="F375" s="17">
        <v>0</v>
      </c>
      <c r="G375" s="17">
        <f t="shared" si="203"/>
        <v>0</v>
      </c>
      <c r="H375" s="17">
        <f t="shared" si="204"/>
        <v>0</v>
      </c>
      <c r="I375" s="17">
        <f t="shared" si="205"/>
        <v>0</v>
      </c>
      <c r="J375" s="17">
        <f t="shared" si="206"/>
        <v>0</v>
      </c>
      <c r="K375" s="17">
        <f t="shared" si="207"/>
        <v>0</v>
      </c>
      <c r="L375" s="17">
        <f t="shared" si="208"/>
        <v>0</v>
      </c>
      <c r="M375" s="17">
        <f t="shared" si="209"/>
        <v>0</v>
      </c>
      <c r="N375" s="17">
        <f t="shared" si="210"/>
        <v>0</v>
      </c>
      <c r="O375" s="17">
        <f t="shared" si="211"/>
        <v>0</v>
      </c>
      <c r="P375" s="17">
        <f t="shared" si="212"/>
        <v>0</v>
      </c>
      <c r="Q375" s="17">
        <f t="shared" si="213"/>
        <v>0</v>
      </c>
      <c r="R375" s="17">
        <f t="shared" si="214"/>
        <v>0</v>
      </c>
      <c r="S375" s="17">
        <f t="shared" si="215"/>
        <v>0</v>
      </c>
      <c r="T375" s="17">
        <f t="shared" si="216"/>
        <v>0</v>
      </c>
      <c r="U375" s="17">
        <f t="shared" si="217"/>
        <v>0</v>
      </c>
      <c r="V375" s="17">
        <f t="shared" si="218"/>
        <v>0</v>
      </c>
      <c r="W375" s="17">
        <f t="shared" si="219"/>
        <v>0</v>
      </c>
      <c r="X375" s="96" t="str">
        <f t="shared" si="220"/>
        <v>ok</v>
      </c>
    </row>
    <row r="376" spans="1:24" x14ac:dyDescent="0.2">
      <c r="A376" s="18">
        <v>874.08</v>
      </c>
      <c r="B376" s="16" t="s">
        <v>421</v>
      </c>
      <c r="C376" s="90" t="s">
        <v>568</v>
      </c>
      <c r="D376" s="90" t="s">
        <v>35</v>
      </c>
      <c r="F376" s="17">
        <v>0</v>
      </c>
      <c r="G376" s="17">
        <f t="shared" si="203"/>
        <v>0</v>
      </c>
      <c r="H376" s="17">
        <f t="shared" si="204"/>
        <v>0</v>
      </c>
      <c r="I376" s="17">
        <f t="shared" si="205"/>
        <v>0</v>
      </c>
      <c r="J376" s="17">
        <f t="shared" si="206"/>
        <v>0</v>
      </c>
      <c r="K376" s="17">
        <f t="shared" si="207"/>
        <v>0</v>
      </c>
      <c r="L376" s="17">
        <f t="shared" si="208"/>
        <v>0</v>
      </c>
      <c r="M376" s="17">
        <f t="shared" si="209"/>
        <v>0</v>
      </c>
      <c r="N376" s="17">
        <f t="shared" si="210"/>
        <v>0</v>
      </c>
      <c r="O376" s="17">
        <f t="shared" si="211"/>
        <v>0</v>
      </c>
      <c r="P376" s="17">
        <f t="shared" si="212"/>
        <v>0</v>
      </c>
      <c r="Q376" s="17">
        <f t="shared" si="213"/>
        <v>0</v>
      </c>
      <c r="R376" s="17">
        <f t="shared" si="214"/>
        <v>0</v>
      </c>
      <c r="S376" s="17">
        <f t="shared" si="215"/>
        <v>0</v>
      </c>
      <c r="T376" s="17">
        <f t="shared" si="216"/>
        <v>0</v>
      </c>
      <c r="U376" s="17">
        <f t="shared" si="217"/>
        <v>0</v>
      </c>
      <c r="V376" s="17">
        <f t="shared" si="218"/>
        <v>0</v>
      </c>
      <c r="W376" s="17">
        <f t="shared" si="219"/>
        <v>0</v>
      </c>
      <c r="X376" s="96" t="str">
        <f t="shared" si="220"/>
        <v>ok</v>
      </c>
    </row>
    <row r="377" spans="1:24" x14ac:dyDescent="0.2">
      <c r="A377" s="18">
        <v>874.09</v>
      </c>
      <c r="B377" s="16" t="s">
        <v>422</v>
      </c>
      <c r="C377" s="90" t="s">
        <v>569</v>
      </c>
      <c r="D377" s="90" t="s">
        <v>40</v>
      </c>
      <c r="F377" s="17">
        <v>0</v>
      </c>
      <c r="G377" s="17">
        <f t="shared" si="203"/>
        <v>0</v>
      </c>
      <c r="H377" s="17">
        <f t="shared" si="204"/>
        <v>0</v>
      </c>
      <c r="I377" s="17">
        <f t="shared" si="205"/>
        <v>0</v>
      </c>
      <c r="J377" s="17">
        <f t="shared" si="206"/>
        <v>0</v>
      </c>
      <c r="K377" s="17">
        <f t="shared" si="207"/>
        <v>0</v>
      </c>
      <c r="L377" s="17">
        <f t="shared" si="208"/>
        <v>0</v>
      </c>
      <c r="M377" s="17">
        <f t="shared" si="209"/>
        <v>0</v>
      </c>
      <c r="N377" s="17">
        <f t="shared" si="210"/>
        <v>0</v>
      </c>
      <c r="O377" s="17">
        <f t="shared" si="211"/>
        <v>0</v>
      </c>
      <c r="P377" s="17">
        <f t="shared" si="212"/>
        <v>0</v>
      </c>
      <c r="Q377" s="17">
        <f t="shared" si="213"/>
        <v>0</v>
      </c>
      <c r="R377" s="17">
        <f t="shared" si="214"/>
        <v>0</v>
      </c>
      <c r="S377" s="17">
        <f t="shared" si="215"/>
        <v>0</v>
      </c>
      <c r="T377" s="17">
        <f t="shared" si="216"/>
        <v>0</v>
      </c>
      <c r="U377" s="17">
        <f t="shared" si="217"/>
        <v>0</v>
      </c>
      <c r="V377" s="17">
        <f t="shared" si="218"/>
        <v>0</v>
      </c>
      <c r="W377" s="17">
        <f t="shared" si="219"/>
        <v>0</v>
      </c>
      <c r="X377" s="96" t="str">
        <f t="shared" si="220"/>
        <v>ok</v>
      </c>
    </row>
    <row r="378" spans="1:24" x14ac:dyDescent="0.2">
      <c r="A378" s="18">
        <v>874.1</v>
      </c>
      <c r="B378" s="16" t="s">
        <v>423</v>
      </c>
      <c r="C378" s="90" t="s">
        <v>570</v>
      </c>
      <c r="D378" s="90" t="s">
        <v>40</v>
      </c>
      <c r="F378" s="17">
        <v>0</v>
      </c>
      <c r="G378" s="17">
        <f t="shared" si="203"/>
        <v>0</v>
      </c>
      <c r="H378" s="17">
        <f t="shared" si="204"/>
        <v>0</v>
      </c>
      <c r="I378" s="17">
        <f t="shared" si="205"/>
        <v>0</v>
      </c>
      <c r="J378" s="17">
        <f t="shared" si="206"/>
        <v>0</v>
      </c>
      <c r="K378" s="17">
        <f t="shared" si="207"/>
        <v>0</v>
      </c>
      <c r="L378" s="17">
        <f t="shared" si="208"/>
        <v>0</v>
      </c>
      <c r="M378" s="17">
        <f t="shared" si="209"/>
        <v>0</v>
      </c>
      <c r="N378" s="17">
        <f t="shared" si="210"/>
        <v>0</v>
      </c>
      <c r="O378" s="17">
        <f t="shared" si="211"/>
        <v>0</v>
      </c>
      <c r="P378" s="17">
        <f t="shared" si="212"/>
        <v>0</v>
      </c>
      <c r="Q378" s="17">
        <f t="shared" si="213"/>
        <v>0</v>
      </c>
      <c r="R378" s="17">
        <f t="shared" si="214"/>
        <v>0</v>
      </c>
      <c r="S378" s="17">
        <f t="shared" si="215"/>
        <v>0</v>
      </c>
      <c r="T378" s="17">
        <f t="shared" si="216"/>
        <v>0</v>
      </c>
      <c r="U378" s="17">
        <f t="shared" si="217"/>
        <v>0</v>
      </c>
      <c r="V378" s="17">
        <f t="shared" si="218"/>
        <v>0</v>
      </c>
      <c r="W378" s="17">
        <f t="shared" si="219"/>
        <v>0</v>
      </c>
      <c r="X378" s="96" t="str">
        <f t="shared" si="220"/>
        <v>ok</v>
      </c>
    </row>
    <row r="379" spans="1:24" x14ac:dyDescent="0.2">
      <c r="A379" s="18">
        <v>875</v>
      </c>
      <c r="B379" s="16" t="s">
        <v>424</v>
      </c>
      <c r="C379" s="90" t="s">
        <v>571</v>
      </c>
      <c r="D379" s="90" t="s">
        <v>38</v>
      </c>
      <c r="F379" s="17">
        <v>1320894</v>
      </c>
      <c r="G379" s="17">
        <f t="shared" si="203"/>
        <v>0</v>
      </c>
      <c r="H379" s="17">
        <f t="shared" si="204"/>
        <v>0</v>
      </c>
      <c r="I379" s="17">
        <f t="shared" si="205"/>
        <v>0</v>
      </c>
      <c r="J379" s="17">
        <f t="shared" si="206"/>
        <v>0</v>
      </c>
      <c r="K379" s="17">
        <f t="shared" si="207"/>
        <v>0</v>
      </c>
      <c r="L379" s="17">
        <f t="shared" si="208"/>
        <v>0</v>
      </c>
      <c r="M379" s="17">
        <f t="shared" si="209"/>
        <v>0</v>
      </c>
      <c r="N379" s="17">
        <f t="shared" si="210"/>
        <v>1320894</v>
      </c>
      <c r="O379" s="17">
        <f t="shared" si="211"/>
        <v>0</v>
      </c>
      <c r="P379" s="17">
        <f t="shared" si="212"/>
        <v>0</v>
      </c>
      <c r="Q379" s="17">
        <f t="shared" si="213"/>
        <v>0</v>
      </c>
      <c r="R379" s="17">
        <f t="shared" si="214"/>
        <v>0</v>
      </c>
      <c r="S379" s="17">
        <f t="shared" si="215"/>
        <v>0</v>
      </c>
      <c r="T379" s="17">
        <f t="shared" si="216"/>
        <v>0</v>
      </c>
      <c r="U379" s="17">
        <f t="shared" si="217"/>
        <v>0</v>
      </c>
      <c r="V379" s="17">
        <f t="shared" si="218"/>
        <v>0</v>
      </c>
      <c r="W379" s="17">
        <f t="shared" si="219"/>
        <v>1320894</v>
      </c>
      <c r="X379" s="96" t="str">
        <f t="shared" si="220"/>
        <v>ok</v>
      </c>
    </row>
    <row r="380" spans="1:24" x14ac:dyDescent="0.2">
      <c r="A380" s="18">
        <v>876</v>
      </c>
      <c r="B380" s="16" t="s">
        <v>425</v>
      </c>
      <c r="C380" s="90" t="s">
        <v>572</v>
      </c>
      <c r="D380" s="90" t="s">
        <v>45</v>
      </c>
      <c r="F380" s="17">
        <v>512841</v>
      </c>
      <c r="G380" s="17">
        <f t="shared" si="203"/>
        <v>0</v>
      </c>
      <c r="H380" s="17">
        <f t="shared" si="204"/>
        <v>0</v>
      </c>
      <c r="I380" s="17">
        <f t="shared" si="205"/>
        <v>0</v>
      </c>
      <c r="J380" s="17">
        <f t="shared" si="206"/>
        <v>0</v>
      </c>
      <c r="K380" s="17">
        <f t="shared" si="207"/>
        <v>0</v>
      </c>
      <c r="L380" s="17">
        <f t="shared" si="208"/>
        <v>0</v>
      </c>
      <c r="M380" s="17">
        <f t="shared" si="209"/>
        <v>0</v>
      </c>
      <c r="N380" s="17">
        <f t="shared" si="210"/>
        <v>0</v>
      </c>
      <c r="O380" s="17">
        <f t="shared" si="211"/>
        <v>0</v>
      </c>
      <c r="P380" s="17">
        <f t="shared" si="212"/>
        <v>0</v>
      </c>
      <c r="Q380" s="17">
        <f t="shared" si="213"/>
        <v>0</v>
      </c>
      <c r="R380" s="17">
        <f t="shared" si="214"/>
        <v>0</v>
      </c>
      <c r="S380" s="17">
        <f t="shared" si="215"/>
        <v>0</v>
      </c>
      <c r="T380" s="17">
        <f t="shared" si="216"/>
        <v>512841</v>
      </c>
      <c r="U380" s="17">
        <f t="shared" si="217"/>
        <v>0</v>
      </c>
      <c r="V380" s="17">
        <f t="shared" si="218"/>
        <v>0</v>
      </c>
      <c r="W380" s="17">
        <f t="shared" si="219"/>
        <v>512841</v>
      </c>
      <c r="X380" s="96" t="str">
        <f t="shared" si="220"/>
        <v>ok</v>
      </c>
    </row>
    <row r="381" spans="1:24" x14ac:dyDescent="0.2">
      <c r="A381" s="18">
        <v>877</v>
      </c>
      <c r="B381" s="16" t="s">
        <v>426</v>
      </c>
      <c r="C381" s="90" t="s">
        <v>573</v>
      </c>
      <c r="D381" s="90" t="s">
        <v>38</v>
      </c>
      <c r="F381" s="17">
        <v>199059.00000000003</v>
      </c>
      <c r="G381" s="17">
        <f t="shared" si="203"/>
        <v>0</v>
      </c>
      <c r="H381" s="17">
        <f t="shared" si="204"/>
        <v>0</v>
      </c>
      <c r="I381" s="17">
        <f t="shared" si="205"/>
        <v>0</v>
      </c>
      <c r="J381" s="17">
        <f t="shared" si="206"/>
        <v>0</v>
      </c>
      <c r="K381" s="17">
        <f t="shared" si="207"/>
        <v>0</v>
      </c>
      <c r="L381" s="17">
        <f t="shared" si="208"/>
        <v>0</v>
      </c>
      <c r="M381" s="17">
        <f t="shared" si="209"/>
        <v>0</v>
      </c>
      <c r="N381" s="17">
        <f t="shared" si="210"/>
        <v>199059.00000000003</v>
      </c>
      <c r="O381" s="17">
        <f t="shared" si="211"/>
        <v>0</v>
      </c>
      <c r="P381" s="17">
        <f t="shared" si="212"/>
        <v>0</v>
      </c>
      <c r="Q381" s="17">
        <f t="shared" si="213"/>
        <v>0</v>
      </c>
      <c r="R381" s="17">
        <f t="shared" si="214"/>
        <v>0</v>
      </c>
      <c r="S381" s="17">
        <f t="shared" si="215"/>
        <v>0</v>
      </c>
      <c r="T381" s="17">
        <f t="shared" si="216"/>
        <v>0</v>
      </c>
      <c r="U381" s="17">
        <f t="shared" si="217"/>
        <v>0</v>
      </c>
      <c r="V381" s="17">
        <f t="shared" si="218"/>
        <v>0</v>
      </c>
      <c r="W381" s="17">
        <f t="shared" si="219"/>
        <v>199059.00000000003</v>
      </c>
      <c r="X381" s="96" t="str">
        <f t="shared" si="220"/>
        <v>ok</v>
      </c>
    </row>
    <row r="382" spans="1:24" x14ac:dyDescent="0.2">
      <c r="A382" s="18">
        <v>878</v>
      </c>
      <c r="B382" s="16" t="s">
        <v>427</v>
      </c>
      <c r="C382" s="90" t="s">
        <v>574</v>
      </c>
      <c r="D382" s="90" t="s">
        <v>45</v>
      </c>
      <c r="F382" s="17">
        <v>2193210</v>
      </c>
      <c r="G382" s="17">
        <f t="shared" si="203"/>
        <v>0</v>
      </c>
      <c r="H382" s="17">
        <f t="shared" si="204"/>
        <v>0</v>
      </c>
      <c r="I382" s="17">
        <f t="shared" si="205"/>
        <v>0</v>
      </c>
      <c r="J382" s="17">
        <f t="shared" si="206"/>
        <v>0</v>
      </c>
      <c r="K382" s="17">
        <f t="shared" si="207"/>
        <v>0</v>
      </c>
      <c r="L382" s="17">
        <f t="shared" si="208"/>
        <v>0</v>
      </c>
      <c r="M382" s="17">
        <f t="shared" si="209"/>
        <v>0</v>
      </c>
      <c r="N382" s="17">
        <f t="shared" si="210"/>
        <v>0</v>
      </c>
      <c r="O382" s="17">
        <f t="shared" si="211"/>
        <v>0</v>
      </c>
      <c r="P382" s="17">
        <f t="shared" si="212"/>
        <v>0</v>
      </c>
      <c r="Q382" s="17">
        <f t="shared" si="213"/>
        <v>0</v>
      </c>
      <c r="R382" s="17">
        <f t="shared" si="214"/>
        <v>0</v>
      </c>
      <c r="S382" s="17">
        <f t="shared" si="215"/>
        <v>0</v>
      </c>
      <c r="T382" s="17">
        <f t="shared" si="216"/>
        <v>2193210</v>
      </c>
      <c r="U382" s="17">
        <f t="shared" si="217"/>
        <v>0</v>
      </c>
      <c r="V382" s="17">
        <f t="shared" si="218"/>
        <v>0</v>
      </c>
      <c r="W382" s="17">
        <f t="shared" si="219"/>
        <v>2193210</v>
      </c>
      <c r="X382" s="96" t="str">
        <f t="shared" si="220"/>
        <v>ok</v>
      </c>
    </row>
    <row r="383" spans="1:24" x14ac:dyDescent="0.2">
      <c r="A383" s="18">
        <v>879</v>
      </c>
      <c r="B383" s="16" t="s">
        <v>428</v>
      </c>
      <c r="C383" s="90" t="s">
        <v>575</v>
      </c>
      <c r="D383" s="90" t="s">
        <v>45</v>
      </c>
      <c r="F383" s="17">
        <v>179575</v>
      </c>
      <c r="G383" s="17">
        <f t="shared" si="203"/>
        <v>0</v>
      </c>
      <c r="H383" s="17">
        <f t="shared" si="204"/>
        <v>0</v>
      </c>
      <c r="I383" s="17">
        <f t="shared" si="205"/>
        <v>0</v>
      </c>
      <c r="J383" s="17">
        <f t="shared" si="206"/>
        <v>0</v>
      </c>
      <c r="K383" s="17">
        <f t="shared" si="207"/>
        <v>0</v>
      </c>
      <c r="L383" s="17">
        <f t="shared" si="208"/>
        <v>0</v>
      </c>
      <c r="M383" s="17">
        <f t="shared" si="209"/>
        <v>0</v>
      </c>
      <c r="N383" s="17">
        <f t="shared" si="210"/>
        <v>0</v>
      </c>
      <c r="O383" s="17">
        <f t="shared" si="211"/>
        <v>0</v>
      </c>
      <c r="P383" s="17">
        <f t="shared" si="212"/>
        <v>0</v>
      </c>
      <c r="Q383" s="17">
        <f t="shared" si="213"/>
        <v>0</v>
      </c>
      <c r="R383" s="17">
        <f t="shared" si="214"/>
        <v>0</v>
      </c>
      <c r="S383" s="17">
        <f t="shared" si="215"/>
        <v>0</v>
      </c>
      <c r="T383" s="17">
        <f t="shared" si="216"/>
        <v>179575</v>
      </c>
      <c r="U383" s="17">
        <f t="shared" si="217"/>
        <v>0</v>
      </c>
      <c r="V383" s="17">
        <f t="shared" si="218"/>
        <v>0</v>
      </c>
      <c r="W383" s="17">
        <f t="shared" si="219"/>
        <v>179575</v>
      </c>
      <c r="X383" s="96" t="str">
        <f t="shared" si="220"/>
        <v>ok</v>
      </c>
    </row>
    <row r="384" spans="1:24" x14ac:dyDescent="0.2">
      <c r="A384" s="18">
        <v>880</v>
      </c>
      <c r="B384" s="16" t="s">
        <v>105</v>
      </c>
      <c r="C384" s="90" t="s">
        <v>125</v>
      </c>
      <c r="D384" s="90" t="s">
        <v>200</v>
      </c>
      <c r="F384" s="17">
        <v>4591201</v>
      </c>
      <c r="G384" s="17">
        <f t="shared" si="203"/>
        <v>0</v>
      </c>
      <c r="H384" s="17">
        <f t="shared" si="204"/>
        <v>0</v>
      </c>
      <c r="I384" s="17">
        <f t="shared" si="205"/>
        <v>0</v>
      </c>
      <c r="J384" s="17">
        <f t="shared" si="206"/>
        <v>0</v>
      </c>
      <c r="K384" s="17">
        <f t="shared" si="207"/>
        <v>0</v>
      </c>
      <c r="L384" s="17">
        <f t="shared" si="208"/>
        <v>0</v>
      </c>
      <c r="M384" s="17">
        <f t="shared" si="209"/>
        <v>0</v>
      </c>
      <c r="N384" s="17">
        <f t="shared" si="210"/>
        <v>235186.97770357045</v>
      </c>
      <c r="O384" s="17">
        <f t="shared" si="211"/>
        <v>628168.57290962827</v>
      </c>
      <c r="P384" s="17">
        <f t="shared" si="212"/>
        <v>1237655.1688727166</v>
      </c>
      <c r="Q384" s="17">
        <f t="shared" si="213"/>
        <v>107364.59900436991</v>
      </c>
      <c r="R384" s="17">
        <f t="shared" si="214"/>
        <v>91118.504134837291</v>
      </c>
      <c r="S384" s="17">
        <f t="shared" si="215"/>
        <v>1845861.2948199769</v>
      </c>
      <c r="T384" s="17">
        <f t="shared" si="216"/>
        <v>445845.88255490048</v>
      </c>
      <c r="U384" s="17">
        <f t="shared" si="217"/>
        <v>0</v>
      </c>
      <c r="V384" s="17">
        <f t="shared" si="218"/>
        <v>0</v>
      </c>
      <c r="W384" s="17">
        <f t="shared" si="219"/>
        <v>4591201</v>
      </c>
      <c r="X384" s="96" t="str">
        <f t="shared" si="220"/>
        <v>ok</v>
      </c>
    </row>
    <row r="385" spans="1:24" x14ac:dyDescent="0.2">
      <c r="A385" s="18">
        <v>881</v>
      </c>
      <c r="B385" s="16" t="s">
        <v>108</v>
      </c>
      <c r="C385" s="90" t="s">
        <v>126</v>
      </c>
      <c r="D385" s="90" t="s">
        <v>200</v>
      </c>
      <c r="F385" s="17">
        <v>10000</v>
      </c>
      <c r="G385" s="17">
        <f t="shared" si="203"/>
        <v>0</v>
      </c>
      <c r="H385" s="17">
        <f t="shared" si="204"/>
        <v>0</v>
      </c>
      <c r="I385" s="17">
        <f t="shared" si="205"/>
        <v>0</v>
      </c>
      <c r="J385" s="17">
        <f t="shared" si="206"/>
        <v>0</v>
      </c>
      <c r="K385" s="17">
        <f t="shared" si="207"/>
        <v>0</v>
      </c>
      <c r="L385" s="17">
        <f t="shared" si="208"/>
        <v>0</v>
      </c>
      <c r="M385" s="17">
        <f t="shared" si="209"/>
        <v>0</v>
      </c>
      <c r="N385" s="17">
        <f t="shared" si="210"/>
        <v>512.25589492503252</v>
      </c>
      <c r="O385" s="17">
        <f t="shared" si="211"/>
        <v>1368.2009846870749</v>
      </c>
      <c r="P385" s="17">
        <f t="shared" si="212"/>
        <v>2695.711141535116</v>
      </c>
      <c r="Q385" s="17">
        <f t="shared" si="213"/>
        <v>233.84861391250331</v>
      </c>
      <c r="R385" s="17">
        <f t="shared" si="214"/>
        <v>198.4633304767909</v>
      </c>
      <c r="S385" s="17">
        <f t="shared" si="215"/>
        <v>4020.4323331084324</v>
      </c>
      <c r="T385" s="17">
        <f t="shared" si="216"/>
        <v>971.08770135504949</v>
      </c>
      <c r="U385" s="17">
        <f t="shared" si="217"/>
        <v>0</v>
      </c>
      <c r="V385" s="17">
        <f t="shared" si="218"/>
        <v>0</v>
      </c>
      <c r="W385" s="17">
        <f t="shared" si="219"/>
        <v>10000</v>
      </c>
      <c r="X385" s="96" t="str">
        <f t="shared" si="220"/>
        <v>ok</v>
      </c>
    </row>
    <row r="386" spans="1:24" x14ac:dyDescent="0.2">
      <c r="A386" s="18"/>
      <c r="F386" s="17"/>
    </row>
    <row r="387" spans="1:24" x14ac:dyDescent="0.2">
      <c r="A387" s="18" t="s">
        <v>472</v>
      </c>
      <c r="C387" s="90" t="s">
        <v>576</v>
      </c>
      <c r="F387" s="21">
        <f>+SUM(F365:F385)</f>
        <v>15390132</v>
      </c>
      <c r="G387" s="17">
        <f t="shared" ref="G387:W387" si="221">+SUM(G365:G385)</f>
        <v>0</v>
      </c>
      <c r="H387" s="17">
        <f t="shared" si="221"/>
        <v>0</v>
      </c>
      <c r="I387" s="17">
        <f t="shared" si="221"/>
        <v>0</v>
      </c>
      <c r="J387" s="17">
        <f t="shared" si="221"/>
        <v>0</v>
      </c>
      <c r="K387" s="17">
        <f t="shared" si="221"/>
        <v>0</v>
      </c>
      <c r="L387" s="17">
        <f t="shared" si="221"/>
        <v>0</v>
      </c>
      <c r="M387" s="17">
        <f t="shared" si="221"/>
        <v>912658</v>
      </c>
      <c r="N387" s="17">
        <f t="shared" si="221"/>
        <v>1755652.2335984954</v>
      </c>
      <c r="O387" s="17">
        <f t="shared" si="221"/>
        <v>1508403.850703045</v>
      </c>
      <c r="P387" s="17">
        <f t="shared" si="221"/>
        <v>2971947.1859645438</v>
      </c>
      <c r="Q387" s="17">
        <f>+SUM(Q365:Q385)</f>
        <v>257811.64730550561</v>
      </c>
      <c r="R387" s="17">
        <f>+SUM(R365:R385)</f>
        <v>218800.34824197303</v>
      </c>
      <c r="S387" s="17">
        <f t="shared" si="221"/>
        <v>4432415.763930181</v>
      </c>
      <c r="T387" s="17">
        <f t="shared" si="221"/>
        <v>3332442.9702562555</v>
      </c>
      <c r="U387" s="17">
        <f t="shared" si="221"/>
        <v>0</v>
      </c>
      <c r="V387" s="17">
        <f t="shared" si="221"/>
        <v>0</v>
      </c>
      <c r="W387" s="17">
        <f t="shared" si="221"/>
        <v>15390132</v>
      </c>
      <c r="X387" s="96" t="str">
        <f t="shared" si="220"/>
        <v>ok</v>
      </c>
    </row>
    <row r="388" spans="1:24" x14ac:dyDescent="0.2">
      <c r="A388" s="18"/>
      <c r="F388" s="17"/>
    </row>
    <row r="389" spans="1:24" x14ac:dyDescent="0.2">
      <c r="A389" s="18" t="s">
        <v>186</v>
      </c>
      <c r="C389" s="90" t="s">
        <v>577</v>
      </c>
      <c r="F389" s="21">
        <f>+F361+F387</f>
        <v>31472522</v>
      </c>
      <c r="G389" s="21">
        <f t="shared" ref="G389:V389" si="222">+G361+G387</f>
        <v>0</v>
      </c>
      <c r="H389" s="21">
        <f t="shared" si="222"/>
        <v>0</v>
      </c>
      <c r="I389" s="21">
        <f t="shared" si="222"/>
        <v>0</v>
      </c>
      <c r="J389" s="21">
        <f t="shared" si="222"/>
        <v>0</v>
      </c>
      <c r="K389" s="21">
        <f t="shared" si="222"/>
        <v>4681455.0698800003</v>
      </c>
      <c r="L389" s="21">
        <f t="shared" si="222"/>
        <v>11400934.930120001</v>
      </c>
      <c r="M389" s="21">
        <f t="shared" si="222"/>
        <v>912658</v>
      </c>
      <c r="N389" s="21">
        <f t="shared" si="222"/>
        <v>1755652.2335984954</v>
      </c>
      <c r="O389" s="21">
        <f t="shared" si="222"/>
        <v>1508403.850703045</v>
      </c>
      <c r="P389" s="21">
        <f t="shared" si="222"/>
        <v>2971947.1859645438</v>
      </c>
      <c r="Q389" s="21">
        <f>+Q361+Q387</f>
        <v>257811.64730550561</v>
      </c>
      <c r="R389" s="21">
        <f>+R361+R387</f>
        <v>218800.34824197303</v>
      </c>
      <c r="S389" s="21">
        <f t="shared" si="222"/>
        <v>4432415.763930181</v>
      </c>
      <c r="T389" s="21">
        <f t="shared" si="222"/>
        <v>3332442.9702562555</v>
      </c>
      <c r="U389" s="21">
        <f t="shared" si="222"/>
        <v>0</v>
      </c>
      <c r="V389" s="21">
        <f t="shared" si="222"/>
        <v>0</v>
      </c>
      <c r="W389" s="17">
        <f>SUM(G389:V389)</f>
        <v>31472522</v>
      </c>
      <c r="X389" s="96" t="str">
        <f>IF(ABS(W389-F389)&lt;1,"ok","err")</f>
        <v>ok</v>
      </c>
    </row>
    <row r="390" spans="1:24" x14ac:dyDescent="0.2">
      <c r="A390" s="18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17"/>
      <c r="X390" s="96"/>
    </row>
    <row r="391" spans="1:24" x14ac:dyDescent="0.2">
      <c r="A391" s="18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17"/>
      <c r="X391" s="96"/>
    </row>
    <row r="392" spans="1:24" x14ac:dyDescent="0.2">
      <c r="A392" s="18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17"/>
      <c r="X392" s="96"/>
    </row>
    <row r="393" spans="1:24" x14ac:dyDescent="0.2">
      <c r="A393" s="18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17"/>
      <c r="X393" s="96"/>
    </row>
    <row r="394" spans="1:24" x14ac:dyDescent="0.2">
      <c r="A394" s="18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17"/>
      <c r="X394" s="96"/>
    </row>
    <row r="395" spans="1:24" x14ac:dyDescent="0.2">
      <c r="A395" s="18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17"/>
      <c r="X395" s="96"/>
    </row>
    <row r="396" spans="1:24" x14ac:dyDescent="0.2">
      <c r="A396" s="18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17"/>
      <c r="X396" s="96"/>
    </row>
    <row r="397" spans="1:24" x14ac:dyDescent="0.2">
      <c r="A397" s="18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17"/>
      <c r="X397" s="96"/>
    </row>
    <row r="398" spans="1:24" x14ac:dyDescent="0.2">
      <c r="A398" s="18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17"/>
      <c r="X398" s="96"/>
    </row>
    <row r="399" spans="1:24" x14ac:dyDescent="0.2">
      <c r="A399" s="18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17"/>
      <c r="X399" s="96"/>
    </row>
    <row r="400" spans="1:24" x14ac:dyDescent="0.2">
      <c r="A400" s="158" t="s">
        <v>464</v>
      </c>
      <c r="C400" s="165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17"/>
      <c r="X400" s="96"/>
    </row>
    <row r="401" spans="1:24" x14ac:dyDescent="0.2">
      <c r="A401" s="158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17"/>
      <c r="X401" s="96"/>
    </row>
    <row r="402" spans="1:24" x14ac:dyDescent="0.2">
      <c r="A402" s="158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17"/>
      <c r="X402" s="96"/>
    </row>
    <row r="403" spans="1:24" x14ac:dyDescent="0.2">
      <c r="A403" s="93" t="s">
        <v>695</v>
      </c>
      <c r="F403" s="22"/>
      <c r="G403" s="16"/>
      <c r="H403" s="16"/>
      <c r="I403" s="16"/>
      <c r="J403" s="16"/>
      <c r="K403" s="16"/>
      <c r="L403" s="16"/>
      <c r="M403" s="16"/>
      <c r="N403" s="16"/>
    </row>
    <row r="404" spans="1:24" x14ac:dyDescent="0.2">
      <c r="A404" s="18"/>
      <c r="F404" s="22"/>
      <c r="G404" s="16"/>
      <c r="H404" s="16"/>
      <c r="I404" s="16"/>
      <c r="J404" s="16"/>
      <c r="K404" s="16"/>
      <c r="L404" s="16"/>
      <c r="M404" s="16"/>
      <c r="N404" s="16"/>
    </row>
    <row r="405" spans="1:24" x14ac:dyDescent="0.2">
      <c r="A405" s="18">
        <v>885</v>
      </c>
      <c r="B405" s="16" t="s">
        <v>439</v>
      </c>
      <c r="C405" s="90" t="s">
        <v>127</v>
      </c>
      <c r="D405" s="90" t="s">
        <v>638</v>
      </c>
      <c r="F405" s="17">
        <v>0</v>
      </c>
      <c r="G405" s="17">
        <f t="shared" ref="G405:G414" si="223">(VLOOKUP($D405,$C$6:$AJ$991,5,)/VLOOKUP($D405,$C$6:$AJ$991,4,))*$F405</f>
        <v>0</v>
      </c>
      <c r="H405" s="17">
        <f t="shared" ref="H405:H414" si="224">(VLOOKUP($D405,$C$6:$AJ$991,6,)/VLOOKUP($D405,$C$6:$AJ$991,4,))*$F405</f>
        <v>0</v>
      </c>
      <c r="I405" s="17">
        <f t="shared" ref="I405:I414" si="225">(VLOOKUP($D405,$C$6:$AJ$991,7,)/VLOOKUP($D405,$C$6:$AJ$991,4,))*$F405</f>
        <v>0</v>
      </c>
      <c r="J405" s="17">
        <f t="shared" ref="J405:J414" si="226">(VLOOKUP($D405,$C$6:$AJ$991,8,)/VLOOKUP($D405,$C$6:$AJ$991,4,))*$F405</f>
        <v>0</v>
      </c>
      <c r="K405" s="17">
        <f t="shared" ref="K405:K414" si="227">(VLOOKUP($D405,$C$6:$AJ$991,9,)/VLOOKUP($D405,$C$6:$AJ$991,4,))*$F405</f>
        <v>0</v>
      </c>
      <c r="L405" s="17">
        <f t="shared" ref="L405:L414" si="228">(VLOOKUP($D405,$C$6:$AJ$991,10,)/VLOOKUP($D405,$C$6:$AJ$991,4,))*$F405</f>
        <v>0</v>
      </c>
      <c r="M405" s="17">
        <f t="shared" ref="M405:M414" si="229">(VLOOKUP($D405,$C$6:$AJ$991,11,)/VLOOKUP($D405,$C$6:$AJ$991,4,))*$F405</f>
        <v>0</v>
      </c>
      <c r="N405" s="17">
        <f t="shared" ref="N405:N414" si="230">(VLOOKUP($D405,$C$6:$AJ$991,12,)/VLOOKUP($D405,$C$6:$AJ$991,4,))*$F405</f>
        <v>0</v>
      </c>
      <c r="O405" s="17">
        <f t="shared" ref="O405:O414" si="231">(VLOOKUP($D405,$C$6:$AJ$991,13,)/VLOOKUP($D405,$C$6:$AJ$991,4,))*$F405</f>
        <v>0</v>
      </c>
      <c r="P405" s="17">
        <f t="shared" ref="P405:P414" si="232">(VLOOKUP($D405,$C$6:$AJ$991,14,)/VLOOKUP($D405,$C$6:$AJ$991,4,))*$F405</f>
        <v>0</v>
      </c>
      <c r="Q405" s="17">
        <f t="shared" ref="Q405:Q414" si="233">(VLOOKUP($D405,$C$6:$AJ$991,15,)/VLOOKUP($D405,$C$6:$AJ$991,4,))*$F405</f>
        <v>0</v>
      </c>
      <c r="R405" s="17">
        <f t="shared" ref="R405:R414" si="234">(VLOOKUP($D405,$C$6:$AJ$991,16,)/VLOOKUP($D405,$C$6:$AJ$991,4,))*$F405</f>
        <v>0</v>
      </c>
      <c r="S405" s="17">
        <f t="shared" ref="S405:S414" si="235">(VLOOKUP($D405,$C$6:$AJ$991,17,)/VLOOKUP($D405,$C$6:$AJ$991,4,))*$F405</f>
        <v>0</v>
      </c>
      <c r="T405" s="17">
        <f t="shared" ref="T405:T414" si="236">(VLOOKUP($D405,$C$6:$AJ$991,18,)/VLOOKUP($D405,$C$6:$AJ$991,4,))*$F405</f>
        <v>0</v>
      </c>
      <c r="U405" s="17">
        <f t="shared" ref="U405:U414" si="237">(VLOOKUP($D405,$C$6:$AJ$991,19,)/VLOOKUP($D405,$C$6:$AJ$991,4,))*$F405</f>
        <v>0</v>
      </c>
      <c r="V405" s="17">
        <f t="shared" ref="V405:V414" si="238">(VLOOKUP($D405,$C$6:$AJ$991,20,)/VLOOKUP($D405,$C$6:$AJ$991,4,))*$F405</f>
        <v>0</v>
      </c>
      <c r="W405" s="17">
        <f>SUM(G405:V405)</f>
        <v>0</v>
      </c>
      <c r="X405" s="96" t="str">
        <f>IF(ABS(W405-F405)&lt;1,"ok","err")</f>
        <v>ok</v>
      </c>
    </row>
    <row r="406" spans="1:24" x14ac:dyDescent="0.2">
      <c r="A406" s="18">
        <v>886</v>
      </c>
      <c r="B406" s="16" t="s">
        <v>440</v>
      </c>
      <c r="C406" s="90" t="s">
        <v>128</v>
      </c>
      <c r="D406" s="90" t="s">
        <v>38</v>
      </c>
      <c r="F406" s="17">
        <v>0</v>
      </c>
      <c r="G406" s="17">
        <f t="shared" si="223"/>
        <v>0</v>
      </c>
      <c r="H406" s="17">
        <f t="shared" si="224"/>
        <v>0</v>
      </c>
      <c r="I406" s="17">
        <f t="shared" si="225"/>
        <v>0</v>
      </c>
      <c r="J406" s="17">
        <f t="shared" si="226"/>
        <v>0</v>
      </c>
      <c r="K406" s="17">
        <f t="shared" si="227"/>
        <v>0</v>
      </c>
      <c r="L406" s="17">
        <f t="shared" si="228"/>
        <v>0</v>
      </c>
      <c r="M406" s="17">
        <f t="shared" si="229"/>
        <v>0</v>
      </c>
      <c r="N406" s="17">
        <f t="shared" si="230"/>
        <v>0</v>
      </c>
      <c r="O406" s="17">
        <f t="shared" si="231"/>
        <v>0</v>
      </c>
      <c r="P406" s="17">
        <f t="shared" si="232"/>
        <v>0</v>
      </c>
      <c r="Q406" s="17">
        <f t="shared" si="233"/>
        <v>0</v>
      </c>
      <c r="R406" s="17">
        <f t="shared" si="234"/>
        <v>0</v>
      </c>
      <c r="S406" s="17">
        <f t="shared" si="235"/>
        <v>0</v>
      </c>
      <c r="T406" s="17">
        <f t="shared" si="236"/>
        <v>0</v>
      </c>
      <c r="U406" s="17">
        <f t="shared" si="237"/>
        <v>0</v>
      </c>
      <c r="V406" s="17">
        <f t="shared" si="238"/>
        <v>0</v>
      </c>
      <c r="W406" s="17">
        <f t="shared" ref="W406:W414" si="239">SUM(G406:V406)</f>
        <v>0</v>
      </c>
      <c r="X406" s="96" t="str">
        <f t="shared" ref="X406:X414" si="240">IF(ABS(W406-F406)&lt;1,"ok","err")</f>
        <v>ok</v>
      </c>
    </row>
    <row r="407" spans="1:24" x14ac:dyDescent="0.2">
      <c r="A407" s="18">
        <v>887</v>
      </c>
      <c r="B407" s="16" t="s">
        <v>441</v>
      </c>
      <c r="C407" s="90" t="s">
        <v>129</v>
      </c>
      <c r="D407" s="90" t="s">
        <v>40</v>
      </c>
      <c r="F407" s="17">
        <v>12943632</v>
      </c>
      <c r="G407" s="17">
        <f t="shared" si="223"/>
        <v>0</v>
      </c>
      <c r="H407" s="17">
        <f t="shared" si="224"/>
        <v>0</v>
      </c>
      <c r="I407" s="17">
        <f t="shared" si="225"/>
        <v>0</v>
      </c>
      <c r="J407" s="17">
        <f t="shared" si="226"/>
        <v>0</v>
      </c>
      <c r="K407" s="17">
        <f t="shared" si="227"/>
        <v>0</v>
      </c>
      <c r="L407" s="17">
        <f t="shared" si="228"/>
        <v>0</v>
      </c>
      <c r="M407" s="17">
        <f t="shared" si="229"/>
        <v>0</v>
      </c>
      <c r="N407" s="17">
        <f t="shared" si="230"/>
        <v>0</v>
      </c>
      <c r="O407" s="17">
        <f t="shared" si="231"/>
        <v>3938747.2176000001</v>
      </c>
      <c r="P407" s="17">
        <f t="shared" si="232"/>
        <v>7760354.5656000003</v>
      </c>
      <c r="Q407" s="17">
        <f t="shared" si="233"/>
        <v>673198.30032000004</v>
      </c>
      <c r="R407" s="17">
        <f t="shared" si="234"/>
        <v>571331.91648000001</v>
      </c>
      <c r="S407" s="17">
        <f t="shared" si="235"/>
        <v>0</v>
      </c>
      <c r="T407" s="17">
        <f t="shared" si="236"/>
        <v>0</v>
      </c>
      <c r="U407" s="17">
        <f t="shared" si="237"/>
        <v>0</v>
      </c>
      <c r="V407" s="17">
        <f t="shared" si="238"/>
        <v>0</v>
      </c>
      <c r="W407" s="17">
        <f t="shared" si="239"/>
        <v>12943631.999999998</v>
      </c>
      <c r="X407" s="96" t="str">
        <f t="shared" si="240"/>
        <v>ok</v>
      </c>
    </row>
    <row r="408" spans="1:24" x14ac:dyDescent="0.2">
      <c r="A408" s="18">
        <v>888</v>
      </c>
      <c r="B408" s="16" t="s">
        <v>442</v>
      </c>
      <c r="C408" s="90" t="s">
        <v>130</v>
      </c>
      <c r="D408" s="90" t="s">
        <v>35</v>
      </c>
      <c r="F408" s="17">
        <v>0</v>
      </c>
      <c r="G408" s="17">
        <f t="shared" si="223"/>
        <v>0</v>
      </c>
      <c r="H408" s="17">
        <f t="shared" si="224"/>
        <v>0</v>
      </c>
      <c r="I408" s="17">
        <f t="shared" si="225"/>
        <v>0</v>
      </c>
      <c r="J408" s="17">
        <f t="shared" si="226"/>
        <v>0</v>
      </c>
      <c r="K408" s="17">
        <f t="shared" si="227"/>
        <v>0</v>
      </c>
      <c r="L408" s="17">
        <f t="shared" si="228"/>
        <v>0</v>
      </c>
      <c r="M408" s="17">
        <f t="shared" si="229"/>
        <v>0</v>
      </c>
      <c r="N408" s="17">
        <f t="shared" si="230"/>
        <v>0</v>
      </c>
      <c r="O408" s="17">
        <f t="shared" si="231"/>
        <v>0</v>
      </c>
      <c r="P408" s="17">
        <f t="shared" si="232"/>
        <v>0</v>
      </c>
      <c r="Q408" s="17">
        <f t="shared" si="233"/>
        <v>0</v>
      </c>
      <c r="R408" s="17">
        <f t="shared" si="234"/>
        <v>0</v>
      </c>
      <c r="S408" s="17">
        <f t="shared" si="235"/>
        <v>0</v>
      </c>
      <c r="T408" s="17">
        <f t="shared" si="236"/>
        <v>0</v>
      </c>
      <c r="U408" s="17">
        <f t="shared" si="237"/>
        <v>0</v>
      </c>
      <c r="V408" s="17">
        <f t="shared" si="238"/>
        <v>0</v>
      </c>
      <c r="W408" s="17">
        <f t="shared" si="239"/>
        <v>0</v>
      </c>
      <c r="X408" s="96" t="str">
        <f t="shared" si="240"/>
        <v>ok</v>
      </c>
    </row>
    <row r="409" spans="1:24" x14ac:dyDescent="0.2">
      <c r="A409" s="18">
        <v>889</v>
      </c>
      <c r="B409" s="16" t="s">
        <v>443</v>
      </c>
      <c r="C409" s="90" t="s">
        <v>131</v>
      </c>
      <c r="D409" s="90" t="s">
        <v>38</v>
      </c>
      <c r="F409" s="17">
        <v>289627.00000000006</v>
      </c>
      <c r="G409" s="17">
        <f t="shared" si="223"/>
        <v>0</v>
      </c>
      <c r="H409" s="17">
        <f t="shared" si="224"/>
        <v>0</v>
      </c>
      <c r="I409" s="17">
        <f t="shared" si="225"/>
        <v>0</v>
      </c>
      <c r="J409" s="17">
        <f t="shared" si="226"/>
        <v>0</v>
      </c>
      <c r="K409" s="17">
        <f t="shared" si="227"/>
        <v>0</v>
      </c>
      <c r="L409" s="17">
        <f t="shared" si="228"/>
        <v>0</v>
      </c>
      <c r="M409" s="17">
        <f t="shared" si="229"/>
        <v>0</v>
      </c>
      <c r="N409" s="17">
        <f t="shared" si="230"/>
        <v>289627.00000000006</v>
      </c>
      <c r="O409" s="17">
        <f t="shared" si="231"/>
        <v>0</v>
      </c>
      <c r="P409" s="17">
        <f t="shared" si="232"/>
        <v>0</v>
      </c>
      <c r="Q409" s="17">
        <f t="shared" si="233"/>
        <v>0</v>
      </c>
      <c r="R409" s="17">
        <f t="shared" si="234"/>
        <v>0</v>
      </c>
      <c r="S409" s="17">
        <f t="shared" si="235"/>
        <v>0</v>
      </c>
      <c r="T409" s="17">
        <f t="shared" si="236"/>
        <v>0</v>
      </c>
      <c r="U409" s="17">
        <f t="shared" si="237"/>
        <v>0</v>
      </c>
      <c r="V409" s="17">
        <f t="shared" si="238"/>
        <v>0</v>
      </c>
      <c r="W409" s="17">
        <f t="shared" si="239"/>
        <v>289627.00000000006</v>
      </c>
      <c r="X409" s="96" t="str">
        <f t="shared" si="240"/>
        <v>ok</v>
      </c>
    </row>
    <row r="410" spans="1:24" x14ac:dyDescent="0.2">
      <c r="A410" s="18">
        <v>890</v>
      </c>
      <c r="B410" s="16" t="s">
        <v>444</v>
      </c>
      <c r="C410" s="90" t="s">
        <v>132</v>
      </c>
      <c r="D410" s="90" t="s">
        <v>45</v>
      </c>
      <c r="F410" s="17">
        <v>263808.00000000006</v>
      </c>
      <c r="G410" s="17">
        <f t="shared" si="223"/>
        <v>0</v>
      </c>
      <c r="H410" s="17">
        <f t="shared" si="224"/>
        <v>0</v>
      </c>
      <c r="I410" s="17">
        <f t="shared" si="225"/>
        <v>0</v>
      </c>
      <c r="J410" s="17">
        <f t="shared" si="226"/>
        <v>0</v>
      </c>
      <c r="K410" s="17">
        <f t="shared" si="227"/>
        <v>0</v>
      </c>
      <c r="L410" s="17">
        <f t="shared" si="228"/>
        <v>0</v>
      </c>
      <c r="M410" s="17">
        <f t="shared" si="229"/>
        <v>0</v>
      </c>
      <c r="N410" s="17">
        <f t="shared" si="230"/>
        <v>0</v>
      </c>
      <c r="O410" s="17">
        <f t="shared" si="231"/>
        <v>0</v>
      </c>
      <c r="P410" s="17">
        <f t="shared" si="232"/>
        <v>0</v>
      </c>
      <c r="Q410" s="17">
        <f t="shared" si="233"/>
        <v>0</v>
      </c>
      <c r="R410" s="17">
        <f t="shared" si="234"/>
        <v>0</v>
      </c>
      <c r="S410" s="17">
        <f t="shared" si="235"/>
        <v>0</v>
      </c>
      <c r="T410" s="17">
        <f t="shared" si="236"/>
        <v>263808.00000000006</v>
      </c>
      <c r="U410" s="17">
        <f t="shared" si="237"/>
        <v>0</v>
      </c>
      <c r="V410" s="17">
        <f t="shared" si="238"/>
        <v>0</v>
      </c>
      <c r="W410" s="17">
        <f t="shared" si="239"/>
        <v>263808.00000000006</v>
      </c>
      <c r="X410" s="96" t="str">
        <f t="shared" si="240"/>
        <v>ok</v>
      </c>
    </row>
    <row r="411" spans="1:24" x14ac:dyDescent="0.2">
      <c r="A411" s="18">
        <v>891</v>
      </c>
      <c r="B411" s="16" t="s">
        <v>445</v>
      </c>
      <c r="C411" s="90" t="s">
        <v>133</v>
      </c>
      <c r="D411" s="90" t="s">
        <v>38</v>
      </c>
      <c r="F411" s="17">
        <v>634746.00000000012</v>
      </c>
      <c r="G411" s="17">
        <f t="shared" si="223"/>
        <v>0</v>
      </c>
      <c r="H411" s="17">
        <f t="shared" si="224"/>
        <v>0</v>
      </c>
      <c r="I411" s="17">
        <f t="shared" si="225"/>
        <v>0</v>
      </c>
      <c r="J411" s="17">
        <f t="shared" si="226"/>
        <v>0</v>
      </c>
      <c r="K411" s="17">
        <f t="shared" si="227"/>
        <v>0</v>
      </c>
      <c r="L411" s="17">
        <f t="shared" si="228"/>
        <v>0</v>
      </c>
      <c r="M411" s="17">
        <f t="shared" si="229"/>
        <v>0</v>
      </c>
      <c r="N411" s="17">
        <f t="shared" si="230"/>
        <v>634746.00000000012</v>
      </c>
      <c r="O411" s="17">
        <f t="shared" si="231"/>
        <v>0</v>
      </c>
      <c r="P411" s="17">
        <f t="shared" si="232"/>
        <v>0</v>
      </c>
      <c r="Q411" s="17">
        <f t="shared" si="233"/>
        <v>0</v>
      </c>
      <c r="R411" s="17">
        <f t="shared" si="234"/>
        <v>0</v>
      </c>
      <c r="S411" s="17">
        <f t="shared" si="235"/>
        <v>0</v>
      </c>
      <c r="T411" s="17">
        <f t="shared" si="236"/>
        <v>0</v>
      </c>
      <c r="U411" s="17">
        <f t="shared" si="237"/>
        <v>0</v>
      </c>
      <c r="V411" s="17">
        <f t="shared" si="238"/>
        <v>0</v>
      </c>
      <c r="W411" s="17">
        <f t="shared" si="239"/>
        <v>634746.00000000012</v>
      </c>
      <c r="X411" s="96" t="str">
        <f t="shared" si="240"/>
        <v>ok</v>
      </c>
    </row>
    <row r="412" spans="1:24" x14ac:dyDescent="0.2">
      <c r="A412" s="18">
        <v>892</v>
      </c>
      <c r="B412" s="16" t="s">
        <v>446</v>
      </c>
      <c r="C412" s="90" t="s">
        <v>134</v>
      </c>
      <c r="D412" s="90" t="s">
        <v>42</v>
      </c>
      <c r="F412" s="166">
        <v>784684</v>
      </c>
      <c r="G412" s="17">
        <f t="shared" si="223"/>
        <v>0</v>
      </c>
      <c r="H412" s="17">
        <f t="shared" si="224"/>
        <v>0</v>
      </c>
      <c r="I412" s="17">
        <f t="shared" si="225"/>
        <v>0</v>
      </c>
      <c r="J412" s="17">
        <f t="shared" si="226"/>
        <v>0</v>
      </c>
      <c r="K412" s="17">
        <f t="shared" si="227"/>
        <v>0</v>
      </c>
      <c r="L412" s="17">
        <f t="shared" si="228"/>
        <v>0</v>
      </c>
      <c r="M412" s="17">
        <f t="shared" si="229"/>
        <v>0</v>
      </c>
      <c r="N412" s="17">
        <f t="shared" si="230"/>
        <v>0</v>
      </c>
      <c r="O412" s="17">
        <f t="shared" si="231"/>
        <v>0</v>
      </c>
      <c r="P412" s="17">
        <f t="shared" si="232"/>
        <v>0</v>
      </c>
      <c r="Q412" s="17">
        <f t="shared" si="233"/>
        <v>0</v>
      </c>
      <c r="R412" s="17">
        <f t="shared" si="234"/>
        <v>0</v>
      </c>
      <c r="S412" s="17">
        <f t="shared" si="235"/>
        <v>784684</v>
      </c>
      <c r="T412" s="17">
        <f t="shared" si="236"/>
        <v>0</v>
      </c>
      <c r="U412" s="17">
        <f t="shared" si="237"/>
        <v>0</v>
      </c>
      <c r="V412" s="17">
        <f t="shared" si="238"/>
        <v>0</v>
      </c>
      <c r="W412" s="17">
        <f t="shared" si="239"/>
        <v>784684</v>
      </c>
      <c r="X412" s="96" t="str">
        <f t="shared" si="240"/>
        <v>ok</v>
      </c>
    </row>
    <row r="413" spans="1:24" x14ac:dyDescent="0.2">
      <c r="A413" s="18">
        <v>893</v>
      </c>
      <c r="B413" s="16" t="s">
        <v>447</v>
      </c>
      <c r="C413" s="90" t="s">
        <v>135</v>
      </c>
      <c r="D413" s="90" t="s">
        <v>45</v>
      </c>
      <c r="F413" s="17">
        <v>0</v>
      </c>
      <c r="G413" s="17">
        <f t="shared" si="223"/>
        <v>0</v>
      </c>
      <c r="H413" s="17">
        <f t="shared" si="224"/>
        <v>0</v>
      </c>
      <c r="I413" s="17">
        <f t="shared" si="225"/>
        <v>0</v>
      </c>
      <c r="J413" s="17">
        <f t="shared" si="226"/>
        <v>0</v>
      </c>
      <c r="K413" s="17">
        <f t="shared" si="227"/>
        <v>0</v>
      </c>
      <c r="L413" s="17">
        <f t="shared" si="228"/>
        <v>0</v>
      </c>
      <c r="M413" s="17">
        <f t="shared" si="229"/>
        <v>0</v>
      </c>
      <c r="N413" s="17">
        <f t="shared" si="230"/>
        <v>0</v>
      </c>
      <c r="O413" s="17">
        <f t="shared" si="231"/>
        <v>0</v>
      </c>
      <c r="P413" s="17">
        <f t="shared" si="232"/>
        <v>0</v>
      </c>
      <c r="Q413" s="17">
        <f t="shared" si="233"/>
        <v>0</v>
      </c>
      <c r="R413" s="17">
        <f t="shared" si="234"/>
        <v>0</v>
      </c>
      <c r="S413" s="17">
        <f t="shared" si="235"/>
        <v>0</v>
      </c>
      <c r="T413" s="17">
        <f t="shared" si="236"/>
        <v>0</v>
      </c>
      <c r="U413" s="17">
        <f t="shared" si="237"/>
        <v>0</v>
      </c>
      <c r="V413" s="17">
        <f t="shared" si="238"/>
        <v>0</v>
      </c>
      <c r="W413" s="17">
        <f t="shared" si="239"/>
        <v>0</v>
      </c>
      <c r="X413" s="96" t="str">
        <f t="shared" si="240"/>
        <v>ok</v>
      </c>
    </row>
    <row r="414" spans="1:24" x14ac:dyDescent="0.2">
      <c r="A414" s="18">
        <v>894</v>
      </c>
      <c r="B414" s="16" t="s">
        <v>448</v>
      </c>
      <c r="C414" s="90" t="s">
        <v>136</v>
      </c>
      <c r="D414" s="90" t="s">
        <v>200</v>
      </c>
      <c r="F414" s="17">
        <v>425856.99999999994</v>
      </c>
      <c r="G414" s="17">
        <f t="shared" si="223"/>
        <v>0</v>
      </c>
      <c r="H414" s="17">
        <f t="shared" si="224"/>
        <v>0</v>
      </c>
      <c r="I414" s="17">
        <f t="shared" si="225"/>
        <v>0</v>
      </c>
      <c r="J414" s="17">
        <f t="shared" si="226"/>
        <v>0</v>
      </c>
      <c r="K414" s="17">
        <f t="shared" si="227"/>
        <v>0</v>
      </c>
      <c r="L414" s="17">
        <f t="shared" si="228"/>
        <v>0</v>
      </c>
      <c r="M414" s="17">
        <f t="shared" si="229"/>
        <v>0</v>
      </c>
      <c r="N414" s="17">
        <f t="shared" si="230"/>
        <v>21814.775864508956</v>
      </c>
      <c r="O414" s="17">
        <f t="shared" si="231"/>
        <v>58265.79667358836</v>
      </c>
      <c r="P414" s="17">
        <f t="shared" si="232"/>
        <v>114798.74596007197</v>
      </c>
      <c r="Q414" s="17">
        <f t="shared" si="233"/>
        <v>9958.6069174936911</v>
      </c>
      <c r="R414" s="17">
        <f t="shared" si="234"/>
        <v>8451.6998526854732</v>
      </c>
      <c r="S414" s="17">
        <f t="shared" si="235"/>
        <v>171212.92520805573</v>
      </c>
      <c r="T414" s="17">
        <f t="shared" si="236"/>
        <v>41354.449523595729</v>
      </c>
      <c r="U414" s="17">
        <f t="shared" si="237"/>
        <v>0</v>
      </c>
      <c r="V414" s="17">
        <f t="shared" si="238"/>
        <v>0</v>
      </c>
      <c r="W414" s="17">
        <f t="shared" si="239"/>
        <v>425856.99999999994</v>
      </c>
      <c r="X414" s="96" t="str">
        <f t="shared" si="240"/>
        <v>ok</v>
      </c>
    </row>
    <row r="415" spans="1:24" x14ac:dyDescent="0.2">
      <c r="F415" s="22"/>
      <c r="G415" s="16"/>
      <c r="H415" s="16"/>
      <c r="I415" s="16"/>
      <c r="J415" s="16"/>
      <c r="K415" s="16"/>
      <c r="L415" s="16"/>
      <c r="M415" s="16"/>
      <c r="N415" s="16"/>
    </row>
    <row r="416" spans="1:24" x14ac:dyDescent="0.2">
      <c r="A416" s="18" t="s">
        <v>458</v>
      </c>
      <c r="C416" s="90" t="s">
        <v>557</v>
      </c>
      <c r="F416" s="22">
        <f>SUM(F405:F414)</f>
        <v>15342354</v>
      </c>
      <c r="G416" s="22">
        <f t="shared" ref="G416:W416" si="241">SUM(G405:G414)</f>
        <v>0</v>
      </c>
      <c r="H416" s="22">
        <f t="shared" si="241"/>
        <v>0</v>
      </c>
      <c r="I416" s="22">
        <f t="shared" si="241"/>
        <v>0</v>
      </c>
      <c r="J416" s="22">
        <f t="shared" si="241"/>
        <v>0</v>
      </c>
      <c r="K416" s="22">
        <f t="shared" si="241"/>
        <v>0</v>
      </c>
      <c r="L416" s="22">
        <f t="shared" si="241"/>
        <v>0</v>
      </c>
      <c r="M416" s="22">
        <f t="shared" si="241"/>
        <v>0</v>
      </c>
      <c r="N416" s="22">
        <f t="shared" si="241"/>
        <v>946187.77586450917</v>
      </c>
      <c r="O416" s="22">
        <f t="shared" si="241"/>
        <v>3997013.0142735885</v>
      </c>
      <c r="P416" s="22">
        <f t="shared" si="241"/>
        <v>7875153.311560072</v>
      </c>
      <c r="Q416" s="22">
        <f>SUM(Q405:Q414)</f>
        <v>683156.90723749378</v>
      </c>
      <c r="R416" s="22">
        <f>SUM(R405:R414)</f>
        <v>579783.61633268546</v>
      </c>
      <c r="S416" s="22">
        <f t="shared" si="241"/>
        <v>955896.92520805576</v>
      </c>
      <c r="T416" s="22">
        <f t="shared" si="241"/>
        <v>305162.4495235958</v>
      </c>
      <c r="U416" s="22">
        <f t="shared" si="241"/>
        <v>0</v>
      </c>
      <c r="V416" s="22">
        <f t="shared" si="241"/>
        <v>0</v>
      </c>
      <c r="W416" s="22">
        <f t="shared" si="241"/>
        <v>15342353.999999998</v>
      </c>
    </row>
    <row r="417" spans="1:24" x14ac:dyDescent="0.2">
      <c r="A417" s="18"/>
      <c r="F417" s="22"/>
    </row>
    <row r="418" spans="1:24" x14ac:dyDescent="0.2">
      <c r="A418" s="18" t="s">
        <v>583</v>
      </c>
      <c r="C418" s="90" t="s">
        <v>578</v>
      </c>
      <c r="F418" s="21">
        <f t="shared" ref="F418:V418" si="242">F361+F387+F416</f>
        <v>46814876</v>
      </c>
      <c r="G418" s="21">
        <f t="shared" si="242"/>
        <v>0</v>
      </c>
      <c r="H418" s="21">
        <f t="shared" si="242"/>
        <v>0</v>
      </c>
      <c r="I418" s="21">
        <f t="shared" si="242"/>
        <v>0</v>
      </c>
      <c r="J418" s="21">
        <f t="shared" si="242"/>
        <v>0</v>
      </c>
      <c r="K418" s="21">
        <f t="shared" si="242"/>
        <v>4681455.0698800003</v>
      </c>
      <c r="L418" s="21">
        <f t="shared" si="242"/>
        <v>11400934.930120001</v>
      </c>
      <c r="M418" s="21">
        <f t="shared" si="242"/>
        <v>912658</v>
      </c>
      <c r="N418" s="21">
        <f t="shared" si="242"/>
        <v>2701840.0094630048</v>
      </c>
      <c r="O418" s="21">
        <f t="shared" si="242"/>
        <v>5505416.8649766333</v>
      </c>
      <c r="P418" s="21">
        <f t="shared" si="242"/>
        <v>10847100.497524615</v>
      </c>
      <c r="Q418" s="21">
        <f>Q361+Q387+Q416</f>
        <v>940968.55454299937</v>
      </c>
      <c r="R418" s="21">
        <f>R361+R387+R416</f>
        <v>798583.96457465854</v>
      </c>
      <c r="S418" s="21">
        <f t="shared" si="242"/>
        <v>5388312.6891382365</v>
      </c>
      <c r="T418" s="21">
        <f t="shared" si="242"/>
        <v>3637605.4197798511</v>
      </c>
      <c r="U418" s="21">
        <f t="shared" si="242"/>
        <v>0</v>
      </c>
      <c r="V418" s="21">
        <f t="shared" si="242"/>
        <v>0</v>
      </c>
      <c r="W418" s="17">
        <f>W387+W416</f>
        <v>30732486</v>
      </c>
    </row>
    <row r="419" spans="1:24" x14ac:dyDescent="0.2">
      <c r="A419" s="18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17"/>
      <c r="X419" s="96"/>
    </row>
    <row r="420" spans="1:24" x14ac:dyDescent="0.2">
      <c r="A420" s="18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17"/>
      <c r="X420" s="96"/>
    </row>
    <row r="421" spans="1:24" x14ac:dyDescent="0.2">
      <c r="A421" s="6" t="s">
        <v>459</v>
      </c>
      <c r="F421" s="17"/>
    </row>
    <row r="422" spans="1:24" x14ac:dyDescent="0.2">
      <c r="A422" s="18">
        <v>901</v>
      </c>
      <c r="B422" s="16" t="s">
        <v>137</v>
      </c>
      <c r="C422" s="90" t="s">
        <v>138</v>
      </c>
      <c r="D422" s="90" t="s">
        <v>48</v>
      </c>
      <c r="F422" s="17">
        <v>1236728.6799999988</v>
      </c>
      <c r="G422" s="17">
        <f>(VLOOKUP($D422,$C$6:$AJ$991,5,)/VLOOKUP($D422,$C$6:$AJ$991,4,))*$F422</f>
        <v>0</v>
      </c>
      <c r="H422" s="17">
        <f>(VLOOKUP($D422,$C$6:$AJ$991,6,)/VLOOKUP($D422,$C$6:$AJ$991,4,))*$F422</f>
        <v>0</v>
      </c>
      <c r="I422" s="17">
        <f>(VLOOKUP($D422,$C$6:$AJ$991,7,)/VLOOKUP($D422,$C$6:$AJ$991,4,))*$F422</f>
        <v>0</v>
      </c>
      <c r="J422" s="17">
        <f>(VLOOKUP($D422,$C$6:$AJ$991,8,)/VLOOKUP($D422,$C$6:$AJ$991,4,))*$F422</f>
        <v>0</v>
      </c>
      <c r="K422" s="17">
        <f>(VLOOKUP($D422,$C$6:$AJ$991,9,)/VLOOKUP($D422,$C$6:$AJ$991,4,))*$F422</f>
        <v>0</v>
      </c>
      <c r="L422" s="17">
        <f>(VLOOKUP($D422,$C$6:$AJ$991,10,)/VLOOKUP($D422,$C$6:$AJ$991,4,))*$F422</f>
        <v>0</v>
      </c>
      <c r="M422" s="17">
        <f>(VLOOKUP($D422,$C$6:$AJ$991,11,)/VLOOKUP($D422,$C$6:$AJ$991,4,))*$F422</f>
        <v>0</v>
      </c>
      <c r="N422" s="17">
        <f>(VLOOKUP($D422,$C$6:$AJ$991,12,)/VLOOKUP($D422,$C$6:$AJ$991,4,))*$F422</f>
        <v>0</v>
      </c>
      <c r="O422" s="17">
        <f>(VLOOKUP($D422,$C$6:$AJ$991,13,)/VLOOKUP($D422,$C$6:$AJ$991,4,))*$F422</f>
        <v>0</v>
      </c>
      <c r="P422" s="17">
        <f>(VLOOKUP($D422,$C$6:$AJ$991,14,)/VLOOKUP($D422,$C$6:$AJ$991,4,))*$F422</f>
        <v>0</v>
      </c>
      <c r="Q422" s="17">
        <f>(VLOOKUP($D422,$C$6:$AJ$991,15,)/VLOOKUP($D422,$C$6:$AJ$991,4,))*$F422</f>
        <v>0</v>
      </c>
      <c r="R422" s="17">
        <f>(VLOOKUP($D422,$C$6:$AJ$991,16,)/VLOOKUP($D422,$C$6:$AJ$991,4,))*$F422</f>
        <v>0</v>
      </c>
      <c r="S422" s="17">
        <f>(VLOOKUP($D422,$C$6:$AJ$991,17,)/VLOOKUP($D422,$C$6:$AJ$991,4,))*$F422</f>
        <v>0</v>
      </c>
      <c r="T422" s="17">
        <f>(VLOOKUP($D422,$C$6:$AJ$991,18,)/VLOOKUP($D422,$C$6:$AJ$991,4,))*$F422</f>
        <v>0</v>
      </c>
      <c r="U422" s="17">
        <f>(VLOOKUP($D422,$C$6:$AJ$991,19,)/VLOOKUP($D422,$C$6:$AJ$991,4,))*$F422</f>
        <v>1236728.6799999988</v>
      </c>
      <c r="V422" s="17">
        <f>(VLOOKUP($D422,$C$6:$AJ$991,20,)/VLOOKUP($D422,$C$6:$AJ$991,4,))*$F422</f>
        <v>0</v>
      </c>
      <c r="W422" s="17">
        <f>SUM(G422:V422)</f>
        <v>1236728.6799999988</v>
      </c>
      <c r="X422" s="96" t="str">
        <f>IF(ABS(W422-F422)&lt;1,"ok","err")</f>
        <v>ok</v>
      </c>
    </row>
    <row r="423" spans="1:24" x14ac:dyDescent="0.2">
      <c r="A423" s="18">
        <v>902</v>
      </c>
      <c r="B423" s="16" t="s">
        <v>139</v>
      </c>
      <c r="C423" s="90" t="s">
        <v>140</v>
      </c>
      <c r="D423" s="90" t="s">
        <v>48</v>
      </c>
      <c r="F423" s="17">
        <v>2708979.68</v>
      </c>
      <c r="G423" s="17">
        <f>(VLOOKUP($D423,$C$6:$AJ$991,5,)/VLOOKUP($D423,$C$6:$AJ$991,4,))*$F423</f>
        <v>0</v>
      </c>
      <c r="H423" s="17">
        <f>(VLOOKUP($D423,$C$6:$AJ$991,6,)/VLOOKUP($D423,$C$6:$AJ$991,4,))*$F423</f>
        <v>0</v>
      </c>
      <c r="I423" s="17">
        <f>(VLOOKUP($D423,$C$6:$AJ$991,7,)/VLOOKUP($D423,$C$6:$AJ$991,4,))*$F423</f>
        <v>0</v>
      </c>
      <c r="J423" s="17">
        <f>(VLOOKUP($D423,$C$6:$AJ$991,8,)/VLOOKUP($D423,$C$6:$AJ$991,4,))*$F423</f>
        <v>0</v>
      </c>
      <c r="K423" s="17">
        <f>(VLOOKUP($D423,$C$6:$AJ$991,9,)/VLOOKUP($D423,$C$6:$AJ$991,4,))*$F423</f>
        <v>0</v>
      </c>
      <c r="L423" s="17">
        <f>(VLOOKUP($D423,$C$6:$AJ$991,10,)/VLOOKUP($D423,$C$6:$AJ$991,4,))*$F423</f>
        <v>0</v>
      </c>
      <c r="M423" s="17">
        <f>(VLOOKUP($D423,$C$6:$AJ$991,11,)/VLOOKUP($D423,$C$6:$AJ$991,4,))*$F423</f>
        <v>0</v>
      </c>
      <c r="N423" s="17">
        <f>(VLOOKUP($D423,$C$6:$AJ$991,12,)/VLOOKUP($D423,$C$6:$AJ$991,4,))*$F423</f>
        <v>0</v>
      </c>
      <c r="O423" s="17">
        <f>(VLOOKUP($D423,$C$6:$AJ$991,13,)/VLOOKUP($D423,$C$6:$AJ$991,4,))*$F423</f>
        <v>0</v>
      </c>
      <c r="P423" s="17">
        <f>(VLOOKUP($D423,$C$6:$AJ$991,14,)/VLOOKUP($D423,$C$6:$AJ$991,4,))*$F423</f>
        <v>0</v>
      </c>
      <c r="Q423" s="17">
        <f>(VLOOKUP($D423,$C$6:$AJ$991,15,)/VLOOKUP($D423,$C$6:$AJ$991,4,))*$F423</f>
        <v>0</v>
      </c>
      <c r="R423" s="17">
        <f>(VLOOKUP($D423,$C$6:$AJ$991,16,)/VLOOKUP($D423,$C$6:$AJ$991,4,))*$F423</f>
        <v>0</v>
      </c>
      <c r="S423" s="17">
        <f>(VLOOKUP($D423,$C$6:$AJ$991,17,)/VLOOKUP($D423,$C$6:$AJ$991,4,))*$F423</f>
        <v>0</v>
      </c>
      <c r="T423" s="17">
        <f>(VLOOKUP($D423,$C$6:$AJ$991,18,)/VLOOKUP($D423,$C$6:$AJ$991,4,))*$F423</f>
        <v>0</v>
      </c>
      <c r="U423" s="17">
        <f>(VLOOKUP($D423,$C$6:$AJ$991,19,)/VLOOKUP($D423,$C$6:$AJ$991,4,))*$F423</f>
        <v>2708979.68</v>
      </c>
      <c r="V423" s="17">
        <f>(VLOOKUP($D423,$C$6:$AJ$991,20,)/VLOOKUP($D423,$C$6:$AJ$991,4,))*$F423</f>
        <v>0</v>
      </c>
      <c r="W423" s="17">
        <f>SUM(G423:V423)</f>
        <v>2708979.68</v>
      </c>
      <c r="X423" s="96" t="str">
        <f>IF(ABS(W423-F423)&lt;1,"ok","err")</f>
        <v>ok</v>
      </c>
    </row>
    <row r="424" spans="1:24" x14ac:dyDescent="0.2">
      <c r="A424" s="18">
        <v>903</v>
      </c>
      <c r="B424" s="16" t="s">
        <v>431</v>
      </c>
      <c r="C424" s="90" t="s">
        <v>141</v>
      </c>
      <c r="D424" s="90" t="s">
        <v>48</v>
      </c>
      <c r="F424" s="166">
        <v>5535919.8399999989</v>
      </c>
      <c r="G424" s="17">
        <f>(VLOOKUP($D424,$C$6:$AJ$991,5,)/VLOOKUP($D424,$C$6:$AJ$991,4,))*$F424</f>
        <v>0</v>
      </c>
      <c r="H424" s="17">
        <f>(VLOOKUP($D424,$C$6:$AJ$991,6,)/VLOOKUP($D424,$C$6:$AJ$991,4,))*$F424</f>
        <v>0</v>
      </c>
      <c r="I424" s="17">
        <f>(VLOOKUP($D424,$C$6:$AJ$991,7,)/VLOOKUP($D424,$C$6:$AJ$991,4,))*$F424</f>
        <v>0</v>
      </c>
      <c r="J424" s="17">
        <f>(VLOOKUP($D424,$C$6:$AJ$991,8,)/VLOOKUP($D424,$C$6:$AJ$991,4,))*$F424</f>
        <v>0</v>
      </c>
      <c r="K424" s="17">
        <f>(VLOOKUP($D424,$C$6:$AJ$991,9,)/VLOOKUP($D424,$C$6:$AJ$991,4,))*$F424</f>
        <v>0</v>
      </c>
      <c r="L424" s="17">
        <f>(VLOOKUP($D424,$C$6:$AJ$991,10,)/VLOOKUP($D424,$C$6:$AJ$991,4,))*$F424</f>
        <v>0</v>
      </c>
      <c r="M424" s="17">
        <f>(VLOOKUP($D424,$C$6:$AJ$991,11,)/VLOOKUP($D424,$C$6:$AJ$991,4,))*$F424</f>
        <v>0</v>
      </c>
      <c r="N424" s="17">
        <f>(VLOOKUP($D424,$C$6:$AJ$991,12,)/VLOOKUP($D424,$C$6:$AJ$991,4,))*$F424</f>
        <v>0</v>
      </c>
      <c r="O424" s="17">
        <f>(VLOOKUP($D424,$C$6:$AJ$991,13,)/VLOOKUP($D424,$C$6:$AJ$991,4,))*$F424</f>
        <v>0</v>
      </c>
      <c r="P424" s="17">
        <f>(VLOOKUP($D424,$C$6:$AJ$991,14,)/VLOOKUP($D424,$C$6:$AJ$991,4,))*$F424</f>
        <v>0</v>
      </c>
      <c r="Q424" s="17">
        <f>(VLOOKUP($D424,$C$6:$AJ$991,15,)/VLOOKUP($D424,$C$6:$AJ$991,4,))*$F424</f>
        <v>0</v>
      </c>
      <c r="R424" s="17">
        <f>(VLOOKUP($D424,$C$6:$AJ$991,16,)/VLOOKUP($D424,$C$6:$AJ$991,4,))*$F424</f>
        <v>0</v>
      </c>
      <c r="S424" s="17">
        <f>(VLOOKUP($D424,$C$6:$AJ$991,17,)/VLOOKUP($D424,$C$6:$AJ$991,4,))*$F424</f>
        <v>0</v>
      </c>
      <c r="T424" s="17">
        <f>(VLOOKUP($D424,$C$6:$AJ$991,18,)/VLOOKUP($D424,$C$6:$AJ$991,4,))*$F424</f>
        <v>0</v>
      </c>
      <c r="U424" s="17">
        <f>(VLOOKUP($D424,$C$6:$AJ$991,19,)/VLOOKUP($D424,$C$6:$AJ$991,4,))*$F424</f>
        <v>5535919.8399999989</v>
      </c>
      <c r="V424" s="17">
        <f>(VLOOKUP($D424,$C$6:$AJ$991,20,)/VLOOKUP($D424,$C$6:$AJ$991,4,))*$F424</f>
        <v>0</v>
      </c>
      <c r="W424" s="17">
        <f>SUM(G424:V424)</f>
        <v>5535919.8399999989</v>
      </c>
      <c r="X424" s="96" t="str">
        <f>IF(ABS(W424-F424)&lt;1,"ok","err")</f>
        <v>ok</v>
      </c>
    </row>
    <row r="425" spans="1:24" x14ac:dyDescent="0.2">
      <c r="A425" s="18">
        <v>904</v>
      </c>
      <c r="B425" s="16" t="s">
        <v>142</v>
      </c>
      <c r="C425" s="90" t="s">
        <v>143</v>
      </c>
      <c r="D425" s="90" t="s">
        <v>48</v>
      </c>
      <c r="F425" s="166">
        <v>376163.88999999932</v>
      </c>
      <c r="G425" s="17">
        <f>(VLOOKUP($D425,$C$6:$AJ$991,5,)/VLOOKUP($D425,$C$6:$AJ$991,4,))*$F425</f>
        <v>0</v>
      </c>
      <c r="H425" s="17">
        <f>(VLOOKUP($D425,$C$6:$AJ$991,6,)/VLOOKUP($D425,$C$6:$AJ$991,4,))*$F425</f>
        <v>0</v>
      </c>
      <c r="I425" s="17">
        <f>(VLOOKUP($D425,$C$6:$AJ$991,7,)/VLOOKUP($D425,$C$6:$AJ$991,4,))*$F425</f>
        <v>0</v>
      </c>
      <c r="J425" s="17">
        <f>(VLOOKUP($D425,$C$6:$AJ$991,8,)/VLOOKUP($D425,$C$6:$AJ$991,4,))*$F425</f>
        <v>0</v>
      </c>
      <c r="K425" s="17">
        <f>(VLOOKUP($D425,$C$6:$AJ$991,9,)/VLOOKUP($D425,$C$6:$AJ$991,4,))*$F425</f>
        <v>0</v>
      </c>
      <c r="L425" s="17">
        <f>(VLOOKUP($D425,$C$6:$AJ$991,10,)/VLOOKUP($D425,$C$6:$AJ$991,4,))*$F425</f>
        <v>0</v>
      </c>
      <c r="M425" s="17">
        <f>(VLOOKUP($D425,$C$6:$AJ$991,11,)/VLOOKUP($D425,$C$6:$AJ$991,4,))*$F425</f>
        <v>0</v>
      </c>
      <c r="N425" s="17">
        <f>(VLOOKUP($D425,$C$6:$AJ$991,12,)/VLOOKUP($D425,$C$6:$AJ$991,4,))*$F425</f>
        <v>0</v>
      </c>
      <c r="O425" s="17">
        <f>(VLOOKUP($D425,$C$6:$AJ$991,13,)/VLOOKUP($D425,$C$6:$AJ$991,4,))*$F425</f>
        <v>0</v>
      </c>
      <c r="P425" s="17">
        <f>(VLOOKUP($D425,$C$6:$AJ$991,14,)/VLOOKUP($D425,$C$6:$AJ$991,4,))*$F425</f>
        <v>0</v>
      </c>
      <c r="Q425" s="17">
        <f>(VLOOKUP($D425,$C$6:$AJ$991,15,)/VLOOKUP($D425,$C$6:$AJ$991,4,))*$F425</f>
        <v>0</v>
      </c>
      <c r="R425" s="17">
        <f>(VLOOKUP($D425,$C$6:$AJ$991,16,)/VLOOKUP($D425,$C$6:$AJ$991,4,))*$F425</f>
        <v>0</v>
      </c>
      <c r="S425" s="17">
        <f>(VLOOKUP($D425,$C$6:$AJ$991,17,)/VLOOKUP($D425,$C$6:$AJ$991,4,))*$F425</f>
        <v>0</v>
      </c>
      <c r="T425" s="17">
        <f>(VLOOKUP($D425,$C$6:$AJ$991,18,)/VLOOKUP($D425,$C$6:$AJ$991,4,))*$F425</f>
        <v>0</v>
      </c>
      <c r="U425" s="17">
        <f>(VLOOKUP($D425,$C$6:$AJ$991,19,)/VLOOKUP($D425,$C$6:$AJ$991,4,))*$F425</f>
        <v>376163.88999999932</v>
      </c>
      <c r="V425" s="17">
        <f>(VLOOKUP($D425,$C$6:$AJ$991,20,)/VLOOKUP($D425,$C$6:$AJ$991,4,))*$F425</f>
        <v>0</v>
      </c>
      <c r="W425" s="17">
        <f>SUM(G425:V425)</f>
        <v>376163.88999999932</v>
      </c>
      <c r="X425" s="96" t="str">
        <f>IF(ABS(W425-F425)&lt;1,"ok","err")</f>
        <v>ok</v>
      </c>
    </row>
    <row r="426" spans="1:24" x14ac:dyDescent="0.2">
      <c r="A426" s="18">
        <v>905</v>
      </c>
      <c r="B426" s="16" t="s">
        <v>432</v>
      </c>
      <c r="C426" s="90" t="s">
        <v>145</v>
      </c>
      <c r="D426" s="90" t="s">
        <v>48</v>
      </c>
      <c r="F426" s="17">
        <v>0</v>
      </c>
      <c r="G426" s="17">
        <f>(VLOOKUP($D426,$C$6:$AJ$991,5,)/VLOOKUP($D426,$C$6:$AJ$991,4,))*$F426</f>
        <v>0</v>
      </c>
      <c r="H426" s="17">
        <f>(VLOOKUP($D426,$C$6:$AJ$991,6,)/VLOOKUP($D426,$C$6:$AJ$991,4,))*$F426</f>
        <v>0</v>
      </c>
      <c r="I426" s="17">
        <f>(VLOOKUP($D426,$C$6:$AJ$991,7,)/VLOOKUP($D426,$C$6:$AJ$991,4,))*$F426</f>
        <v>0</v>
      </c>
      <c r="J426" s="17">
        <f>(VLOOKUP($D426,$C$6:$AJ$991,8,)/VLOOKUP($D426,$C$6:$AJ$991,4,))*$F426</f>
        <v>0</v>
      </c>
      <c r="K426" s="17">
        <f>(VLOOKUP($D426,$C$6:$AJ$991,9,)/VLOOKUP($D426,$C$6:$AJ$991,4,))*$F426</f>
        <v>0</v>
      </c>
      <c r="L426" s="17">
        <f>(VLOOKUP($D426,$C$6:$AJ$991,10,)/VLOOKUP($D426,$C$6:$AJ$991,4,))*$F426</f>
        <v>0</v>
      </c>
      <c r="M426" s="17">
        <f>(VLOOKUP($D426,$C$6:$AJ$991,11,)/VLOOKUP($D426,$C$6:$AJ$991,4,))*$F426</f>
        <v>0</v>
      </c>
      <c r="N426" s="17">
        <f>(VLOOKUP($D426,$C$6:$AJ$991,12,)/VLOOKUP($D426,$C$6:$AJ$991,4,))*$F426</f>
        <v>0</v>
      </c>
      <c r="O426" s="17">
        <f>(VLOOKUP($D426,$C$6:$AJ$991,13,)/VLOOKUP($D426,$C$6:$AJ$991,4,))*$F426</f>
        <v>0</v>
      </c>
      <c r="P426" s="17">
        <f>(VLOOKUP($D426,$C$6:$AJ$991,14,)/VLOOKUP($D426,$C$6:$AJ$991,4,))*$F426</f>
        <v>0</v>
      </c>
      <c r="Q426" s="17">
        <f>(VLOOKUP($D426,$C$6:$AJ$991,15,)/VLOOKUP($D426,$C$6:$AJ$991,4,))*$F426</f>
        <v>0</v>
      </c>
      <c r="R426" s="17">
        <f>(VLOOKUP($D426,$C$6:$AJ$991,16,)/VLOOKUP($D426,$C$6:$AJ$991,4,))*$F426</f>
        <v>0</v>
      </c>
      <c r="S426" s="17">
        <f>(VLOOKUP($D426,$C$6:$AJ$991,17,)/VLOOKUP($D426,$C$6:$AJ$991,4,))*$F426</f>
        <v>0</v>
      </c>
      <c r="T426" s="17">
        <f>(VLOOKUP($D426,$C$6:$AJ$991,18,)/VLOOKUP($D426,$C$6:$AJ$991,4,))*$F426</f>
        <v>0</v>
      </c>
      <c r="U426" s="17">
        <f>(VLOOKUP($D426,$C$6:$AJ$991,19,)/VLOOKUP($D426,$C$6:$AJ$991,4,))*$F426</f>
        <v>0</v>
      </c>
      <c r="V426" s="17">
        <f>(VLOOKUP($D426,$C$6:$AJ$991,20,)/VLOOKUP($D426,$C$6:$AJ$991,4,))*$F426</f>
        <v>0</v>
      </c>
      <c r="W426" s="17">
        <f>SUM(G426:V426)</f>
        <v>0</v>
      </c>
      <c r="X426" s="96" t="str">
        <f>IF(ABS(W426-F426)&lt;1,"ok","err")</f>
        <v>ok</v>
      </c>
    </row>
    <row r="427" spans="1:24" x14ac:dyDescent="0.2">
      <c r="A427" s="18"/>
      <c r="F427" s="17"/>
    </row>
    <row r="428" spans="1:24" x14ac:dyDescent="0.2">
      <c r="A428" s="18" t="s">
        <v>465</v>
      </c>
      <c r="C428" s="90" t="s">
        <v>146</v>
      </c>
      <c r="F428" s="21">
        <f>SUM(F422:F426)</f>
        <v>9857792.0899999961</v>
      </c>
      <c r="G428" s="21">
        <f t="shared" ref="G428:V428" si="243">SUM(G422:G426)</f>
        <v>0</v>
      </c>
      <c r="H428" s="21">
        <f t="shared" si="243"/>
        <v>0</v>
      </c>
      <c r="I428" s="21">
        <f t="shared" si="243"/>
        <v>0</v>
      </c>
      <c r="J428" s="21">
        <f t="shared" si="243"/>
        <v>0</v>
      </c>
      <c r="K428" s="21">
        <f t="shared" si="243"/>
        <v>0</v>
      </c>
      <c r="L428" s="21">
        <f t="shared" si="243"/>
        <v>0</v>
      </c>
      <c r="M428" s="21">
        <f t="shared" si="243"/>
        <v>0</v>
      </c>
      <c r="N428" s="21">
        <f t="shared" si="243"/>
        <v>0</v>
      </c>
      <c r="O428" s="21">
        <f t="shared" si="243"/>
        <v>0</v>
      </c>
      <c r="P428" s="21">
        <f t="shared" si="243"/>
        <v>0</v>
      </c>
      <c r="Q428" s="21">
        <f t="shared" si="243"/>
        <v>0</v>
      </c>
      <c r="R428" s="21">
        <f t="shared" si="243"/>
        <v>0</v>
      </c>
      <c r="S428" s="21">
        <f t="shared" si="243"/>
        <v>0</v>
      </c>
      <c r="T428" s="21">
        <f t="shared" si="243"/>
        <v>0</v>
      </c>
      <c r="U428" s="21">
        <f t="shared" si="243"/>
        <v>9857792.0899999961</v>
      </c>
      <c r="V428" s="21">
        <f t="shared" si="243"/>
        <v>0</v>
      </c>
      <c r="W428" s="17">
        <f>SUM(G428:V428)</f>
        <v>9857792.0899999961</v>
      </c>
      <c r="X428" s="96" t="str">
        <f>IF(ABS(W428-F428)&lt;1,"ok","err")</f>
        <v>ok</v>
      </c>
    </row>
    <row r="429" spans="1:24" x14ac:dyDescent="0.2">
      <c r="A429" s="18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17"/>
      <c r="X429" s="96"/>
    </row>
    <row r="430" spans="1:24" x14ac:dyDescent="0.2">
      <c r="A430" s="93" t="s">
        <v>148</v>
      </c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17"/>
      <c r="X430" s="96"/>
    </row>
    <row r="431" spans="1:24" x14ac:dyDescent="0.2">
      <c r="A431" s="18" t="s">
        <v>147</v>
      </c>
      <c r="B431" s="16" t="s">
        <v>13</v>
      </c>
      <c r="C431" s="90" t="s">
        <v>149</v>
      </c>
      <c r="D431" s="90" t="s">
        <v>51</v>
      </c>
      <c r="F431" s="21">
        <v>960615.95999999763</v>
      </c>
      <c r="G431" s="17">
        <f>(VLOOKUP($D431,$C$6:$AJ$991,5,)/VLOOKUP($D431,$C$6:$AJ$991,4,))*$F431</f>
        <v>0</v>
      </c>
      <c r="H431" s="17">
        <f>(VLOOKUP($D431,$C$6:$AJ$991,6,)/VLOOKUP($D431,$C$6:$AJ$991,4,))*$F431</f>
        <v>0</v>
      </c>
      <c r="I431" s="17">
        <f>(VLOOKUP($D431,$C$6:$AJ$991,7,)/VLOOKUP($D431,$C$6:$AJ$991,4,))*$F431</f>
        <v>0</v>
      </c>
      <c r="J431" s="17">
        <f>(VLOOKUP($D431,$C$6:$AJ$991,8,)/VLOOKUP($D431,$C$6:$AJ$991,4,))*$F431</f>
        <v>0</v>
      </c>
      <c r="K431" s="17">
        <f>(VLOOKUP($D431,$C$6:$AJ$991,9,)/VLOOKUP($D431,$C$6:$AJ$991,4,))*$F431</f>
        <v>0</v>
      </c>
      <c r="L431" s="17">
        <f>(VLOOKUP($D431,$C$6:$AJ$991,10,)/VLOOKUP($D431,$C$6:$AJ$991,4,))*$F431</f>
        <v>0</v>
      </c>
      <c r="M431" s="17">
        <f>(VLOOKUP($D431,$C$6:$AJ$991,11,)/VLOOKUP($D431,$C$6:$AJ$991,4,))*$F431</f>
        <v>0</v>
      </c>
      <c r="N431" s="17">
        <f>(VLOOKUP($D431,$C$6:$AJ$991,12,)/VLOOKUP($D431,$C$6:$AJ$991,4,))*$F431</f>
        <v>0</v>
      </c>
      <c r="O431" s="17">
        <f>(VLOOKUP($D431,$C$6:$AJ$991,13,)/VLOOKUP($D431,$C$6:$AJ$991,4,))*$F431</f>
        <v>0</v>
      </c>
      <c r="P431" s="17">
        <f>(VLOOKUP($D431,$C$6:$AJ$991,14,)/VLOOKUP($D431,$C$6:$AJ$991,4,))*$F431</f>
        <v>0</v>
      </c>
      <c r="Q431" s="17">
        <f>(VLOOKUP($D431,$C$6:$AJ$991,15,)/VLOOKUP($D431,$C$6:$AJ$991,4,))*$F431</f>
        <v>0</v>
      </c>
      <c r="R431" s="17">
        <f>(VLOOKUP($D431,$C$6:$AJ$991,16,)/VLOOKUP($D431,$C$6:$AJ$991,4,))*$F431</f>
        <v>0</v>
      </c>
      <c r="S431" s="17">
        <f>(VLOOKUP($D431,$C$6:$AJ$991,17,)/VLOOKUP($D431,$C$6:$AJ$991,4,))*$F431</f>
        <v>0</v>
      </c>
      <c r="T431" s="17">
        <f>(VLOOKUP($D431,$C$6:$AJ$991,18,)/VLOOKUP($D431,$C$6:$AJ$991,4,))*$F431</f>
        <v>0</v>
      </c>
      <c r="U431" s="17">
        <f>(VLOOKUP($D431,$C$6:$AJ$991,19,)/VLOOKUP($D431,$C$6:$AJ$991,4,))*$F431</f>
        <v>0</v>
      </c>
      <c r="V431" s="17">
        <f>(VLOOKUP($D431,$C$6:$AJ$991,20,)/VLOOKUP($D431,$C$6:$AJ$991,4,))*$F431</f>
        <v>960615.95999999763</v>
      </c>
      <c r="W431" s="17">
        <f>SUM(G431:V431)</f>
        <v>960615.95999999763</v>
      </c>
      <c r="X431" s="96" t="str">
        <f>IF(ABS(W431-F431)&lt;1,"ok","err")</f>
        <v>ok</v>
      </c>
    </row>
    <row r="432" spans="1:24" x14ac:dyDescent="0.2">
      <c r="A432" s="18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17"/>
      <c r="X432" s="96"/>
    </row>
    <row r="433" spans="1:24" x14ac:dyDescent="0.2">
      <c r="A433" s="93" t="s">
        <v>151</v>
      </c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17"/>
      <c r="X433" s="96"/>
    </row>
    <row r="434" spans="1:24" x14ac:dyDescent="0.2">
      <c r="A434" s="18" t="s">
        <v>150</v>
      </c>
      <c r="B434" s="16" t="s">
        <v>716</v>
      </c>
      <c r="C434" s="90" t="s">
        <v>152</v>
      </c>
      <c r="D434" s="90" t="s">
        <v>51</v>
      </c>
      <c r="F434" s="21">
        <v>0</v>
      </c>
      <c r="G434" s="17">
        <f>(VLOOKUP($D434,$C$6:$AJ$991,5,)/VLOOKUP($D434,$C$6:$AJ$991,4,))*$F434</f>
        <v>0</v>
      </c>
      <c r="H434" s="17">
        <f>(VLOOKUP($D434,$C$6:$AJ$991,6,)/VLOOKUP($D434,$C$6:$AJ$991,4,))*$F434</f>
        <v>0</v>
      </c>
      <c r="I434" s="17">
        <f>(VLOOKUP($D434,$C$6:$AJ$991,7,)/VLOOKUP($D434,$C$6:$AJ$991,4,))*$F434</f>
        <v>0</v>
      </c>
      <c r="J434" s="17">
        <f>(VLOOKUP($D434,$C$6:$AJ$991,8,)/VLOOKUP($D434,$C$6:$AJ$991,4,))*$F434</f>
        <v>0</v>
      </c>
      <c r="K434" s="17">
        <f>(VLOOKUP($D434,$C$6:$AJ$991,9,)/VLOOKUP($D434,$C$6:$AJ$991,4,))*$F434</f>
        <v>0</v>
      </c>
      <c r="L434" s="17">
        <f>(VLOOKUP($D434,$C$6:$AJ$991,10,)/VLOOKUP($D434,$C$6:$AJ$991,4,))*$F434</f>
        <v>0</v>
      </c>
      <c r="M434" s="17">
        <f>(VLOOKUP($D434,$C$6:$AJ$991,11,)/VLOOKUP($D434,$C$6:$AJ$991,4,))*$F434</f>
        <v>0</v>
      </c>
      <c r="N434" s="17">
        <f>(VLOOKUP($D434,$C$6:$AJ$991,12,)/VLOOKUP($D434,$C$6:$AJ$991,4,))*$F434</f>
        <v>0</v>
      </c>
      <c r="O434" s="17">
        <f>(VLOOKUP($D434,$C$6:$AJ$991,13,)/VLOOKUP($D434,$C$6:$AJ$991,4,))*$F434</f>
        <v>0</v>
      </c>
      <c r="P434" s="17">
        <f>(VLOOKUP($D434,$C$6:$AJ$991,14,)/VLOOKUP($D434,$C$6:$AJ$991,4,))*$F434</f>
        <v>0</v>
      </c>
      <c r="Q434" s="17">
        <f>(VLOOKUP($D434,$C$6:$AJ$991,15,)/VLOOKUP($D434,$C$6:$AJ$991,4,))*$F434</f>
        <v>0</v>
      </c>
      <c r="R434" s="17">
        <f>(VLOOKUP($D434,$C$6:$AJ$991,16,)/VLOOKUP($D434,$C$6:$AJ$991,4,))*$F434</f>
        <v>0</v>
      </c>
      <c r="S434" s="17">
        <f>(VLOOKUP($D434,$C$6:$AJ$991,17,)/VLOOKUP($D434,$C$6:$AJ$991,4,))*$F434</f>
        <v>0</v>
      </c>
      <c r="T434" s="17">
        <f>(VLOOKUP($D434,$C$6:$AJ$991,18,)/VLOOKUP($D434,$C$6:$AJ$991,4,))*$F434</f>
        <v>0</v>
      </c>
      <c r="U434" s="17">
        <f>(VLOOKUP($D434,$C$6:$AJ$991,19,)/VLOOKUP($D434,$C$6:$AJ$991,4,))*$F434</f>
        <v>0</v>
      </c>
      <c r="V434" s="17">
        <f>(VLOOKUP($D434,$C$6:$AJ$991,20,)/VLOOKUP($D434,$C$6:$AJ$991,4,))*$F434</f>
        <v>0</v>
      </c>
      <c r="W434" s="17">
        <f>SUM(G434:V434)</f>
        <v>0</v>
      </c>
      <c r="X434" s="96" t="str">
        <f>IF(ABS(W434-F434)&lt;1,"ok","err")</f>
        <v>ok</v>
      </c>
    </row>
    <row r="435" spans="1:24" x14ac:dyDescent="0.2">
      <c r="A435" s="18"/>
      <c r="F435" s="21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96"/>
    </row>
    <row r="436" spans="1:24" x14ac:dyDescent="0.2">
      <c r="A436" s="18"/>
      <c r="F436" s="21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96"/>
    </row>
    <row r="437" spans="1:24" x14ac:dyDescent="0.2">
      <c r="A437" s="18"/>
      <c r="F437" s="21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96"/>
    </row>
    <row r="438" spans="1:24" x14ac:dyDescent="0.2">
      <c r="A438" s="167"/>
      <c r="F438" s="21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96"/>
    </row>
    <row r="439" spans="1:24" x14ac:dyDescent="0.2">
      <c r="A439" s="18"/>
      <c r="F439" s="21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96"/>
    </row>
    <row r="440" spans="1:24" x14ac:dyDescent="0.2">
      <c r="A440" s="18"/>
      <c r="F440" s="21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96"/>
    </row>
    <row r="441" spans="1:24" x14ac:dyDescent="0.2">
      <c r="A441" s="18"/>
      <c r="F441" s="21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96"/>
    </row>
    <row r="442" spans="1:24" x14ac:dyDescent="0.2">
      <c r="A442" s="18"/>
      <c r="F442" s="21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96"/>
    </row>
    <row r="443" spans="1:24" x14ac:dyDescent="0.2">
      <c r="A443" s="158" t="s">
        <v>464</v>
      </c>
      <c r="F443" s="21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96"/>
    </row>
    <row r="444" spans="1:24" x14ac:dyDescent="0.2">
      <c r="A444" s="18"/>
      <c r="F444" s="21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96"/>
    </row>
    <row r="445" spans="1:24" x14ac:dyDescent="0.2">
      <c r="A445" s="18"/>
      <c r="F445" s="17"/>
    </row>
    <row r="446" spans="1:24" x14ac:dyDescent="0.2">
      <c r="A446" s="93" t="s">
        <v>172</v>
      </c>
      <c r="F446" s="17"/>
    </row>
    <row r="447" spans="1:24" x14ac:dyDescent="0.2">
      <c r="A447" s="18">
        <v>920</v>
      </c>
      <c r="B447" s="16" t="s">
        <v>433</v>
      </c>
      <c r="C447" s="90" t="s">
        <v>153</v>
      </c>
      <c r="D447" s="90" t="s">
        <v>154</v>
      </c>
      <c r="F447" s="21">
        <v>8610895.0801054891</v>
      </c>
      <c r="G447" s="17">
        <f t="shared" ref="G447:G460" si="244">(VLOOKUP($D447,$C$6:$AJ$991,5,)/VLOOKUP($D447,$C$6:$AJ$991,4,))*$F447</f>
        <v>29501.394009113708</v>
      </c>
      <c r="H447" s="17">
        <f t="shared" ref="H447:H460" si="245">(VLOOKUP($D447,$C$6:$AJ$991,6,)/VLOOKUP($D447,$C$6:$AJ$991,4,))*$F447</f>
        <v>221788.16313836249</v>
      </c>
      <c r="I447" s="17">
        <f t="shared" ref="I447:I460" si="246">(VLOOKUP($D447,$C$6:$AJ$991,7,)/VLOOKUP($D447,$C$6:$AJ$991,4,))*$F447</f>
        <v>464783.15158131433</v>
      </c>
      <c r="J447" s="17">
        <f t="shared" ref="J447:J460" si="247">(VLOOKUP($D447,$C$6:$AJ$991,8,)/VLOOKUP($D447,$C$6:$AJ$991,4,))*$F447</f>
        <v>875644.24598355475</v>
      </c>
      <c r="K447" s="17">
        <f t="shared" ref="K447:K460" si="248">(VLOOKUP($D447,$C$6:$AJ$991,9,)/VLOOKUP($D447,$C$6:$AJ$991,4,))*$F447</f>
        <v>280177.01569049119</v>
      </c>
      <c r="L447" s="17">
        <f t="shared" ref="L447:L460" si="249">(VLOOKUP($D447,$C$6:$AJ$991,10,)/VLOOKUP($D447,$C$6:$AJ$991,4,))*$F447</f>
        <v>682326.30178470968</v>
      </c>
      <c r="M447" s="17">
        <f t="shared" ref="M447:M460" si="250">(VLOOKUP($D447,$C$6:$AJ$991,11,)/VLOOKUP($D447,$C$6:$AJ$991,4,))*$F447</f>
        <v>260013.17493910293</v>
      </c>
      <c r="N447" s="17">
        <f t="shared" ref="N447:N460" si="251">(VLOOKUP($D447,$C$6:$AJ$991,12,)/VLOOKUP($D447,$C$6:$AJ$991,4,))*$F447</f>
        <v>495556.73894050851</v>
      </c>
      <c r="O447" s="17">
        <f t="shared" ref="O447:O460" si="252">(VLOOKUP($D447,$C$6:$AJ$991,13,)/VLOOKUP($D447,$C$6:$AJ$991,4,))*$F447</f>
        <v>684007.97016533534</v>
      </c>
      <c r="P447" s="17">
        <f t="shared" ref="P447:P460" si="253">(VLOOKUP($D447,$C$6:$AJ$991,14,)/VLOOKUP($D447,$C$6:$AJ$991,4,))*$F447</f>
        <v>1347673.2780566113</v>
      </c>
      <c r="Q447" s="17">
        <f t="shared" ref="Q447:Q460" si="254">(VLOOKUP($D447,$C$6:$AJ$991,15,)/VLOOKUP($D447,$C$6:$AJ$991,4,))*$F447</f>
        <v>116908.49335622443</v>
      </c>
      <c r="R447" s="17">
        <f t="shared" ref="R447:R460" si="255">(VLOOKUP($D447,$C$6:$AJ$991,16,)/VLOOKUP($D447,$C$6:$AJ$991,4,))*$F447</f>
        <v>99218.244505744005</v>
      </c>
      <c r="S447" s="17">
        <f t="shared" ref="S447:S460" si="256">(VLOOKUP($D447,$C$6:$AJ$991,17,)/VLOOKUP($D447,$C$6:$AJ$991,4,))*$F447</f>
        <v>827730.90760367177</v>
      </c>
      <c r="T447" s="17">
        <f t="shared" ref="T447:T460" si="257">(VLOOKUP($D447,$C$6:$AJ$991,18,)/VLOOKUP($D447,$C$6:$AJ$991,4,))*$F447</f>
        <v>674260.31385482324</v>
      </c>
      <c r="U447" s="17">
        <f t="shared" ref="U447:U460" si="258">(VLOOKUP($D447,$C$6:$AJ$991,19,)/VLOOKUP($D447,$C$6:$AJ$991,4,))*$F447</f>
        <v>1459018.3303900247</v>
      </c>
      <c r="V447" s="17">
        <f t="shared" ref="V447:V460" si="259">(VLOOKUP($D447,$C$6:$AJ$991,20,)/VLOOKUP($D447,$C$6:$AJ$991,4,))*$F447</f>
        <v>92287.356105895902</v>
      </c>
      <c r="W447" s="17">
        <f t="shared" ref="W447:W454" si="260">SUM(G447:V447)</f>
        <v>8610895.0801054873</v>
      </c>
      <c r="X447" s="96" t="str">
        <f t="shared" ref="X447:X454" si="261">IF(ABS(W447-F447)&lt;1,"ok","err")</f>
        <v>ok</v>
      </c>
    </row>
    <row r="448" spans="1:24" x14ac:dyDescent="0.2">
      <c r="A448" s="18">
        <v>921</v>
      </c>
      <c r="B448" s="16" t="s">
        <v>434</v>
      </c>
      <c r="C448" s="90" t="s">
        <v>155</v>
      </c>
      <c r="D448" s="90" t="s">
        <v>154</v>
      </c>
      <c r="F448" s="17">
        <v>2429073.1816176139</v>
      </c>
      <c r="G448" s="17">
        <f t="shared" si="244"/>
        <v>8322.1365887313477</v>
      </c>
      <c r="H448" s="17">
        <f t="shared" si="245"/>
        <v>62564.887165368724</v>
      </c>
      <c r="I448" s="17">
        <f t="shared" si="246"/>
        <v>131112.07119249372</v>
      </c>
      <c r="J448" s="17">
        <f t="shared" si="247"/>
        <v>247013.10778604596</v>
      </c>
      <c r="K448" s="17">
        <f t="shared" si="248"/>
        <v>79035.973448545628</v>
      </c>
      <c r="L448" s="17">
        <f t="shared" si="249"/>
        <v>192479.46994579575</v>
      </c>
      <c r="M448" s="17">
        <f t="shared" si="250"/>
        <v>73347.895223000043</v>
      </c>
      <c r="N448" s="17">
        <f t="shared" si="251"/>
        <v>139793.08461339699</v>
      </c>
      <c r="O448" s="17">
        <f t="shared" si="252"/>
        <v>192953.85681565668</v>
      </c>
      <c r="P448" s="17">
        <f t="shared" si="253"/>
        <v>380169.19110689114</v>
      </c>
      <c r="Q448" s="17">
        <f t="shared" si="254"/>
        <v>32979.067016044377</v>
      </c>
      <c r="R448" s="17">
        <f t="shared" si="255"/>
        <v>27988.771737900381</v>
      </c>
      <c r="S448" s="17">
        <f t="shared" si="256"/>
        <v>233497.09066847147</v>
      </c>
      <c r="T448" s="17">
        <f t="shared" si="257"/>
        <v>190204.11125410692</v>
      </c>
      <c r="U448" s="17">
        <f t="shared" si="258"/>
        <v>411578.85038305441</v>
      </c>
      <c r="V448" s="17">
        <f t="shared" si="259"/>
        <v>26033.616672110238</v>
      </c>
      <c r="W448" s="17">
        <f t="shared" si="260"/>
        <v>2429073.1816176139</v>
      </c>
      <c r="X448" s="96" t="str">
        <f t="shared" si="261"/>
        <v>ok</v>
      </c>
    </row>
    <row r="449" spans="1:24" x14ac:dyDescent="0.2">
      <c r="A449" s="18">
        <v>922</v>
      </c>
      <c r="B449" s="16" t="s">
        <v>435</v>
      </c>
      <c r="C449" s="90" t="s">
        <v>156</v>
      </c>
      <c r="D449" s="90" t="s">
        <v>154</v>
      </c>
      <c r="F449" s="17">
        <v>-1104282.5648178633</v>
      </c>
      <c r="G449" s="17">
        <f t="shared" si="244"/>
        <v>-3783.3320158962301</v>
      </c>
      <c r="H449" s="17">
        <f t="shared" si="245"/>
        <v>-28442.664712351045</v>
      </c>
      <c r="I449" s="17">
        <f t="shared" si="246"/>
        <v>-59604.945355582691</v>
      </c>
      <c r="J449" s="17">
        <f t="shared" si="247"/>
        <v>-112294.79221698728</v>
      </c>
      <c r="K449" s="17">
        <f t="shared" si="248"/>
        <v>-35930.5961356482</v>
      </c>
      <c r="L449" s="17">
        <f t="shared" si="249"/>
        <v>-87503.219069332335</v>
      </c>
      <c r="M449" s="17">
        <f t="shared" si="250"/>
        <v>-33344.735133466616</v>
      </c>
      <c r="N449" s="17">
        <f t="shared" si="251"/>
        <v>-63551.426605385728</v>
      </c>
      <c r="O449" s="17">
        <f t="shared" si="252"/>
        <v>-87718.8803978301</v>
      </c>
      <c r="P449" s="17">
        <f t="shared" si="253"/>
        <v>-172828.96727742045</v>
      </c>
      <c r="Q449" s="17">
        <f t="shared" si="254"/>
        <v>-14992.635456756963</v>
      </c>
      <c r="R449" s="17">
        <f t="shared" si="255"/>
        <v>-12723.994021558397</v>
      </c>
      <c r="S449" s="17">
        <f t="shared" si="256"/>
        <v>-106150.26674049346</v>
      </c>
      <c r="T449" s="17">
        <f t="shared" si="257"/>
        <v>-86468.816750392929</v>
      </c>
      <c r="U449" s="17">
        <f t="shared" si="258"/>
        <v>-187108.13324410349</v>
      </c>
      <c r="V449" s="17">
        <f t="shared" si="259"/>
        <v>-11835.159684657281</v>
      </c>
      <c r="W449" s="17">
        <f t="shared" si="260"/>
        <v>-1104282.5648178633</v>
      </c>
      <c r="X449" s="96" t="str">
        <f t="shared" si="261"/>
        <v>ok</v>
      </c>
    </row>
    <row r="450" spans="1:24" x14ac:dyDescent="0.2">
      <c r="A450" s="18">
        <v>923</v>
      </c>
      <c r="B450" s="16" t="s">
        <v>157</v>
      </c>
      <c r="C450" s="90" t="s">
        <v>158</v>
      </c>
      <c r="D450" s="90" t="s">
        <v>154</v>
      </c>
      <c r="F450" s="17">
        <v>5014664.3999999939</v>
      </c>
      <c r="G450" s="17">
        <f t="shared" si="244"/>
        <v>17180.512468404533</v>
      </c>
      <c r="H450" s="17">
        <f t="shared" si="245"/>
        <v>129161.16102737513</v>
      </c>
      <c r="I450" s="17">
        <f t="shared" si="246"/>
        <v>270672.38681603642</v>
      </c>
      <c r="J450" s="17">
        <f t="shared" si="247"/>
        <v>509942.57699685922</v>
      </c>
      <c r="K450" s="17">
        <f t="shared" si="248"/>
        <v>163164.65282772135</v>
      </c>
      <c r="L450" s="17">
        <f t="shared" si="249"/>
        <v>397361.41050525015</v>
      </c>
      <c r="M450" s="17">
        <f t="shared" si="250"/>
        <v>151421.98340223148</v>
      </c>
      <c r="N450" s="17">
        <f t="shared" si="251"/>
        <v>288593.77728181717</v>
      </c>
      <c r="O450" s="17">
        <f t="shared" si="252"/>
        <v>398340.75150087004</v>
      </c>
      <c r="P450" s="17">
        <f t="shared" si="253"/>
        <v>784834.69458543102</v>
      </c>
      <c r="Q450" s="17">
        <f t="shared" si="254"/>
        <v>68083.149804667279</v>
      </c>
      <c r="R450" s="17">
        <f t="shared" si="255"/>
        <v>57781.008121092353</v>
      </c>
      <c r="S450" s="17">
        <f t="shared" si="256"/>
        <v>482039.63426865579</v>
      </c>
      <c r="T450" s="17">
        <f t="shared" si="257"/>
        <v>392664.07972296217</v>
      </c>
      <c r="U450" s="17">
        <f t="shared" si="258"/>
        <v>849677.90366627648</v>
      </c>
      <c r="V450" s="17">
        <f t="shared" si="259"/>
        <v>53744.717004342914</v>
      </c>
      <c r="W450" s="17">
        <f t="shared" si="260"/>
        <v>5014664.3999999939</v>
      </c>
      <c r="X450" s="96" t="str">
        <f t="shared" si="261"/>
        <v>ok</v>
      </c>
    </row>
    <row r="451" spans="1:24" x14ac:dyDescent="0.2">
      <c r="A451" s="18">
        <v>924</v>
      </c>
      <c r="B451" s="16" t="s">
        <v>160</v>
      </c>
      <c r="C451" s="90" t="s">
        <v>161</v>
      </c>
      <c r="D451" s="90" t="s">
        <v>72</v>
      </c>
      <c r="F451" s="17">
        <v>314270.63999999966</v>
      </c>
      <c r="G451" s="17">
        <f t="shared" si="244"/>
        <v>0</v>
      </c>
      <c r="H451" s="17">
        <f t="shared" si="245"/>
        <v>0</v>
      </c>
      <c r="I451" s="17">
        <f t="shared" si="246"/>
        <v>49134.623996003626</v>
      </c>
      <c r="J451" s="17">
        <f t="shared" si="247"/>
        <v>0</v>
      </c>
      <c r="K451" s="17">
        <f t="shared" si="248"/>
        <v>5931.022435876961</v>
      </c>
      <c r="L451" s="17">
        <f t="shared" si="249"/>
        <v>14444.056356659285</v>
      </c>
      <c r="M451" s="17">
        <f t="shared" si="250"/>
        <v>0</v>
      </c>
      <c r="N451" s="17">
        <f t="shared" si="251"/>
        <v>12465.611160984317</v>
      </c>
      <c r="O451" s="17">
        <f t="shared" si="252"/>
        <v>33724.963939434434</v>
      </c>
      <c r="P451" s="17">
        <f t="shared" si="253"/>
        <v>66446.934373604716</v>
      </c>
      <c r="Q451" s="17">
        <f t="shared" si="254"/>
        <v>5764.164884949013</v>
      </c>
      <c r="R451" s="17">
        <f t="shared" si="255"/>
        <v>4891.9484334099106</v>
      </c>
      <c r="S451" s="17">
        <f t="shared" si="256"/>
        <v>97836.153102568438</v>
      </c>
      <c r="T451" s="17">
        <f t="shared" si="257"/>
        <v>23631.161316508962</v>
      </c>
      <c r="U451" s="17">
        <f t="shared" si="258"/>
        <v>0</v>
      </c>
      <c r="V451" s="17">
        <f t="shared" si="259"/>
        <v>0</v>
      </c>
      <c r="W451" s="17">
        <f t="shared" si="260"/>
        <v>314270.63999999966</v>
      </c>
      <c r="X451" s="96" t="str">
        <f t="shared" si="261"/>
        <v>ok</v>
      </c>
    </row>
    <row r="452" spans="1:24" x14ac:dyDescent="0.2">
      <c r="A452" s="18">
        <v>925</v>
      </c>
      <c r="B452" s="16" t="s">
        <v>717</v>
      </c>
      <c r="C452" s="90" t="s">
        <v>163</v>
      </c>
      <c r="D452" s="90" t="s">
        <v>154</v>
      </c>
      <c r="F452" s="17">
        <v>966969.59999999963</v>
      </c>
      <c r="G452" s="17">
        <f t="shared" si="244"/>
        <v>3312.8903440413992</v>
      </c>
      <c r="H452" s="17">
        <f t="shared" si="245"/>
        <v>24905.937117980742</v>
      </c>
      <c r="I452" s="17">
        <f t="shared" si="246"/>
        <v>52193.317186001164</v>
      </c>
      <c r="J452" s="17">
        <f t="shared" si="247"/>
        <v>98331.399744641458</v>
      </c>
      <c r="K452" s="17">
        <f t="shared" si="248"/>
        <v>31462.775271454</v>
      </c>
      <c r="L452" s="17">
        <f t="shared" si="249"/>
        <v>76622.556072086867</v>
      </c>
      <c r="M452" s="17">
        <f t="shared" si="250"/>
        <v>29198.455378521947</v>
      </c>
      <c r="N452" s="17">
        <f t="shared" si="251"/>
        <v>55649.06983220813</v>
      </c>
      <c r="O452" s="17">
        <f t="shared" si="252"/>
        <v>76811.400807299491</v>
      </c>
      <c r="P452" s="17">
        <f t="shared" si="253"/>
        <v>151338.40076903193</v>
      </c>
      <c r="Q452" s="17">
        <f t="shared" si="254"/>
        <v>13128.363312479943</v>
      </c>
      <c r="R452" s="17">
        <f t="shared" si="255"/>
        <v>11141.818046776863</v>
      </c>
      <c r="S452" s="17">
        <f t="shared" si="256"/>
        <v>92950.920570658476</v>
      </c>
      <c r="T452" s="17">
        <f t="shared" si="257"/>
        <v>75716.777398719074</v>
      </c>
      <c r="U452" s="17">
        <f t="shared" si="258"/>
        <v>163842.01156851466</v>
      </c>
      <c r="V452" s="17">
        <f t="shared" si="259"/>
        <v>10363.506579583413</v>
      </c>
      <c r="W452" s="17">
        <f t="shared" si="260"/>
        <v>966969.59999999939</v>
      </c>
      <c r="X452" s="96" t="str">
        <f t="shared" si="261"/>
        <v>ok</v>
      </c>
    </row>
    <row r="453" spans="1:24" x14ac:dyDescent="0.2">
      <c r="A453" s="18">
        <v>926</v>
      </c>
      <c r="B453" s="16" t="s">
        <v>718</v>
      </c>
      <c r="C453" s="90" t="s">
        <v>164</v>
      </c>
      <c r="D453" s="90" t="s">
        <v>154</v>
      </c>
      <c r="F453" s="17">
        <v>7770143.5999999922</v>
      </c>
      <c r="G453" s="17">
        <f t="shared" si="244"/>
        <v>26620.9337959074</v>
      </c>
      <c r="H453" s="17">
        <f t="shared" si="245"/>
        <v>200133.18712323569</v>
      </c>
      <c r="I453" s="17">
        <f t="shared" si="246"/>
        <v>419402.60531000845</v>
      </c>
      <c r="J453" s="17">
        <f t="shared" si="247"/>
        <v>790148.00093494868</v>
      </c>
      <c r="K453" s="17">
        <f t="shared" si="248"/>
        <v>252821.06274460585</v>
      </c>
      <c r="L453" s="17">
        <f t="shared" si="249"/>
        <v>615705.25451799785</v>
      </c>
      <c r="M453" s="17">
        <f t="shared" si="250"/>
        <v>234625.98119869304</v>
      </c>
      <c r="N453" s="17">
        <f t="shared" si="251"/>
        <v>447171.51790778612</v>
      </c>
      <c r="O453" s="17">
        <f t="shared" si="252"/>
        <v>617222.72798428475</v>
      </c>
      <c r="P453" s="17">
        <f t="shared" si="253"/>
        <v>1216089.0126946368</v>
      </c>
      <c r="Q453" s="17">
        <f t="shared" si="254"/>
        <v>105493.76957759663</v>
      </c>
      <c r="R453" s="17">
        <f t="shared" si="255"/>
        <v>89530.763106231767</v>
      </c>
      <c r="S453" s="17">
        <f t="shared" si="256"/>
        <v>746912.83013055415</v>
      </c>
      <c r="T453" s="17">
        <f t="shared" si="257"/>
        <v>608426.81436653365</v>
      </c>
      <c r="U453" s="17">
        <f t="shared" si="258"/>
        <v>1316562.545089545</v>
      </c>
      <c r="V453" s="17">
        <f t="shared" si="259"/>
        <v>83276.593517425878</v>
      </c>
      <c r="W453" s="17">
        <f t="shared" si="260"/>
        <v>7770143.5999999903</v>
      </c>
      <c r="X453" s="96" t="str">
        <f t="shared" si="261"/>
        <v>ok</v>
      </c>
    </row>
    <row r="454" spans="1:24" x14ac:dyDescent="0.2">
      <c r="A454" s="18">
        <v>927</v>
      </c>
      <c r="B454" s="16" t="s">
        <v>683</v>
      </c>
      <c r="C454" s="90" t="s">
        <v>165</v>
      </c>
      <c r="D454" s="90" t="s">
        <v>72</v>
      </c>
      <c r="F454" s="17">
        <v>0</v>
      </c>
      <c r="G454" s="17">
        <f t="shared" si="244"/>
        <v>0</v>
      </c>
      <c r="H454" s="17">
        <f t="shared" si="245"/>
        <v>0</v>
      </c>
      <c r="I454" s="17">
        <f t="shared" si="246"/>
        <v>0</v>
      </c>
      <c r="J454" s="17">
        <f t="shared" si="247"/>
        <v>0</v>
      </c>
      <c r="K454" s="17">
        <f t="shared" si="248"/>
        <v>0</v>
      </c>
      <c r="L454" s="17">
        <f t="shared" si="249"/>
        <v>0</v>
      </c>
      <c r="M454" s="17">
        <f t="shared" si="250"/>
        <v>0</v>
      </c>
      <c r="N454" s="17">
        <f t="shared" si="251"/>
        <v>0</v>
      </c>
      <c r="O454" s="17">
        <f t="shared" si="252"/>
        <v>0</v>
      </c>
      <c r="P454" s="17">
        <f t="shared" si="253"/>
        <v>0</v>
      </c>
      <c r="Q454" s="17">
        <f t="shared" si="254"/>
        <v>0</v>
      </c>
      <c r="R454" s="17">
        <f t="shared" si="255"/>
        <v>0</v>
      </c>
      <c r="S454" s="17">
        <f t="shared" si="256"/>
        <v>0</v>
      </c>
      <c r="T454" s="17">
        <f t="shared" si="257"/>
        <v>0</v>
      </c>
      <c r="U454" s="17">
        <f t="shared" si="258"/>
        <v>0</v>
      </c>
      <c r="V454" s="17">
        <f t="shared" si="259"/>
        <v>0</v>
      </c>
      <c r="W454" s="17">
        <f t="shared" si="260"/>
        <v>0</v>
      </c>
      <c r="X454" s="96" t="str">
        <f t="shared" si="261"/>
        <v>ok</v>
      </c>
    </row>
    <row r="455" spans="1:24" x14ac:dyDescent="0.2">
      <c r="A455" s="18">
        <v>928</v>
      </c>
      <c r="B455" s="16" t="s">
        <v>166</v>
      </c>
      <c r="C455" s="90" t="s">
        <v>167</v>
      </c>
      <c r="D455" s="90" t="s">
        <v>72</v>
      </c>
      <c r="F455" s="17">
        <v>258343.49999999951</v>
      </c>
      <c r="G455" s="17">
        <f t="shared" si="244"/>
        <v>0</v>
      </c>
      <c r="H455" s="17">
        <f t="shared" si="245"/>
        <v>0</v>
      </c>
      <c r="I455" s="17">
        <f t="shared" si="246"/>
        <v>40390.698712140438</v>
      </c>
      <c r="J455" s="17">
        <f t="shared" si="247"/>
        <v>0</v>
      </c>
      <c r="K455" s="17">
        <f t="shared" si="248"/>
        <v>4875.5464228633591</v>
      </c>
      <c r="L455" s="17">
        <f t="shared" si="249"/>
        <v>11873.613371508725</v>
      </c>
      <c r="M455" s="17">
        <f t="shared" si="250"/>
        <v>0</v>
      </c>
      <c r="N455" s="17">
        <f t="shared" si="251"/>
        <v>10247.249367512502</v>
      </c>
      <c r="O455" s="17">
        <f t="shared" si="252"/>
        <v>27723.319052289684</v>
      </c>
      <c r="P455" s="17">
        <f t="shared" si="253"/>
        <v>54622.13584554808</v>
      </c>
      <c r="Q455" s="17">
        <f t="shared" si="254"/>
        <v>4738.3825958251273</v>
      </c>
      <c r="R455" s="17">
        <f t="shared" si="255"/>
        <v>4021.3844987448783</v>
      </c>
      <c r="S455" s="17">
        <f t="shared" si="256"/>
        <v>80425.375463178396</v>
      </c>
      <c r="T455" s="17">
        <f t="shared" si="257"/>
        <v>19425.794670388324</v>
      </c>
      <c r="U455" s="17">
        <f t="shared" si="258"/>
        <v>0</v>
      </c>
      <c r="V455" s="17">
        <f t="shared" si="259"/>
        <v>0</v>
      </c>
      <c r="W455" s="17">
        <f t="shared" ref="W455:W460" si="262">SUM(G455:V455)</f>
        <v>258343.49999999953</v>
      </c>
      <c r="X455" s="96" t="str">
        <f t="shared" ref="X455:X460" si="263">IF(ABS(W455-F455)&lt;1,"ok","err")</f>
        <v>ok</v>
      </c>
    </row>
    <row r="456" spans="1:24" x14ac:dyDescent="0.2">
      <c r="A456" s="18">
        <v>929</v>
      </c>
      <c r="B456" s="16" t="s">
        <v>682</v>
      </c>
      <c r="C456" s="90" t="s">
        <v>168</v>
      </c>
      <c r="D456" s="90" t="s">
        <v>154</v>
      </c>
      <c r="F456" s="17">
        <v>-571000</v>
      </c>
      <c r="G456" s="17">
        <f t="shared" si="244"/>
        <v>-1956.2769982092921</v>
      </c>
      <c r="H456" s="17">
        <f t="shared" si="245"/>
        <v>-14707.070516350264</v>
      </c>
      <c r="I456" s="17">
        <f t="shared" si="246"/>
        <v>-30820.394057069301</v>
      </c>
      <c r="J456" s="17">
        <f t="shared" si="247"/>
        <v>-58065.144192940803</v>
      </c>
      <c r="K456" s="17">
        <f t="shared" si="248"/>
        <v>-18578.913628722396</v>
      </c>
      <c r="L456" s="17">
        <f t="shared" si="249"/>
        <v>-45245.972073125791</v>
      </c>
      <c r="M456" s="17">
        <f t="shared" si="250"/>
        <v>-17241.82230872205</v>
      </c>
      <c r="N456" s="17">
        <f t="shared" si="251"/>
        <v>-32861.031902337832</v>
      </c>
      <c r="O456" s="17">
        <f t="shared" si="252"/>
        <v>-45357.485758567833</v>
      </c>
      <c r="P456" s="17">
        <f t="shared" si="253"/>
        <v>-89366.022302166748</v>
      </c>
      <c r="Q456" s="17">
        <f t="shared" si="254"/>
        <v>-7752.3589691196612</v>
      </c>
      <c r="R456" s="17">
        <f t="shared" si="255"/>
        <v>-6579.2948451632728</v>
      </c>
      <c r="S456" s="17">
        <f t="shared" si="256"/>
        <v>-54887.946473028744</v>
      </c>
      <c r="T456" s="17">
        <f t="shared" si="257"/>
        <v>-44711.105596979069</v>
      </c>
      <c r="U456" s="17">
        <f t="shared" si="258"/>
        <v>-96749.462036471363</v>
      </c>
      <c r="V456" s="17">
        <f t="shared" si="259"/>
        <v>-6119.6983410255416</v>
      </c>
      <c r="W456" s="17">
        <f t="shared" si="262"/>
        <v>-571000</v>
      </c>
      <c r="X456" s="96" t="str">
        <f t="shared" si="263"/>
        <v>ok</v>
      </c>
    </row>
    <row r="457" spans="1:24" x14ac:dyDescent="0.2">
      <c r="A457" s="168">
        <v>930.1</v>
      </c>
      <c r="B457" s="16" t="s">
        <v>719</v>
      </c>
      <c r="C457" s="90" t="s">
        <v>579</v>
      </c>
      <c r="D457" s="90" t="s">
        <v>72</v>
      </c>
      <c r="F457" s="17">
        <v>0</v>
      </c>
      <c r="G457" s="17">
        <f t="shared" si="244"/>
        <v>0</v>
      </c>
      <c r="H457" s="17">
        <f t="shared" si="245"/>
        <v>0</v>
      </c>
      <c r="I457" s="17">
        <f t="shared" si="246"/>
        <v>0</v>
      </c>
      <c r="J457" s="17">
        <f t="shared" si="247"/>
        <v>0</v>
      </c>
      <c r="K457" s="17">
        <f t="shared" si="248"/>
        <v>0</v>
      </c>
      <c r="L457" s="17">
        <f t="shared" si="249"/>
        <v>0</v>
      </c>
      <c r="M457" s="17">
        <f t="shared" si="250"/>
        <v>0</v>
      </c>
      <c r="N457" s="17">
        <f t="shared" si="251"/>
        <v>0</v>
      </c>
      <c r="O457" s="17">
        <f t="shared" si="252"/>
        <v>0</v>
      </c>
      <c r="P457" s="17">
        <f t="shared" si="253"/>
        <v>0</v>
      </c>
      <c r="Q457" s="17">
        <f t="shared" si="254"/>
        <v>0</v>
      </c>
      <c r="R457" s="17">
        <f t="shared" si="255"/>
        <v>0</v>
      </c>
      <c r="S457" s="17">
        <f t="shared" si="256"/>
        <v>0</v>
      </c>
      <c r="T457" s="17">
        <f t="shared" si="257"/>
        <v>0</v>
      </c>
      <c r="U457" s="17">
        <f t="shared" si="258"/>
        <v>0</v>
      </c>
      <c r="V457" s="17">
        <f t="shared" si="259"/>
        <v>0</v>
      </c>
      <c r="W457" s="17">
        <f t="shared" si="262"/>
        <v>0</v>
      </c>
      <c r="X457" s="96" t="str">
        <f t="shared" si="263"/>
        <v>ok</v>
      </c>
    </row>
    <row r="458" spans="1:24" x14ac:dyDescent="0.2">
      <c r="A458" s="168">
        <v>930.2</v>
      </c>
      <c r="B458" s="16" t="s">
        <v>701</v>
      </c>
      <c r="C458" s="90" t="s">
        <v>580</v>
      </c>
      <c r="D458" s="90" t="s">
        <v>154</v>
      </c>
      <c r="F458" s="166">
        <v>451825.93999999959</v>
      </c>
      <c r="G458" s="17">
        <f t="shared" si="244"/>
        <v>1547.9801989777422</v>
      </c>
      <c r="H458" s="17">
        <f t="shared" si="245"/>
        <v>11637.541087033691</v>
      </c>
      <c r="I458" s="17">
        <f t="shared" si="246"/>
        <v>24387.834528906722</v>
      </c>
      <c r="J458" s="17">
        <f t="shared" si="247"/>
        <v>45946.301849756564</v>
      </c>
      <c r="K458" s="17">
        <f t="shared" si="248"/>
        <v>14701.287415895446</v>
      </c>
      <c r="L458" s="17">
        <f t="shared" si="249"/>
        <v>35802.633735821</v>
      </c>
      <c r="M458" s="17">
        <f t="shared" si="250"/>
        <v>13643.261947375313</v>
      </c>
      <c r="N458" s="17">
        <f t="shared" si="251"/>
        <v>26002.568526521482</v>
      </c>
      <c r="O458" s="17">
        <f t="shared" si="252"/>
        <v>35890.873273032405</v>
      </c>
      <c r="P458" s="17">
        <f t="shared" si="253"/>
        <v>70714.338057333487</v>
      </c>
      <c r="Q458" s="17">
        <f t="shared" si="254"/>
        <v>6134.3553037476686</v>
      </c>
      <c r="R458" s="17">
        <f t="shared" si="255"/>
        <v>5206.1227284641809</v>
      </c>
      <c r="S458" s="17">
        <f t="shared" si="256"/>
        <v>43432.220682742336</v>
      </c>
      <c r="T458" s="17">
        <f t="shared" si="257"/>
        <v>35379.399850778129</v>
      </c>
      <c r="U458" s="17">
        <f t="shared" si="258"/>
        <v>76556.77167972496</v>
      </c>
      <c r="V458" s="17">
        <f t="shared" si="259"/>
        <v>4842.4491338884472</v>
      </c>
      <c r="W458" s="17">
        <f t="shared" si="262"/>
        <v>451825.93999999959</v>
      </c>
      <c r="X458" s="96" t="str">
        <f t="shared" si="263"/>
        <v>ok</v>
      </c>
    </row>
    <row r="459" spans="1:24" x14ac:dyDescent="0.2">
      <c r="A459" s="168">
        <v>931</v>
      </c>
      <c r="B459" s="16" t="s">
        <v>108</v>
      </c>
      <c r="C459" s="90" t="s">
        <v>169</v>
      </c>
      <c r="D459" s="90" t="s">
        <v>72</v>
      </c>
      <c r="F459" s="17">
        <v>588020.87999999954</v>
      </c>
      <c r="G459" s="17">
        <f t="shared" si="244"/>
        <v>0</v>
      </c>
      <c r="H459" s="17">
        <f t="shared" si="245"/>
        <v>0</v>
      </c>
      <c r="I459" s="17">
        <f t="shared" si="246"/>
        <v>91934.08853146185</v>
      </c>
      <c r="J459" s="17">
        <f t="shared" si="247"/>
        <v>0</v>
      </c>
      <c r="K459" s="17">
        <f t="shared" si="248"/>
        <v>11097.330097536682</v>
      </c>
      <c r="L459" s="17">
        <f t="shared" si="249"/>
        <v>27025.772212168431</v>
      </c>
      <c r="M459" s="17">
        <f t="shared" si="250"/>
        <v>0</v>
      </c>
      <c r="N459" s="17">
        <f t="shared" si="251"/>
        <v>23323.972117216621</v>
      </c>
      <c r="O459" s="17">
        <f t="shared" si="252"/>
        <v>63101.608771454143</v>
      </c>
      <c r="P459" s="17">
        <f t="shared" si="253"/>
        <v>124326.55122880491</v>
      </c>
      <c r="Q459" s="17">
        <f t="shared" si="254"/>
        <v>10785.128728896911</v>
      </c>
      <c r="R459" s="17">
        <f t="shared" si="255"/>
        <v>9153.1548181793805</v>
      </c>
      <c r="S459" s="17">
        <f t="shared" si="256"/>
        <v>183057.82825652132</v>
      </c>
      <c r="T459" s="17">
        <f t="shared" si="257"/>
        <v>44215.445237759282</v>
      </c>
      <c r="U459" s="17">
        <f t="shared" si="258"/>
        <v>0</v>
      </c>
      <c r="V459" s="17">
        <f t="shared" si="259"/>
        <v>0</v>
      </c>
      <c r="W459" s="17">
        <f t="shared" si="262"/>
        <v>588020.87999999942</v>
      </c>
      <c r="X459" s="96" t="str">
        <f t="shared" si="263"/>
        <v>ok</v>
      </c>
    </row>
    <row r="460" spans="1:24" x14ac:dyDescent="0.2">
      <c r="A460" s="168">
        <v>935</v>
      </c>
      <c r="B460" s="16" t="s">
        <v>188</v>
      </c>
      <c r="C460" s="90" t="s">
        <v>170</v>
      </c>
      <c r="D460" s="90" t="s">
        <v>62</v>
      </c>
      <c r="F460" s="17">
        <v>352313.14</v>
      </c>
      <c r="G460" s="17">
        <f t="shared" si="244"/>
        <v>0</v>
      </c>
      <c r="H460" s="17">
        <f t="shared" si="245"/>
        <v>0</v>
      </c>
      <c r="I460" s="17">
        <f t="shared" si="246"/>
        <v>52137.965703281909</v>
      </c>
      <c r="J460" s="17">
        <f t="shared" si="247"/>
        <v>0</v>
      </c>
      <c r="K460" s="17">
        <f t="shared" si="248"/>
        <v>4731.7741297289922</v>
      </c>
      <c r="L460" s="17">
        <f t="shared" si="249"/>
        <v>11523.478950840006</v>
      </c>
      <c r="M460" s="17">
        <f t="shared" si="250"/>
        <v>0</v>
      </c>
      <c r="N460" s="17">
        <f t="shared" si="251"/>
        <v>14543.96533296232</v>
      </c>
      <c r="O460" s="17">
        <f t="shared" si="252"/>
        <v>38845.951578021195</v>
      </c>
      <c r="P460" s="17">
        <f t="shared" si="253"/>
        <v>76536.609492614545</v>
      </c>
      <c r="Q460" s="17">
        <f t="shared" si="254"/>
        <v>6639.4280038543629</v>
      </c>
      <c r="R460" s="17">
        <f t="shared" si="255"/>
        <v>5634.7693153265045</v>
      </c>
      <c r="S460" s="17">
        <f t="shared" si="256"/>
        <v>114148.08312710047</v>
      </c>
      <c r="T460" s="17">
        <f t="shared" si="257"/>
        <v>27571.1143662697</v>
      </c>
      <c r="U460" s="17">
        <f t="shared" si="258"/>
        <v>0</v>
      </c>
      <c r="V460" s="17">
        <f t="shared" si="259"/>
        <v>0</v>
      </c>
      <c r="W460" s="17">
        <f t="shared" si="262"/>
        <v>352313.14</v>
      </c>
      <c r="X460" s="96" t="str">
        <f t="shared" si="263"/>
        <v>ok</v>
      </c>
    </row>
    <row r="461" spans="1:24" x14ac:dyDescent="0.2">
      <c r="A461" s="168"/>
      <c r="F461" s="17"/>
      <c r="G461" s="101"/>
    </row>
    <row r="462" spans="1:24" x14ac:dyDescent="0.2">
      <c r="A462" s="168" t="s">
        <v>466</v>
      </c>
      <c r="C462" s="90" t="s">
        <v>581</v>
      </c>
      <c r="F462" s="21">
        <f>SUM(F447:F460)</f>
        <v>25081237.396905228</v>
      </c>
      <c r="G462" s="21">
        <f t="shared" ref="G462:V462" si="264">SUM(G447:G460)</f>
        <v>80746.238391070627</v>
      </c>
      <c r="H462" s="21">
        <f t="shared" si="264"/>
        <v>607041.14143065526</v>
      </c>
      <c r="I462" s="21">
        <f t="shared" si="264"/>
        <v>1505723.4041449965</v>
      </c>
      <c r="J462" s="21">
        <f t="shared" si="264"/>
        <v>2396665.6968858782</v>
      </c>
      <c r="K462" s="21">
        <f t="shared" si="264"/>
        <v>793488.93072034896</v>
      </c>
      <c r="L462" s="21">
        <f t="shared" si="264"/>
        <v>1932415.3563103795</v>
      </c>
      <c r="M462" s="21">
        <f t="shared" si="264"/>
        <v>711664.19464673602</v>
      </c>
      <c r="N462" s="21">
        <f t="shared" si="264"/>
        <v>1416935.0965731905</v>
      </c>
      <c r="O462" s="21">
        <f t="shared" si="264"/>
        <v>2035547.0577312801</v>
      </c>
      <c r="P462" s="21">
        <f t="shared" si="264"/>
        <v>4010556.1566309212</v>
      </c>
      <c r="Q462" s="21">
        <f>SUM(Q447:Q460)</f>
        <v>347909.30815840914</v>
      </c>
      <c r="R462" s="21">
        <f>SUM(R447:R460)</f>
        <v>295264.69644514855</v>
      </c>
      <c r="S462" s="21">
        <f t="shared" si="264"/>
        <v>2740992.8306606011</v>
      </c>
      <c r="T462" s="21">
        <f t="shared" si="264"/>
        <v>1960315.0896914771</v>
      </c>
      <c r="U462" s="21">
        <f t="shared" si="264"/>
        <v>3993378.8174965652</v>
      </c>
      <c r="V462" s="21">
        <f t="shared" si="264"/>
        <v>252593.38098756399</v>
      </c>
      <c r="W462" s="17">
        <f>SUM(G462:V462)</f>
        <v>25081237.396905217</v>
      </c>
      <c r="X462" s="96" t="str">
        <f>IF(ABS(W462-F462)&lt;1,"ok","err")</f>
        <v>ok</v>
      </c>
    </row>
    <row r="463" spans="1:24" x14ac:dyDescent="0.2">
      <c r="A463" s="168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</row>
    <row r="464" spans="1:24" x14ac:dyDescent="0.2">
      <c r="A464" s="168" t="s">
        <v>467</v>
      </c>
      <c r="C464" s="90" t="s">
        <v>90</v>
      </c>
      <c r="F464" s="21">
        <f>F316+F351+F418+F428+F431+F434+F462</f>
        <v>93616747.446905226</v>
      </c>
      <c r="G464" s="21">
        <f t="shared" ref="G464:V464" si="265">G316+G351+G418+G428+G431+G434+G462</f>
        <v>119614.67819107101</v>
      </c>
      <c r="H464" s="21">
        <f t="shared" si="265"/>
        <v>899249.70163065824</v>
      </c>
      <c r="I464" s="21">
        <f t="shared" si="265"/>
        <v>5252400.3008670649</v>
      </c>
      <c r="J464" s="21">
        <f t="shared" si="265"/>
        <v>9221137.8001638092</v>
      </c>
      <c r="K464" s="21">
        <f t="shared" si="265"/>
        <v>5474944.0006003492</v>
      </c>
      <c r="L464" s="21">
        <f t="shared" si="265"/>
        <v>13333350.286430379</v>
      </c>
      <c r="M464" s="21">
        <f t="shared" si="265"/>
        <v>1624322.1946467361</v>
      </c>
      <c r="N464" s="21">
        <f t="shared" si="265"/>
        <v>4118775.1060361955</v>
      </c>
      <c r="O464" s="21">
        <f t="shared" si="265"/>
        <v>7540963.9227079134</v>
      </c>
      <c r="P464" s="21">
        <f t="shared" si="265"/>
        <v>14857656.654155537</v>
      </c>
      <c r="Q464" s="21">
        <f t="shared" si="265"/>
        <v>1288877.8627014086</v>
      </c>
      <c r="R464" s="21">
        <f t="shared" si="265"/>
        <v>1093848.6610198072</v>
      </c>
      <c r="S464" s="21">
        <f t="shared" si="265"/>
        <v>8129305.5197988376</v>
      </c>
      <c r="T464" s="21">
        <f t="shared" si="265"/>
        <v>5597920.509471328</v>
      </c>
      <c r="U464" s="21">
        <f t="shared" si="265"/>
        <v>13851170.90749656</v>
      </c>
      <c r="V464" s="21">
        <f t="shared" si="265"/>
        <v>1213209.3409875617</v>
      </c>
      <c r="W464" s="17">
        <f>SUM(G464:V464)</f>
        <v>93616747.446905211</v>
      </c>
      <c r="X464" s="96" t="str">
        <f>IF(ABS(W464-F464)&lt;1,"ok","err")</f>
        <v>ok</v>
      </c>
    </row>
    <row r="465" spans="1:20" x14ac:dyDescent="0.2">
      <c r="A465" s="168"/>
      <c r="F465" s="22"/>
    </row>
    <row r="466" spans="1:20" x14ac:dyDescent="0.2">
      <c r="A466" s="169"/>
      <c r="F466" s="22"/>
      <c r="T466" s="22">
        <f>T464+S464+R464+Q464+P464+O464+N464+M464</f>
        <v>44251670.430537768</v>
      </c>
    </row>
    <row r="467" spans="1:20" x14ac:dyDescent="0.2">
      <c r="A467" s="169"/>
    </row>
    <row r="468" spans="1:20" x14ac:dyDescent="0.2">
      <c r="A468" s="169"/>
      <c r="F468" s="20"/>
    </row>
    <row r="469" spans="1:20" x14ac:dyDescent="0.2">
      <c r="A469" s="167"/>
      <c r="F469" s="103"/>
    </row>
    <row r="470" spans="1:20" x14ac:dyDescent="0.2">
      <c r="F470" s="22"/>
    </row>
    <row r="486" spans="1:24" x14ac:dyDescent="0.2">
      <c r="A486" s="158" t="s">
        <v>173</v>
      </c>
    </row>
    <row r="488" spans="1:24" x14ac:dyDescent="0.2">
      <c r="A488" s="93"/>
    </row>
    <row r="489" spans="1:24" x14ac:dyDescent="0.2">
      <c r="A489" s="6" t="s">
        <v>390</v>
      </c>
    </row>
    <row r="490" spans="1:24" x14ac:dyDescent="0.2">
      <c r="A490" s="16" t="s">
        <v>22</v>
      </c>
      <c r="B490" s="16" t="s">
        <v>388</v>
      </c>
      <c r="C490" s="90" t="s">
        <v>592</v>
      </c>
      <c r="D490" s="90" t="s">
        <v>25</v>
      </c>
      <c r="F490" s="21">
        <v>4167241.7799999975</v>
      </c>
      <c r="G490" s="17">
        <f>(VLOOKUP($D490,$C$6:$AJ$991,5,)/VLOOKUP($D490,$C$6:$AJ$991,4,))*$F490</f>
        <v>0</v>
      </c>
      <c r="H490" s="17">
        <f>(VLOOKUP($D490,$C$6:$AJ$991,6,)/VLOOKUP($D490,$C$6:$AJ$991,4,))*$F490</f>
        <v>0</v>
      </c>
      <c r="I490" s="17">
        <f>(VLOOKUP($D490,$C$6:$AJ$991,7,)/VLOOKUP($D490,$C$6:$AJ$991,4,))*$F490</f>
        <v>4167241.7799999975</v>
      </c>
      <c r="J490" s="17">
        <f>(VLOOKUP($D490,$C$6:$AJ$991,8,)/VLOOKUP($D490,$C$6:$AJ$991,4,))*$F490</f>
        <v>0</v>
      </c>
      <c r="K490" s="17">
        <f>(VLOOKUP($D490,$C$6:$AJ$991,9,)/VLOOKUP($D490,$C$6:$AJ$991,4,))*$F490</f>
        <v>0</v>
      </c>
      <c r="L490" s="17">
        <f>(VLOOKUP($D490,$C$6:$AJ$991,10,)/VLOOKUP($D490,$C$6:$AJ$991,4,))*$F490</f>
        <v>0</v>
      </c>
      <c r="M490" s="17">
        <f>(VLOOKUP($D490,$C$6:$AJ$991,11,)/VLOOKUP($D490,$C$6:$AJ$991,4,))*$F490</f>
        <v>0</v>
      </c>
      <c r="N490" s="17">
        <f>(VLOOKUP($D490,$C$6:$AJ$991,12,)/VLOOKUP($D490,$C$6:$AJ$991,4,))*$F490</f>
        <v>0</v>
      </c>
      <c r="O490" s="17">
        <f>(VLOOKUP($D490,$C$6:$AJ$991,13,)/VLOOKUP($D490,$C$6:$AJ$991,4,))*$F490</f>
        <v>0</v>
      </c>
      <c r="P490" s="17">
        <f>(VLOOKUP($D490,$C$6:$AJ$991,14,)/VLOOKUP($D490,$C$6:$AJ$991,4,))*$F490</f>
        <v>0</v>
      </c>
      <c r="Q490" s="17">
        <f>(VLOOKUP($D490,$C$6:$AJ$991,15,)/VLOOKUP($D490,$C$6:$AJ$991,4,))*$F490</f>
        <v>0</v>
      </c>
      <c r="R490" s="17">
        <f>(VLOOKUP($D490,$C$6:$AJ$991,16,)/VLOOKUP($D490,$C$6:$AJ$991,4,))*$F490</f>
        <v>0</v>
      </c>
      <c r="S490" s="17">
        <f>(VLOOKUP($D490,$C$6:$AJ$991,17,)/VLOOKUP($D490,$C$6:$AJ$991,4,))*$F490</f>
        <v>0</v>
      </c>
      <c r="T490" s="17">
        <f>(VLOOKUP($D490,$C$6:$AJ$991,18,)/VLOOKUP($D490,$C$6:$AJ$991,4,))*$F490</f>
        <v>0</v>
      </c>
      <c r="U490" s="17">
        <f>(VLOOKUP($D490,$C$6:$AJ$991,19,)/VLOOKUP($D490,$C$6:$AJ$991,4,))*$F490</f>
        <v>0</v>
      </c>
      <c r="V490" s="17">
        <f>(VLOOKUP($D490,$C$6:$AJ$991,20,)/VLOOKUP($D490,$C$6:$AJ$991,4,))*$F490</f>
        <v>0</v>
      </c>
      <c r="W490" s="17">
        <f>SUM(G490:V490)</f>
        <v>4167241.7799999975</v>
      </c>
      <c r="X490" s="96" t="str">
        <f>IF(ABS(W490-F490)&lt;1,"ok","err")</f>
        <v>ok</v>
      </c>
    </row>
    <row r="491" spans="1:24" x14ac:dyDescent="0.2">
      <c r="A491" s="18">
        <v>358</v>
      </c>
      <c r="B491" s="95" t="s">
        <v>700</v>
      </c>
      <c r="C491" s="90" t="s">
        <v>592</v>
      </c>
      <c r="D491" s="90" t="s">
        <v>25</v>
      </c>
      <c r="F491" s="21">
        <v>0</v>
      </c>
      <c r="G491" s="17">
        <f>(VLOOKUP($D491,$C$6:$AJ$991,5,)/VLOOKUP($D491,$C$6:$AJ$991,4,))*$F491</f>
        <v>0</v>
      </c>
      <c r="H491" s="17">
        <f>(VLOOKUP($D491,$C$6:$AJ$991,6,)/VLOOKUP($D491,$C$6:$AJ$991,4,))*$F491</f>
        <v>0</v>
      </c>
      <c r="I491" s="17">
        <f>(VLOOKUP($D491,$C$6:$AJ$991,7,)/VLOOKUP($D491,$C$6:$AJ$991,4,))*$F491</f>
        <v>0</v>
      </c>
      <c r="J491" s="17">
        <f>(VLOOKUP($D491,$C$6:$AJ$991,8,)/VLOOKUP($D491,$C$6:$AJ$991,4,))*$F491</f>
        <v>0</v>
      </c>
      <c r="K491" s="17">
        <f>(VLOOKUP($D491,$C$6:$AJ$991,9,)/VLOOKUP($D491,$C$6:$AJ$991,4,))*$F491</f>
        <v>0</v>
      </c>
      <c r="L491" s="17">
        <f>(VLOOKUP($D491,$C$6:$AJ$991,10,)/VLOOKUP($D491,$C$6:$AJ$991,4,))*$F491</f>
        <v>0</v>
      </c>
      <c r="M491" s="17">
        <f>(VLOOKUP($D491,$C$6:$AJ$991,11,)/VLOOKUP($D491,$C$6:$AJ$991,4,))*$F491</f>
        <v>0</v>
      </c>
      <c r="N491" s="17">
        <f>(VLOOKUP($D491,$C$6:$AJ$991,12,)/VLOOKUP($D491,$C$6:$AJ$991,4,))*$F491</f>
        <v>0</v>
      </c>
      <c r="O491" s="17">
        <f>(VLOOKUP($D491,$C$6:$AJ$991,13,)/VLOOKUP($D491,$C$6:$AJ$991,4,))*$F491</f>
        <v>0</v>
      </c>
      <c r="P491" s="17">
        <f>(VLOOKUP($D491,$C$6:$AJ$991,14,)/VLOOKUP($D491,$C$6:$AJ$991,4,))*$F491</f>
        <v>0</v>
      </c>
      <c r="Q491" s="17">
        <f>(VLOOKUP($D491,$C$6:$AJ$991,15,)/VLOOKUP($D491,$C$6:$AJ$991,4,))*$F491</f>
        <v>0</v>
      </c>
      <c r="R491" s="17">
        <f>(VLOOKUP($D491,$C$6:$AJ$991,16,)/VLOOKUP($D491,$C$6:$AJ$991,4,))*$F491</f>
        <v>0</v>
      </c>
      <c r="S491" s="17">
        <f>(VLOOKUP($D491,$C$6:$AJ$991,17,)/VLOOKUP($D491,$C$6:$AJ$991,4,))*$F491</f>
        <v>0</v>
      </c>
      <c r="T491" s="17">
        <f>(VLOOKUP($D491,$C$6:$AJ$991,18,)/VLOOKUP($D491,$C$6:$AJ$991,4,))*$F491</f>
        <v>0</v>
      </c>
      <c r="U491" s="17">
        <f>(VLOOKUP($D491,$C$6:$AJ$991,19,)/VLOOKUP($D491,$C$6:$AJ$991,4,))*$F491</f>
        <v>0</v>
      </c>
      <c r="V491" s="17">
        <f>(VLOOKUP($D491,$C$6:$AJ$991,20,)/VLOOKUP($D491,$C$6:$AJ$991,4,))*$F491</f>
        <v>0</v>
      </c>
      <c r="W491" s="17">
        <f>SUM(G491:V491)</f>
        <v>0</v>
      </c>
      <c r="X491" s="96" t="str">
        <f>IF(ABS(W491-F491)&lt;1,"ok","err")</f>
        <v>ok</v>
      </c>
    </row>
    <row r="492" spans="1:24" x14ac:dyDescent="0.2">
      <c r="F492" s="21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96"/>
    </row>
    <row r="493" spans="1:24" x14ac:dyDescent="0.2">
      <c r="A493" s="16" t="s">
        <v>708</v>
      </c>
      <c r="F493" s="21">
        <f>SUM(F490:F492)</f>
        <v>4167241.7799999975</v>
      </c>
      <c r="G493" s="17">
        <f>SUM(G490:G492)</f>
        <v>0</v>
      </c>
      <c r="H493" s="17">
        <f t="shared" ref="H493:V493" si="266">SUM(H490:H492)</f>
        <v>0</v>
      </c>
      <c r="I493" s="17">
        <f t="shared" si="266"/>
        <v>4167241.7799999975</v>
      </c>
      <c r="J493" s="17">
        <f t="shared" si="266"/>
        <v>0</v>
      </c>
      <c r="K493" s="17">
        <f t="shared" si="266"/>
        <v>0</v>
      </c>
      <c r="L493" s="17">
        <f t="shared" si="266"/>
        <v>0</v>
      </c>
      <c r="M493" s="17">
        <f t="shared" si="266"/>
        <v>0</v>
      </c>
      <c r="N493" s="17">
        <f t="shared" si="266"/>
        <v>0</v>
      </c>
      <c r="O493" s="17">
        <f t="shared" si="266"/>
        <v>0</v>
      </c>
      <c r="P493" s="17">
        <f t="shared" si="266"/>
        <v>0</v>
      </c>
      <c r="Q493" s="17">
        <f t="shared" si="266"/>
        <v>0</v>
      </c>
      <c r="R493" s="17">
        <f t="shared" si="266"/>
        <v>0</v>
      </c>
      <c r="S493" s="17">
        <f t="shared" si="266"/>
        <v>0</v>
      </c>
      <c r="T493" s="17">
        <f t="shared" si="266"/>
        <v>0</v>
      </c>
      <c r="U493" s="17">
        <f t="shared" si="266"/>
        <v>0</v>
      </c>
      <c r="V493" s="17">
        <f t="shared" si="266"/>
        <v>0</v>
      </c>
      <c r="W493" s="17">
        <f>SUM(G493:V493)</f>
        <v>4167241.7799999975</v>
      </c>
      <c r="X493" s="96" t="str">
        <f>IF(ABS(W493-F493)&lt;1,"ok","err")</f>
        <v>ok</v>
      </c>
    </row>
    <row r="494" spans="1:24" x14ac:dyDescent="0.2">
      <c r="F494" s="21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96"/>
    </row>
    <row r="495" spans="1:24" x14ac:dyDescent="0.2">
      <c r="A495" s="6" t="s">
        <v>4</v>
      </c>
      <c r="F495" s="21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96"/>
    </row>
    <row r="496" spans="1:24" x14ac:dyDescent="0.2">
      <c r="A496" s="16" t="s">
        <v>848</v>
      </c>
      <c r="B496" s="16" t="s">
        <v>383</v>
      </c>
      <c r="C496" s="90" t="s">
        <v>593</v>
      </c>
      <c r="D496" s="90" t="s">
        <v>28</v>
      </c>
      <c r="F496" s="21">
        <v>1136634.3799999997</v>
      </c>
      <c r="G496" s="17">
        <f>(VLOOKUP($D496,$C$6:$AJ$991,5,)/VLOOKUP($D496,$C$6:$AJ$991,4,))*$F496</f>
        <v>0</v>
      </c>
      <c r="H496" s="17">
        <f>(VLOOKUP($D496,$C$6:$AJ$991,6,)/VLOOKUP($D496,$C$6:$AJ$991,4,))*$F496</f>
        <v>0</v>
      </c>
      <c r="I496" s="17">
        <f>(VLOOKUP($D496,$C$6:$AJ$991,7,)/VLOOKUP($D496,$C$6:$AJ$991,4,))*$F496</f>
        <v>0</v>
      </c>
      <c r="J496" s="17">
        <f>(VLOOKUP($D496,$C$6:$AJ$991,8,)/VLOOKUP($D496,$C$6:$AJ$991,4,))*$F496</f>
        <v>0</v>
      </c>
      <c r="K496" s="17">
        <f>(VLOOKUP($D496,$C$6:$AJ$991,9,)/VLOOKUP($D496,$C$6:$AJ$991,4,))*$F496</f>
        <v>330865.17494295991</v>
      </c>
      <c r="L496" s="17">
        <f>(VLOOKUP($D496,$C$6:$AJ$991,10,)/VLOOKUP($D496,$C$6:$AJ$991,4,))*$F496</f>
        <v>805769.20505703974</v>
      </c>
      <c r="M496" s="17">
        <f>(VLOOKUP($D496,$C$6:$AJ$991,11,)/VLOOKUP($D496,$C$6:$AJ$991,4,))*$F496</f>
        <v>0</v>
      </c>
      <c r="N496" s="17">
        <f>(VLOOKUP($D496,$C$6:$AJ$991,12,)/VLOOKUP($D496,$C$6:$AJ$991,4,))*$F496</f>
        <v>0</v>
      </c>
      <c r="O496" s="17">
        <f>(VLOOKUP($D496,$C$6:$AJ$991,13,)/VLOOKUP($D496,$C$6:$AJ$991,4,))*$F496</f>
        <v>0</v>
      </c>
      <c r="P496" s="17">
        <f>(VLOOKUP($D496,$C$6:$AJ$991,14,)/VLOOKUP($D496,$C$6:$AJ$991,4,))*$F496</f>
        <v>0</v>
      </c>
      <c r="Q496" s="17">
        <f>(VLOOKUP($D496,$C$6:$AJ$991,15,)/VLOOKUP($D496,$C$6:$AJ$991,4,))*$F496</f>
        <v>0</v>
      </c>
      <c r="R496" s="17">
        <f>(VLOOKUP($D496,$C$6:$AJ$991,16,)/VLOOKUP($D496,$C$6:$AJ$991,4,))*$F496</f>
        <v>0</v>
      </c>
      <c r="S496" s="17">
        <f>(VLOOKUP($D496,$C$6:$AJ$991,17,)/VLOOKUP($D496,$C$6:$AJ$991,4,))*$F496</f>
        <v>0</v>
      </c>
      <c r="T496" s="17">
        <f>(VLOOKUP($D496,$C$6:$AJ$991,18,)/VLOOKUP($D496,$C$6:$AJ$991,4,))*$F496</f>
        <v>0</v>
      </c>
      <c r="U496" s="17">
        <f>(VLOOKUP($D496,$C$6:$AJ$991,19,)/VLOOKUP($D496,$C$6:$AJ$991,4,))*$F496</f>
        <v>0</v>
      </c>
      <c r="V496" s="17">
        <f>(VLOOKUP($D496,$C$6:$AJ$991,20,)/VLOOKUP($D496,$C$6:$AJ$991,4,))*$F496</f>
        <v>0</v>
      </c>
      <c r="W496" s="17">
        <f>SUM(G496:V496)</f>
        <v>1136634.3799999997</v>
      </c>
      <c r="X496" s="96" t="str">
        <f>IF(ABS(W496-F496)&lt;1,"ok","err")</f>
        <v>ok</v>
      </c>
    </row>
    <row r="497" spans="1:24" x14ac:dyDescent="0.2">
      <c r="F497" s="21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96"/>
    </row>
    <row r="498" spans="1:24" x14ac:dyDescent="0.2">
      <c r="A498" s="6" t="s">
        <v>5</v>
      </c>
      <c r="F498" s="21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96"/>
    </row>
    <row r="499" spans="1:24" x14ac:dyDescent="0.2">
      <c r="A499" s="18">
        <v>374</v>
      </c>
      <c r="B499" s="16" t="s">
        <v>594</v>
      </c>
      <c r="C499" s="90" t="s">
        <v>598</v>
      </c>
      <c r="D499" s="90" t="s">
        <v>38</v>
      </c>
      <c r="F499" s="21">
        <v>0</v>
      </c>
      <c r="G499" s="17">
        <f t="shared" ref="G499:G512" si="267">(VLOOKUP($D499,$C$6:$AJ$991,5,)/VLOOKUP($D499,$C$6:$AJ$991,4,))*$F499</f>
        <v>0</v>
      </c>
      <c r="H499" s="17">
        <f t="shared" ref="H499:H512" si="268">(VLOOKUP($D499,$C$6:$AJ$991,6,)/VLOOKUP($D499,$C$6:$AJ$991,4,))*$F499</f>
        <v>0</v>
      </c>
      <c r="I499" s="17">
        <f t="shared" ref="I499:I512" si="269">(VLOOKUP($D499,$C$6:$AJ$991,7,)/VLOOKUP($D499,$C$6:$AJ$991,4,))*$F499</f>
        <v>0</v>
      </c>
      <c r="J499" s="17">
        <f t="shared" ref="J499:J512" si="270">(VLOOKUP($D499,$C$6:$AJ$991,8,)/VLOOKUP($D499,$C$6:$AJ$991,4,))*$F499</f>
        <v>0</v>
      </c>
      <c r="K499" s="17">
        <f t="shared" ref="K499:K512" si="271">(VLOOKUP($D499,$C$6:$AJ$991,9,)/VLOOKUP($D499,$C$6:$AJ$991,4,))*$F499</f>
        <v>0</v>
      </c>
      <c r="L499" s="17">
        <f t="shared" ref="L499:L512" si="272">(VLOOKUP($D499,$C$6:$AJ$991,10,)/VLOOKUP($D499,$C$6:$AJ$991,4,))*$F499</f>
        <v>0</v>
      </c>
      <c r="M499" s="17">
        <f t="shared" ref="M499:M512" si="273">(VLOOKUP($D499,$C$6:$AJ$991,11,)/VLOOKUP($D499,$C$6:$AJ$991,4,))*$F499</f>
        <v>0</v>
      </c>
      <c r="N499" s="17">
        <f t="shared" ref="N499:N512" si="274">(VLOOKUP($D499,$C$6:$AJ$991,12,)/VLOOKUP($D499,$C$6:$AJ$991,4,))*$F499</f>
        <v>0</v>
      </c>
      <c r="O499" s="17">
        <f t="shared" ref="O499:O512" si="275">(VLOOKUP($D499,$C$6:$AJ$991,13,)/VLOOKUP($D499,$C$6:$AJ$991,4,))*$F499</f>
        <v>0</v>
      </c>
      <c r="P499" s="17">
        <f t="shared" ref="P499:P512" si="276">(VLOOKUP($D499,$C$6:$AJ$991,14,)/VLOOKUP($D499,$C$6:$AJ$991,4,))*$F499</f>
        <v>0</v>
      </c>
      <c r="Q499" s="17">
        <f t="shared" ref="Q499:Q512" si="277">(VLOOKUP($D499,$C$6:$AJ$991,15,)/VLOOKUP($D499,$C$6:$AJ$991,4,))*$F499</f>
        <v>0</v>
      </c>
      <c r="R499" s="17">
        <f t="shared" ref="R499:R512" si="278">(VLOOKUP($D499,$C$6:$AJ$991,16,)/VLOOKUP($D499,$C$6:$AJ$991,4,))*$F499</f>
        <v>0</v>
      </c>
      <c r="S499" s="17">
        <f t="shared" ref="S499:S512" si="279">(VLOOKUP($D499,$C$6:$AJ$991,17,)/VLOOKUP($D499,$C$6:$AJ$991,4,))*$F499</f>
        <v>0</v>
      </c>
      <c r="T499" s="17">
        <f t="shared" ref="T499:T512" si="280">(VLOOKUP($D499,$C$6:$AJ$991,18,)/VLOOKUP($D499,$C$6:$AJ$991,4,))*$F499</f>
        <v>0</v>
      </c>
      <c r="U499" s="17">
        <f t="shared" ref="U499:U512" si="281">(VLOOKUP($D499,$C$6:$AJ$991,19,)/VLOOKUP($D499,$C$6:$AJ$991,4,))*$F499</f>
        <v>0</v>
      </c>
      <c r="V499" s="17">
        <f t="shared" ref="V499:V512" si="282">(VLOOKUP($D499,$C$6:$AJ$991,20,)/VLOOKUP($D499,$C$6:$AJ$991,4,))*$F499</f>
        <v>0</v>
      </c>
      <c r="W499" s="17">
        <f>SUM(G499:V499)</f>
        <v>0</v>
      </c>
      <c r="X499" s="96" t="str">
        <f>IF(ABS(W499-F499)&lt;1,"ok","err")</f>
        <v>ok</v>
      </c>
    </row>
    <row r="500" spans="1:24" x14ac:dyDescent="0.2">
      <c r="A500" s="18">
        <v>375</v>
      </c>
      <c r="B500" s="16" t="s">
        <v>29</v>
      </c>
      <c r="C500" s="90" t="s">
        <v>599</v>
      </c>
      <c r="D500" s="90" t="s">
        <v>38</v>
      </c>
      <c r="F500" s="17">
        <v>40827.119999999988</v>
      </c>
      <c r="G500" s="17">
        <f t="shared" si="267"/>
        <v>0</v>
      </c>
      <c r="H500" s="17">
        <f t="shared" si="268"/>
        <v>0</v>
      </c>
      <c r="I500" s="17">
        <f t="shared" si="269"/>
        <v>0</v>
      </c>
      <c r="J500" s="17">
        <f t="shared" si="270"/>
        <v>0</v>
      </c>
      <c r="K500" s="17">
        <f t="shared" si="271"/>
        <v>0</v>
      </c>
      <c r="L500" s="17">
        <f t="shared" si="272"/>
        <v>0</v>
      </c>
      <c r="M500" s="17">
        <f t="shared" si="273"/>
        <v>0</v>
      </c>
      <c r="N500" s="17">
        <f t="shared" si="274"/>
        <v>40827.119999999988</v>
      </c>
      <c r="O500" s="17">
        <f t="shared" si="275"/>
        <v>0</v>
      </c>
      <c r="P500" s="17">
        <f t="shared" si="276"/>
        <v>0</v>
      </c>
      <c r="Q500" s="17">
        <f t="shared" si="277"/>
        <v>0</v>
      </c>
      <c r="R500" s="17">
        <f t="shared" si="278"/>
        <v>0</v>
      </c>
      <c r="S500" s="17">
        <f t="shared" si="279"/>
        <v>0</v>
      </c>
      <c r="T500" s="17">
        <f t="shared" si="280"/>
        <v>0</v>
      </c>
      <c r="U500" s="17">
        <f t="shared" si="281"/>
        <v>0</v>
      </c>
      <c r="V500" s="17">
        <f t="shared" si="282"/>
        <v>0</v>
      </c>
      <c r="W500" s="17">
        <f t="shared" ref="W500:W510" si="283">SUM(G500:V500)</f>
        <v>40827.119999999988</v>
      </c>
      <c r="X500" s="96" t="str">
        <f t="shared" ref="X500:X514" si="284">IF(ABS(W500-F500)&lt;1,"ok","err")</f>
        <v>ok</v>
      </c>
    </row>
    <row r="501" spans="1:24" x14ac:dyDescent="0.2">
      <c r="A501" s="18">
        <v>376</v>
      </c>
      <c r="B501" s="16" t="s">
        <v>31</v>
      </c>
      <c r="C501" s="90" t="s">
        <v>600</v>
      </c>
      <c r="D501" s="90" t="s">
        <v>40</v>
      </c>
      <c r="F501" s="17">
        <v>7077183.8199999984</v>
      </c>
      <c r="G501" s="17">
        <f t="shared" si="267"/>
        <v>0</v>
      </c>
      <c r="H501" s="17">
        <f t="shared" si="268"/>
        <v>0</v>
      </c>
      <c r="I501" s="17">
        <f t="shared" si="269"/>
        <v>0</v>
      </c>
      <c r="J501" s="17">
        <f t="shared" si="270"/>
        <v>0</v>
      </c>
      <c r="K501" s="17">
        <f t="shared" si="271"/>
        <v>0</v>
      </c>
      <c r="L501" s="17">
        <f t="shared" si="272"/>
        <v>0</v>
      </c>
      <c r="M501" s="17">
        <f t="shared" si="273"/>
        <v>0</v>
      </c>
      <c r="N501" s="17">
        <f t="shared" si="274"/>
        <v>0</v>
      </c>
      <c r="O501" s="17">
        <f t="shared" si="275"/>
        <v>2153587.0364259998</v>
      </c>
      <c r="P501" s="17">
        <f t="shared" si="276"/>
        <v>4243125.559280999</v>
      </c>
      <c r="Q501" s="17">
        <f t="shared" si="277"/>
        <v>368084.33047819993</v>
      </c>
      <c r="R501" s="17">
        <f t="shared" si="278"/>
        <v>312386.8938147999</v>
      </c>
      <c r="S501" s="17">
        <f t="shared" si="279"/>
        <v>0</v>
      </c>
      <c r="T501" s="17">
        <f t="shared" si="280"/>
        <v>0</v>
      </c>
      <c r="U501" s="17">
        <f t="shared" si="281"/>
        <v>0</v>
      </c>
      <c r="V501" s="17">
        <f t="shared" si="282"/>
        <v>0</v>
      </c>
      <c r="W501" s="17">
        <f t="shared" si="283"/>
        <v>7077183.8199999994</v>
      </c>
      <c r="X501" s="96" t="str">
        <f t="shared" si="284"/>
        <v>ok</v>
      </c>
    </row>
    <row r="502" spans="1:24" x14ac:dyDescent="0.2">
      <c r="A502" s="18">
        <v>378</v>
      </c>
      <c r="B502" s="16" t="s">
        <v>596</v>
      </c>
      <c r="C502" s="90" t="s">
        <v>601</v>
      </c>
      <c r="D502" s="90" t="s">
        <v>38</v>
      </c>
      <c r="F502" s="17">
        <v>728322.16999999993</v>
      </c>
      <c r="G502" s="17">
        <f t="shared" si="267"/>
        <v>0</v>
      </c>
      <c r="H502" s="17">
        <f t="shared" si="268"/>
        <v>0</v>
      </c>
      <c r="I502" s="17">
        <f t="shared" si="269"/>
        <v>0</v>
      </c>
      <c r="J502" s="17">
        <f t="shared" si="270"/>
        <v>0</v>
      </c>
      <c r="K502" s="17">
        <f t="shared" si="271"/>
        <v>0</v>
      </c>
      <c r="L502" s="17">
        <f t="shared" si="272"/>
        <v>0</v>
      </c>
      <c r="M502" s="17">
        <f t="shared" si="273"/>
        <v>0</v>
      </c>
      <c r="N502" s="17">
        <f t="shared" si="274"/>
        <v>728322.16999999993</v>
      </c>
      <c r="O502" s="17">
        <f t="shared" si="275"/>
        <v>0</v>
      </c>
      <c r="P502" s="17">
        <f t="shared" si="276"/>
        <v>0</v>
      </c>
      <c r="Q502" s="17">
        <f t="shared" si="277"/>
        <v>0</v>
      </c>
      <c r="R502" s="17">
        <f t="shared" si="278"/>
        <v>0</v>
      </c>
      <c r="S502" s="17">
        <f t="shared" si="279"/>
        <v>0</v>
      </c>
      <c r="T502" s="17">
        <f t="shared" si="280"/>
        <v>0</v>
      </c>
      <c r="U502" s="17">
        <f t="shared" si="281"/>
        <v>0</v>
      </c>
      <c r="V502" s="17">
        <f t="shared" si="282"/>
        <v>0</v>
      </c>
      <c r="W502" s="17">
        <f t="shared" si="283"/>
        <v>728322.16999999993</v>
      </c>
      <c r="X502" s="96" t="str">
        <f t="shared" si="284"/>
        <v>ok</v>
      </c>
    </row>
    <row r="503" spans="1:24" x14ac:dyDescent="0.2">
      <c r="A503" s="18">
        <v>379</v>
      </c>
      <c r="B503" s="16" t="s">
        <v>595</v>
      </c>
      <c r="C503" s="90" t="s">
        <v>602</v>
      </c>
      <c r="D503" s="90" t="s">
        <v>38</v>
      </c>
      <c r="F503" s="17">
        <v>267853.90999999992</v>
      </c>
      <c r="G503" s="17">
        <f t="shared" si="267"/>
        <v>0</v>
      </c>
      <c r="H503" s="17">
        <f t="shared" si="268"/>
        <v>0</v>
      </c>
      <c r="I503" s="17">
        <f t="shared" si="269"/>
        <v>0</v>
      </c>
      <c r="J503" s="17">
        <f t="shared" si="270"/>
        <v>0</v>
      </c>
      <c r="K503" s="17">
        <f t="shared" si="271"/>
        <v>0</v>
      </c>
      <c r="L503" s="17">
        <f t="shared" si="272"/>
        <v>0</v>
      </c>
      <c r="M503" s="17">
        <f t="shared" si="273"/>
        <v>0</v>
      </c>
      <c r="N503" s="17">
        <f t="shared" si="274"/>
        <v>267853.90999999992</v>
      </c>
      <c r="O503" s="17">
        <f t="shared" si="275"/>
        <v>0</v>
      </c>
      <c r="P503" s="17">
        <f t="shared" si="276"/>
        <v>0</v>
      </c>
      <c r="Q503" s="17">
        <f t="shared" si="277"/>
        <v>0</v>
      </c>
      <c r="R503" s="17">
        <f t="shared" si="278"/>
        <v>0</v>
      </c>
      <c r="S503" s="17">
        <f t="shared" si="279"/>
        <v>0</v>
      </c>
      <c r="T503" s="17">
        <f t="shared" si="280"/>
        <v>0</v>
      </c>
      <c r="U503" s="17">
        <f t="shared" si="281"/>
        <v>0</v>
      </c>
      <c r="V503" s="17">
        <f t="shared" si="282"/>
        <v>0</v>
      </c>
      <c r="W503" s="17">
        <f t="shared" si="283"/>
        <v>267853.90999999992</v>
      </c>
      <c r="X503" s="96" t="str">
        <f t="shared" si="284"/>
        <v>ok</v>
      </c>
    </row>
    <row r="504" spans="1:24" x14ac:dyDescent="0.2">
      <c r="A504" s="18">
        <v>380</v>
      </c>
      <c r="B504" s="16" t="s">
        <v>10</v>
      </c>
      <c r="C504" s="90" t="s">
        <v>603</v>
      </c>
      <c r="D504" s="90" t="s">
        <v>42</v>
      </c>
      <c r="F504" s="17">
        <v>12658321.270000001</v>
      </c>
      <c r="G504" s="17">
        <f t="shared" si="267"/>
        <v>0</v>
      </c>
      <c r="H504" s="17">
        <f t="shared" si="268"/>
        <v>0</v>
      </c>
      <c r="I504" s="17">
        <f t="shared" si="269"/>
        <v>0</v>
      </c>
      <c r="J504" s="17">
        <f t="shared" si="270"/>
        <v>0</v>
      </c>
      <c r="K504" s="17">
        <f t="shared" si="271"/>
        <v>0</v>
      </c>
      <c r="L504" s="17">
        <f t="shared" si="272"/>
        <v>0</v>
      </c>
      <c r="M504" s="17">
        <f t="shared" si="273"/>
        <v>0</v>
      </c>
      <c r="N504" s="17">
        <f t="shared" si="274"/>
        <v>0</v>
      </c>
      <c r="O504" s="17">
        <f t="shared" si="275"/>
        <v>0</v>
      </c>
      <c r="P504" s="17">
        <f t="shared" si="276"/>
        <v>0</v>
      </c>
      <c r="Q504" s="17">
        <f t="shared" si="277"/>
        <v>0</v>
      </c>
      <c r="R504" s="17">
        <f t="shared" si="278"/>
        <v>0</v>
      </c>
      <c r="S504" s="17">
        <f t="shared" si="279"/>
        <v>12658321.270000001</v>
      </c>
      <c r="T504" s="17">
        <f t="shared" si="280"/>
        <v>0</v>
      </c>
      <c r="U504" s="17">
        <f t="shared" si="281"/>
        <v>0</v>
      </c>
      <c r="V504" s="17">
        <f t="shared" si="282"/>
        <v>0</v>
      </c>
      <c r="W504" s="17">
        <f t="shared" si="283"/>
        <v>12658321.270000001</v>
      </c>
      <c r="X504" s="96" t="str">
        <f t="shared" si="284"/>
        <v>ok</v>
      </c>
    </row>
    <row r="505" spans="1:24" x14ac:dyDescent="0.2">
      <c r="A505" s="18">
        <v>381</v>
      </c>
      <c r="B505" s="16" t="s">
        <v>11</v>
      </c>
      <c r="C505" s="90" t="s">
        <v>604</v>
      </c>
      <c r="D505" s="90" t="s">
        <v>45</v>
      </c>
      <c r="F505" s="17">
        <v>2481208.5199999991</v>
      </c>
      <c r="G505" s="17">
        <f t="shared" si="267"/>
        <v>0</v>
      </c>
      <c r="H505" s="17">
        <f t="shared" si="268"/>
        <v>0</v>
      </c>
      <c r="I505" s="17">
        <f t="shared" si="269"/>
        <v>0</v>
      </c>
      <c r="J505" s="17">
        <f t="shared" si="270"/>
        <v>0</v>
      </c>
      <c r="K505" s="17">
        <f t="shared" si="271"/>
        <v>0</v>
      </c>
      <c r="L505" s="17">
        <f t="shared" si="272"/>
        <v>0</v>
      </c>
      <c r="M505" s="17">
        <f t="shared" si="273"/>
        <v>0</v>
      </c>
      <c r="N505" s="17">
        <f t="shared" si="274"/>
        <v>0</v>
      </c>
      <c r="O505" s="17">
        <f t="shared" si="275"/>
        <v>0</v>
      </c>
      <c r="P505" s="17">
        <f t="shared" si="276"/>
        <v>0</v>
      </c>
      <c r="Q505" s="17">
        <f t="shared" si="277"/>
        <v>0</v>
      </c>
      <c r="R505" s="17">
        <f t="shared" si="278"/>
        <v>0</v>
      </c>
      <c r="S505" s="17">
        <f t="shared" si="279"/>
        <v>0</v>
      </c>
      <c r="T505" s="17">
        <f t="shared" si="280"/>
        <v>2481208.5199999991</v>
      </c>
      <c r="U505" s="17">
        <f t="shared" si="281"/>
        <v>0</v>
      </c>
      <c r="V505" s="17">
        <f t="shared" si="282"/>
        <v>0</v>
      </c>
      <c r="W505" s="17">
        <f t="shared" si="283"/>
        <v>2481208.5199999991</v>
      </c>
      <c r="X505" s="96" t="str">
        <f t="shared" si="284"/>
        <v>ok</v>
      </c>
    </row>
    <row r="506" spans="1:24" x14ac:dyDescent="0.2">
      <c r="A506" s="18">
        <v>382</v>
      </c>
      <c r="B506" s="16" t="s">
        <v>43</v>
      </c>
      <c r="C506" s="90" t="s">
        <v>605</v>
      </c>
      <c r="D506" s="90" t="s">
        <v>45</v>
      </c>
      <c r="F506" s="17">
        <v>0</v>
      </c>
      <c r="G506" s="17">
        <f t="shared" si="267"/>
        <v>0</v>
      </c>
      <c r="H506" s="17">
        <f t="shared" si="268"/>
        <v>0</v>
      </c>
      <c r="I506" s="17">
        <f t="shared" si="269"/>
        <v>0</v>
      </c>
      <c r="J506" s="17">
        <f t="shared" si="270"/>
        <v>0</v>
      </c>
      <c r="K506" s="17">
        <f t="shared" si="271"/>
        <v>0</v>
      </c>
      <c r="L506" s="17">
        <f t="shared" si="272"/>
        <v>0</v>
      </c>
      <c r="M506" s="17">
        <f t="shared" si="273"/>
        <v>0</v>
      </c>
      <c r="N506" s="17">
        <f t="shared" si="274"/>
        <v>0</v>
      </c>
      <c r="O506" s="17">
        <f t="shared" si="275"/>
        <v>0</v>
      </c>
      <c r="P506" s="17">
        <f t="shared" si="276"/>
        <v>0</v>
      </c>
      <c r="Q506" s="17">
        <f t="shared" si="277"/>
        <v>0</v>
      </c>
      <c r="R506" s="17">
        <f t="shared" si="278"/>
        <v>0</v>
      </c>
      <c r="S506" s="17">
        <f t="shared" si="279"/>
        <v>0</v>
      </c>
      <c r="T506" s="17">
        <f t="shared" si="280"/>
        <v>0</v>
      </c>
      <c r="U506" s="17">
        <f t="shared" si="281"/>
        <v>0</v>
      </c>
      <c r="V506" s="17">
        <f t="shared" si="282"/>
        <v>0</v>
      </c>
      <c r="W506" s="17">
        <f t="shared" si="283"/>
        <v>0</v>
      </c>
      <c r="X506" s="96" t="str">
        <f t="shared" si="284"/>
        <v>ok</v>
      </c>
    </row>
    <row r="507" spans="1:24" x14ac:dyDescent="0.2">
      <c r="A507" s="18">
        <v>383</v>
      </c>
      <c r="B507" s="16" t="s">
        <v>46</v>
      </c>
      <c r="C507" s="90" t="s">
        <v>606</v>
      </c>
      <c r="D507" s="90" t="s">
        <v>45</v>
      </c>
      <c r="F507" s="17">
        <v>1011809.76</v>
      </c>
      <c r="G507" s="17">
        <f t="shared" si="267"/>
        <v>0</v>
      </c>
      <c r="H507" s="17">
        <f t="shared" si="268"/>
        <v>0</v>
      </c>
      <c r="I507" s="17">
        <f t="shared" si="269"/>
        <v>0</v>
      </c>
      <c r="J507" s="17">
        <f t="shared" si="270"/>
        <v>0</v>
      </c>
      <c r="K507" s="17">
        <f t="shared" si="271"/>
        <v>0</v>
      </c>
      <c r="L507" s="17">
        <f t="shared" si="272"/>
        <v>0</v>
      </c>
      <c r="M507" s="17">
        <f t="shared" si="273"/>
        <v>0</v>
      </c>
      <c r="N507" s="17">
        <f t="shared" si="274"/>
        <v>0</v>
      </c>
      <c r="O507" s="17">
        <f t="shared" si="275"/>
        <v>0</v>
      </c>
      <c r="P507" s="17">
        <f t="shared" si="276"/>
        <v>0</v>
      </c>
      <c r="Q507" s="17">
        <f t="shared" si="277"/>
        <v>0</v>
      </c>
      <c r="R507" s="17">
        <f t="shared" si="278"/>
        <v>0</v>
      </c>
      <c r="S507" s="17">
        <f t="shared" si="279"/>
        <v>0</v>
      </c>
      <c r="T507" s="17">
        <f t="shared" si="280"/>
        <v>1011809.76</v>
      </c>
      <c r="U507" s="17">
        <f t="shared" si="281"/>
        <v>0</v>
      </c>
      <c r="V507" s="17">
        <f t="shared" si="282"/>
        <v>0</v>
      </c>
      <c r="W507" s="17">
        <f t="shared" si="283"/>
        <v>1011809.76</v>
      </c>
      <c r="X507" s="96" t="str">
        <f t="shared" si="284"/>
        <v>ok</v>
      </c>
    </row>
    <row r="508" spans="1:24" x14ac:dyDescent="0.2">
      <c r="A508" s="18">
        <v>384</v>
      </c>
      <c r="B508" s="16" t="s">
        <v>49</v>
      </c>
      <c r="C508" s="90" t="s">
        <v>607</v>
      </c>
      <c r="D508" s="90" t="s">
        <v>45</v>
      </c>
      <c r="F508" s="17">
        <v>0</v>
      </c>
      <c r="G508" s="17">
        <f t="shared" si="267"/>
        <v>0</v>
      </c>
      <c r="H508" s="17">
        <f t="shared" si="268"/>
        <v>0</v>
      </c>
      <c r="I508" s="17">
        <f t="shared" si="269"/>
        <v>0</v>
      </c>
      <c r="J508" s="17">
        <f t="shared" si="270"/>
        <v>0</v>
      </c>
      <c r="K508" s="17">
        <f t="shared" si="271"/>
        <v>0</v>
      </c>
      <c r="L508" s="17">
        <f t="shared" si="272"/>
        <v>0</v>
      </c>
      <c r="M508" s="17">
        <f t="shared" si="273"/>
        <v>0</v>
      </c>
      <c r="N508" s="17">
        <f t="shared" si="274"/>
        <v>0</v>
      </c>
      <c r="O508" s="17">
        <f t="shared" si="275"/>
        <v>0</v>
      </c>
      <c r="P508" s="17">
        <f t="shared" si="276"/>
        <v>0</v>
      </c>
      <c r="Q508" s="17">
        <f t="shared" si="277"/>
        <v>0</v>
      </c>
      <c r="R508" s="17">
        <f t="shared" si="278"/>
        <v>0</v>
      </c>
      <c r="S508" s="17">
        <f t="shared" si="279"/>
        <v>0</v>
      </c>
      <c r="T508" s="17">
        <f t="shared" si="280"/>
        <v>0</v>
      </c>
      <c r="U508" s="17">
        <f t="shared" si="281"/>
        <v>0</v>
      </c>
      <c r="V508" s="17">
        <f t="shared" si="282"/>
        <v>0</v>
      </c>
      <c r="W508" s="17">
        <f t="shared" si="283"/>
        <v>0</v>
      </c>
      <c r="X508" s="96" t="str">
        <f t="shared" si="284"/>
        <v>ok</v>
      </c>
    </row>
    <row r="509" spans="1:24" x14ac:dyDescent="0.2">
      <c r="A509" s="18">
        <v>385</v>
      </c>
      <c r="B509" s="16" t="s">
        <v>597</v>
      </c>
      <c r="C509" s="90" t="s">
        <v>608</v>
      </c>
      <c r="D509" s="90" t="s">
        <v>45</v>
      </c>
      <c r="F509" s="17">
        <v>49091.529999999992</v>
      </c>
      <c r="G509" s="17">
        <f t="shared" si="267"/>
        <v>0</v>
      </c>
      <c r="H509" s="17">
        <f t="shared" si="268"/>
        <v>0</v>
      </c>
      <c r="I509" s="17">
        <f t="shared" si="269"/>
        <v>0</v>
      </c>
      <c r="J509" s="17">
        <f t="shared" si="270"/>
        <v>0</v>
      </c>
      <c r="K509" s="17">
        <f t="shared" si="271"/>
        <v>0</v>
      </c>
      <c r="L509" s="17">
        <f t="shared" si="272"/>
        <v>0</v>
      </c>
      <c r="M509" s="17">
        <f t="shared" si="273"/>
        <v>0</v>
      </c>
      <c r="N509" s="17">
        <f t="shared" si="274"/>
        <v>0</v>
      </c>
      <c r="O509" s="17">
        <f t="shared" si="275"/>
        <v>0</v>
      </c>
      <c r="P509" s="17">
        <f t="shared" si="276"/>
        <v>0</v>
      </c>
      <c r="Q509" s="17">
        <f t="shared" si="277"/>
        <v>0</v>
      </c>
      <c r="R509" s="17">
        <f t="shared" si="278"/>
        <v>0</v>
      </c>
      <c r="S509" s="17">
        <f t="shared" si="279"/>
        <v>0</v>
      </c>
      <c r="T509" s="17">
        <f t="shared" si="280"/>
        <v>49091.529999999992</v>
      </c>
      <c r="U509" s="17">
        <f t="shared" si="281"/>
        <v>0</v>
      </c>
      <c r="V509" s="17">
        <f t="shared" si="282"/>
        <v>0</v>
      </c>
      <c r="W509" s="17">
        <f t="shared" si="283"/>
        <v>49091.529999999992</v>
      </c>
      <c r="X509" s="96" t="str">
        <f t="shared" si="284"/>
        <v>ok</v>
      </c>
    </row>
    <row r="510" spans="1:24" x14ac:dyDescent="0.2">
      <c r="A510" s="18">
        <v>387</v>
      </c>
      <c r="B510" s="16" t="s">
        <v>54</v>
      </c>
      <c r="C510" s="90" t="s">
        <v>609</v>
      </c>
      <c r="D510" s="90" t="s">
        <v>45</v>
      </c>
      <c r="F510" s="17">
        <v>11834.079999999991</v>
      </c>
      <c r="G510" s="17">
        <f t="shared" si="267"/>
        <v>0</v>
      </c>
      <c r="H510" s="17">
        <f t="shared" si="268"/>
        <v>0</v>
      </c>
      <c r="I510" s="17">
        <f t="shared" si="269"/>
        <v>0</v>
      </c>
      <c r="J510" s="17">
        <f t="shared" si="270"/>
        <v>0</v>
      </c>
      <c r="K510" s="17">
        <f t="shared" si="271"/>
        <v>0</v>
      </c>
      <c r="L510" s="17">
        <f t="shared" si="272"/>
        <v>0</v>
      </c>
      <c r="M510" s="17">
        <f t="shared" si="273"/>
        <v>0</v>
      </c>
      <c r="N510" s="17">
        <f t="shared" si="274"/>
        <v>0</v>
      </c>
      <c r="O510" s="17">
        <f t="shared" si="275"/>
        <v>0</v>
      </c>
      <c r="P510" s="17">
        <f t="shared" si="276"/>
        <v>0</v>
      </c>
      <c r="Q510" s="17">
        <f t="shared" si="277"/>
        <v>0</v>
      </c>
      <c r="R510" s="17">
        <f t="shared" si="278"/>
        <v>0</v>
      </c>
      <c r="S510" s="17">
        <f t="shared" si="279"/>
        <v>0</v>
      </c>
      <c r="T510" s="17">
        <f t="shared" si="280"/>
        <v>11834.079999999991</v>
      </c>
      <c r="U510" s="17">
        <f t="shared" si="281"/>
        <v>0</v>
      </c>
      <c r="V510" s="17">
        <f t="shared" si="282"/>
        <v>0</v>
      </c>
      <c r="W510" s="17">
        <f t="shared" si="283"/>
        <v>11834.079999999991</v>
      </c>
      <c r="X510" s="96" t="str">
        <f t="shared" si="284"/>
        <v>ok</v>
      </c>
    </row>
    <row r="511" spans="1:24" x14ac:dyDescent="0.2">
      <c r="A511" s="18">
        <v>388</v>
      </c>
      <c r="B511" s="16" t="s">
        <v>706</v>
      </c>
      <c r="C511" s="90" t="s">
        <v>707</v>
      </c>
      <c r="D511" s="90" t="s">
        <v>38</v>
      </c>
      <c r="F511" s="17">
        <v>0</v>
      </c>
      <c r="G511" s="17">
        <f t="shared" si="267"/>
        <v>0</v>
      </c>
      <c r="H511" s="17">
        <f t="shared" si="268"/>
        <v>0</v>
      </c>
      <c r="I511" s="17">
        <f t="shared" si="269"/>
        <v>0</v>
      </c>
      <c r="J511" s="17">
        <f t="shared" si="270"/>
        <v>0</v>
      </c>
      <c r="K511" s="17">
        <f t="shared" si="271"/>
        <v>0</v>
      </c>
      <c r="L511" s="17">
        <f t="shared" si="272"/>
        <v>0</v>
      </c>
      <c r="M511" s="17">
        <f t="shared" si="273"/>
        <v>0</v>
      </c>
      <c r="N511" s="17">
        <f t="shared" si="274"/>
        <v>0</v>
      </c>
      <c r="O511" s="17">
        <f t="shared" si="275"/>
        <v>0</v>
      </c>
      <c r="P511" s="17">
        <f t="shared" si="276"/>
        <v>0</v>
      </c>
      <c r="Q511" s="17">
        <f t="shared" si="277"/>
        <v>0</v>
      </c>
      <c r="R511" s="17">
        <f t="shared" si="278"/>
        <v>0</v>
      </c>
      <c r="S511" s="17">
        <f t="shared" si="279"/>
        <v>0</v>
      </c>
      <c r="T511" s="17">
        <f t="shared" si="280"/>
        <v>0</v>
      </c>
      <c r="U511" s="17">
        <f t="shared" si="281"/>
        <v>0</v>
      </c>
      <c r="V511" s="17">
        <f t="shared" si="282"/>
        <v>0</v>
      </c>
      <c r="W511" s="17">
        <f>SUM(G511:V511)</f>
        <v>0</v>
      </c>
      <c r="X511" s="96" t="str">
        <f>IF(ABS(W511-F511)&lt;1,"ok","err")</f>
        <v>ok</v>
      </c>
    </row>
    <row r="512" spans="1:24" x14ac:dyDescent="0.2">
      <c r="A512" s="18">
        <v>388</v>
      </c>
      <c r="B512" s="16" t="s">
        <v>705</v>
      </c>
      <c r="C512" s="90" t="s">
        <v>707</v>
      </c>
      <c r="D512" s="90" t="s">
        <v>40</v>
      </c>
      <c r="F512" s="17">
        <v>0</v>
      </c>
      <c r="G512" s="17">
        <f t="shared" si="267"/>
        <v>0</v>
      </c>
      <c r="H512" s="17">
        <f t="shared" si="268"/>
        <v>0</v>
      </c>
      <c r="I512" s="17">
        <f t="shared" si="269"/>
        <v>0</v>
      </c>
      <c r="J512" s="17">
        <f t="shared" si="270"/>
        <v>0</v>
      </c>
      <c r="K512" s="17">
        <f t="shared" si="271"/>
        <v>0</v>
      </c>
      <c r="L512" s="17">
        <f t="shared" si="272"/>
        <v>0</v>
      </c>
      <c r="M512" s="17">
        <f t="shared" si="273"/>
        <v>0</v>
      </c>
      <c r="N512" s="17">
        <f t="shared" si="274"/>
        <v>0</v>
      </c>
      <c r="O512" s="17">
        <f t="shared" si="275"/>
        <v>0</v>
      </c>
      <c r="P512" s="17">
        <f t="shared" si="276"/>
        <v>0</v>
      </c>
      <c r="Q512" s="17">
        <f t="shared" si="277"/>
        <v>0</v>
      </c>
      <c r="R512" s="17">
        <f t="shared" si="278"/>
        <v>0</v>
      </c>
      <c r="S512" s="17">
        <f t="shared" si="279"/>
        <v>0</v>
      </c>
      <c r="T512" s="17">
        <f t="shared" si="280"/>
        <v>0</v>
      </c>
      <c r="U512" s="17">
        <f t="shared" si="281"/>
        <v>0</v>
      </c>
      <c r="V512" s="17">
        <f t="shared" si="282"/>
        <v>0</v>
      </c>
      <c r="W512" s="17">
        <f>SUM(G512:V512)</f>
        <v>0</v>
      </c>
      <c r="X512" s="96" t="str">
        <f>IF(ABS(W512-F512)&lt;1,"ok","err")</f>
        <v>ok</v>
      </c>
    </row>
    <row r="514" spans="1:24" x14ac:dyDescent="0.2">
      <c r="A514" s="16" t="s">
        <v>610</v>
      </c>
      <c r="F514" s="22">
        <f>SUM(F499:F513)</f>
        <v>24326452.18</v>
      </c>
      <c r="G514" s="22">
        <f t="shared" ref="G514:W514" si="285">SUM(G499:G513)</f>
        <v>0</v>
      </c>
      <c r="H514" s="22">
        <f t="shared" si="285"/>
        <v>0</v>
      </c>
      <c r="I514" s="22">
        <f t="shared" si="285"/>
        <v>0</v>
      </c>
      <c r="J514" s="22">
        <f t="shared" si="285"/>
        <v>0</v>
      </c>
      <c r="K514" s="22">
        <f t="shared" si="285"/>
        <v>0</v>
      </c>
      <c r="L514" s="22">
        <f t="shared" si="285"/>
        <v>0</v>
      </c>
      <c r="M514" s="22">
        <f t="shared" si="285"/>
        <v>0</v>
      </c>
      <c r="N514" s="22">
        <f t="shared" si="285"/>
        <v>1037003.1999999998</v>
      </c>
      <c r="O514" s="22">
        <f t="shared" si="285"/>
        <v>2153587.0364259998</v>
      </c>
      <c r="P514" s="22">
        <f t="shared" si="285"/>
        <v>4243125.559280999</v>
      </c>
      <c r="Q514" s="22">
        <f>SUM(Q499:Q513)</f>
        <v>368084.33047819993</v>
      </c>
      <c r="R514" s="22">
        <f>SUM(R499:R513)</f>
        <v>312386.8938147999</v>
      </c>
      <c r="S514" s="22">
        <f t="shared" si="285"/>
        <v>12658321.270000001</v>
      </c>
      <c r="T514" s="22">
        <f t="shared" si="285"/>
        <v>3553943.8899999992</v>
      </c>
      <c r="U514" s="22">
        <f t="shared" si="285"/>
        <v>0</v>
      </c>
      <c r="V514" s="22">
        <f t="shared" si="285"/>
        <v>0</v>
      </c>
      <c r="W514" s="22">
        <f t="shared" si="285"/>
        <v>24326452.18</v>
      </c>
      <c r="X514" s="96" t="str">
        <f t="shared" si="284"/>
        <v>ok</v>
      </c>
    </row>
    <row r="515" spans="1:24" x14ac:dyDescent="0.2">
      <c r="F515" s="22"/>
    </row>
    <row r="516" spans="1:24" x14ac:dyDescent="0.2">
      <c r="A516" s="18">
        <v>117</v>
      </c>
      <c r="B516" s="16" t="s">
        <v>86</v>
      </c>
      <c r="C516" s="90" t="s">
        <v>611</v>
      </c>
      <c r="D516" s="90" t="s">
        <v>25</v>
      </c>
      <c r="F516" s="21">
        <v>0</v>
      </c>
      <c r="G516" s="17">
        <f>(VLOOKUP($D516,$C$6:$AJ$991,5,)/VLOOKUP($D516,$C$6:$AJ$991,4,))*$F516</f>
        <v>0</v>
      </c>
      <c r="H516" s="17">
        <f>(VLOOKUP($D516,$C$6:$AJ$991,6,)/VLOOKUP($D516,$C$6:$AJ$991,4,))*$F516</f>
        <v>0</v>
      </c>
      <c r="I516" s="17">
        <f>(VLOOKUP($D516,$C$6:$AJ$991,7,)/VLOOKUP($D516,$C$6:$AJ$991,4,))*$F516</f>
        <v>0</v>
      </c>
      <c r="J516" s="17">
        <f>(VLOOKUP($D516,$C$6:$AJ$991,8,)/VLOOKUP($D516,$C$6:$AJ$991,4,))*$F516</f>
        <v>0</v>
      </c>
      <c r="K516" s="17">
        <f>(VLOOKUP($D516,$C$6:$AJ$991,9,)/VLOOKUP($D516,$C$6:$AJ$991,4,))*$F516</f>
        <v>0</v>
      </c>
      <c r="L516" s="17">
        <f>(VLOOKUP($D516,$C$6:$AJ$991,10,)/VLOOKUP($D516,$C$6:$AJ$991,4,))*$F516</f>
        <v>0</v>
      </c>
      <c r="M516" s="17">
        <f>(VLOOKUP($D516,$C$6:$AJ$991,11,)/VLOOKUP($D516,$C$6:$AJ$991,4,))*$F516</f>
        <v>0</v>
      </c>
      <c r="N516" s="17">
        <f>(VLOOKUP($D516,$C$6:$AJ$991,12,)/VLOOKUP($D516,$C$6:$AJ$991,4,))*$F516</f>
        <v>0</v>
      </c>
      <c r="O516" s="17">
        <f>(VLOOKUP($D516,$C$6:$AJ$991,13,)/VLOOKUP($D516,$C$6:$AJ$991,4,))*$F516</f>
        <v>0</v>
      </c>
      <c r="P516" s="17">
        <f>(VLOOKUP($D516,$C$6:$AJ$991,14,)/VLOOKUP($D516,$C$6:$AJ$991,4,))*$F516</f>
        <v>0</v>
      </c>
      <c r="Q516" s="17">
        <f>(VLOOKUP($D516,$C$6:$AJ$991,15,)/VLOOKUP($D516,$C$6:$AJ$991,4,))*$F516</f>
        <v>0</v>
      </c>
      <c r="R516" s="17">
        <f>(VLOOKUP($D516,$C$6:$AJ$991,16,)/VLOOKUP($D516,$C$6:$AJ$991,4,))*$F516</f>
        <v>0</v>
      </c>
      <c r="S516" s="17">
        <f>(VLOOKUP($D516,$C$6:$AJ$991,17,)/VLOOKUP($D516,$C$6:$AJ$991,4,))*$F516</f>
        <v>0</v>
      </c>
      <c r="T516" s="17">
        <f>(VLOOKUP($D516,$C$6:$AJ$991,18,)/VLOOKUP($D516,$C$6:$AJ$991,4,))*$F516</f>
        <v>0</v>
      </c>
      <c r="U516" s="17">
        <f>(VLOOKUP($D516,$C$6:$AJ$991,19,)/VLOOKUP($D516,$C$6:$AJ$991,4,))*$F516</f>
        <v>0</v>
      </c>
      <c r="V516" s="17">
        <f>(VLOOKUP($D516,$C$6:$AJ$991,20,)/VLOOKUP($D516,$C$6:$AJ$991,4,))*$F516</f>
        <v>0</v>
      </c>
      <c r="W516" s="17">
        <f>SUM(G516:V516)</f>
        <v>0</v>
      </c>
      <c r="X516" s="96" t="str">
        <f>IF(ABS(W516-F516)&lt;1,"ok","err")</f>
        <v>ok</v>
      </c>
    </row>
    <row r="517" spans="1:24" x14ac:dyDescent="0.2">
      <c r="A517" s="18" t="s">
        <v>57</v>
      </c>
      <c r="B517" s="16" t="s">
        <v>58</v>
      </c>
      <c r="C517" s="90" t="s">
        <v>612</v>
      </c>
      <c r="D517" s="90" t="s">
        <v>56</v>
      </c>
      <c r="F517" s="17">
        <v>0</v>
      </c>
      <c r="G517" s="17">
        <f>(VLOOKUP($D517,$C$6:$AJ$991,5,)/VLOOKUP($D517,$C$6:$AJ$991,4,))*$F517</f>
        <v>0</v>
      </c>
      <c r="H517" s="17">
        <f>(VLOOKUP($D517,$C$6:$AJ$991,6,)/VLOOKUP($D517,$C$6:$AJ$991,4,))*$F517</f>
        <v>0</v>
      </c>
      <c r="I517" s="17">
        <f>(VLOOKUP($D517,$C$6:$AJ$991,7,)/VLOOKUP($D517,$C$6:$AJ$991,4,))*$F517</f>
        <v>0</v>
      </c>
      <c r="J517" s="17">
        <f>(VLOOKUP($D517,$C$6:$AJ$991,8,)/VLOOKUP($D517,$C$6:$AJ$991,4,))*$F517</f>
        <v>0</v>
      </c>
      <c r="K517" s="17">
        <f>(VLOOKUP($D517,$C$6:$AJ$991,9,)/VLOOKUP($D517,$C$6:$AJ$991,4,))*$F517</f>
        <v>0</v>
      </c>
      <c r="L517" s="17">
        <f>(VLOOKUP($D517,$C$6:$AJ$991,10,)/VLOOKUP($D517,$C$6:$AJ$991,4,))*$F517</f>
        <v>0</v>
      </c>
      <c r="M517" s="17">
        <f>(VLOOKUP($D517,$C$6:$AJ$991,11,)/VLOOKUP($D517,$C$6:$AJ$991,4,))*$F517</f>
        <v>0</v>
      </c>
      <c r="N517" s="17">
        <f>(VLOOKUP($D517,$C$6:$AJ$991,12,)/VLOOKUP($D517,$C$6:$AJ$991,4,))*$F517</f>
        <v>0</v>
      </c>
      <c r="O517" s="17">
        <f>(VLOOKUP($D517,$C$6:$AJ$991,13,)/VLOOKUP($D517,$C$6:$AJ$991,4,))*$F517</f>
        <v>0</v>
      </c>
      <c r="P517" s="17">
        <f>(VLOOKUP($D517,$C$6:$AJ$991,14,)/VLOOKUP($D517,$C$6:$AJ$991,4,))*$F517</f>
        <v>0</v>
      </c>
      <c r="Q517" s="17">
        <f>(VLOOKUP($D517,$C$6:$AJ$991,15,)/VLOOKUP($D517,$C$6:$AJ$991,4,))*$F517</f>
        <v>0</v>
      </c>
      <c r="R517" s="17">
        <f>(VLOOKUP($D517,$C$6:$AJ$991,16,)/VLOOKUP($D517,$C$6:$AJ$991,4,))*$F517</f>
        <v>0</v>
      </c>
      <c r="S517" s="17">
        <f>(VLOOKUP($D517,$C$6:$AJ$991,17,)/VLOOKUP($D517,$C$6:$AJ$991,4,))*$F517</f>
        <v>0</v>
      </c>
      <c r="T517" s="17">
        <f>(VLOOKUP($D517,$C$6:$AJ$991,18,)/VLOOKUP($D517,$C$6:$AJ$991,4,))*$F517</f>
        <v>0</v>
      </c>
      <c r="U517" s="17">
        <f>(VLOOKUP($D517,$C$6:$AJ$991,19,)/VLOOKUP($D517,$C$6:$AJ$991,4,))*$F517</f>
        <v>0</v>
      </c>
      <c r="V517" s="17">
        <f>(VLOOKUP($D517,$C$6:$AJ$991,20,)/VLOOKUP($D517,$C$6:$AJ$991,4,))*$F517</f>
        <v>0</v>
      </c>
      <c r="W517" s="17">
        <f>SUM(G517:V517)</f>
        <v>0</v>
      </c>
      <c r="X517" s="96" t="str">
        <f>IF(ABS(W517-F517)&lt;1,"ok","err")</f>
        <v>ok</v>
      </c>
    </row>
    <row r="518" spans="1:24" x14ac:dyDescent="0.2">
      <c r="A518" s="18" t="s">
        <v>60</v>
      </c>
      <c r="B518" s="16" t="s">
        <v>61</v>
      </c>
      <c r="C518" s="90" t="s">
        <v>613</v>
      </c>
      <c r="D518" s="90" t="s">
        <v>56</v>
      </c>
      <c r="F518" s="17">
        <v>438803.72</v>
      </c>
      <c r="G518" s="17">
        <f>(VLOOKUP($D518,$C$6:$AJ$991,5,)/VLOOKUP($D518,$C$6:$AJ$991,4,))*$F518</f>
        <v>0</v>
      </c>
      <c r="H518" s="17">
        <f>(VLOOKUP($D518,$C$6:$AJ$991,6,)/VLOOKUP($D518,$C$6:$AJ$991,4,))*$F518</f>
        <v>0</v>
      </c>
      <c r="I518" s="17">
        <f>(VLOOKUP($D518,$C$6:$AJ$991,7,)/VLOOKUP($D518,$C$6:$AJ$991,4,))*$F518</f>
        <v>64937.49652321374</v>
      </c>
      <c r="J518" s="17">
        <f>(VLOOKUP($D518,$C$6:$AJ$991,8,)/VLOOKUP($D518,$C$6:$AJ$991,4,))*$F518</f>
        <v>0</v>
      </c>
      <c r="K518" s="17">
        <f>(VLOOKUP($D518,$C$6:$AJ$991,9,)/VLOOKUP($D518,$C$6:$AJ$991,4,))*$F518</f>
        <v>5893.3938436836161</v>
      </c>
      <c r="L518" s="17">
        <f>(VLOOKUP($D518,$C$6:$AJ$991,10,)/VLOOKUP($D518,$C$6:$AJ$991,4,))*$F518</f>
        <v>14352.417939819932</v>
      </c>
      <c r="M518" s="17">
        <f>(VLOOKUP($D518,$C$6:$AJ$991,11,)/VLOOKUP($D518,$C$6:$AJ$991,4,))*$F518</f>
        <v>0</v>
      </c>
      <c r="N518" s="17">
        <f>(VLOOKUP($D518,$C$6:$AJ$991,12,)/VLOOKUP($D518,$C$6:$AJ$991,4,))*$F518</f>
        <v>18114.414045570098</v>
      </c>
      <c r="O518" s="17">
        <f>(VLOOKUP($D518,$C$6:$AJ$991,13,)/VLOOKUP($D518,$C$6:$AJ$991,4,))*$F518</f>
        <v>48382.37954841982</v>
      </c>
      <c r="P518" s="17">
        <f>(VLOOKUP($D518,$C$6:$AJ$991,14,)/VLOOKUP($D518,$C$6:$AJ$991,4,))*$F518</f>
        <v>95325.848367581668</v>
      </c>
      <c r="Q518" s="17">
        <f>(VLOOKUP($D518,$C$6:$AJ$991,15,)/VLOOKUP($D518,$C$6:$AJ$991,4,))*$F518</f>
        <v>8269.3643125642939</v>
      </c>
      <c r="R518" s="17">
        <f>(VLOOKUP($D518,$C$6:$AJ$991,16,)/VLOOKUP($D518,$C$6:$AJ$991,4,))*$F518</f>
        <v>7018.0684629222824</v>
      </c>
      <c r="S518" s="17">
        <f>(VLOOKUP($D518,$C$6:$AJ$991,17,)/VLOOKUP($D518,$C$6:$AJ$991,4,))*$F518</f>
        <v>142170.69368187891</v>
      </c>
      <c r="T518" s="17">
        <f>(VLOOKUP($D518,$C$6:$AJ$991,18,)/VLOOKUP($D518,$C$6:$AJ$991,4,))*$F518</f>
        <v>34339.643274345617</v>
      </c>
      <c r="U518" s="17">
        <f>(VLOOKUP($D518,$C$6:$AJ$991,19,)/VLOOKUP($D518,$C$6:$AJ$991,4,))*$F518</f>
        <v>0</v>
      </c>
      <c r="V518" s="17">
        <f>(VLOOKUP($D518,$C$6:$AJ$991,20,)/VLOOKUP($D518,$C$6:$AJ$991,4,))*$F518</f>
        <v>0</v>
      </c>
      <c r="W518" s="17">
        <f>SUM(G518:V518)</f>
        <v>438803.72</v>
      </c>
      <c r="X518" s="96" t="str">
        <f>IF(ABS(W518-F518)&lt;1,"ok","err")</f>
        <v>ok</v>
      </c>
    </row>
    <row r="519" spans="1:24" x14ac:dyDescent="0.2">
      <c r="A519" s="18" t="s">
        <v>585</v>
      </c>
      <c r="C519" s="90" t="s">
        <v>614</v>
      </c>
      <c r="D519" s="90" t="s">
        <v>56</v>
      </c>
      <c r="F519" s="17">
        <v>8267734.1991999969</v>
      </c>
      <c r="G519" s="17">
        <f>(VLOOKUP($D519,$C$6:$AJ$991,5,)/VLOOKUP($D519,$C$6:$AJ$991,4,))*$F519</f>
        <v>0</v>
      </c>
      <c r="H519" s="17">
        <f>(VLOOKUP($D519,$C$6:$AJ$991,6,)/VLOOKUP($D519,$C$6:$AJ$991,4,))*$F519</f>
        <v>0</v>
      </c>
      <c r="I519" s="17">
        <f>(VLOOKUP($D519,$C$6:$AJ$991,7,)/VLOOKUP($D519,$C$6:$AJ$991,4,))*$F519</f>
        <v>1223521.899074614</v>
      </c>
      <c r="J519" s="17">
        <f>(VLOOKUP($D519,$C$6:$AJ$991,8,)/VLOOKUP($D519,$C$6:$AJ$991,4,))*$F519</f>
        <v>0</v>
      </c>
      <c r="K519" s="17">
        <f>(VLOOKUP($D519,$C$6:$AJ$991,9,)/VLOOKUP($D519,$C$6:$AJ$991,4,))*$F519</f>
        <v>111040.566909455</v>
      </c>
      <c r="L519" s="17">
        <f>(VLOOKUP($D519,$C$6:$AJ$991,10,)/VLOOKUP($D519,$C$6:$AJ$991,4,))*$F519</f>
        <v>270421.53754362161</v>
      </c>
      <c r="M519" s="17">
        <f>(VLOOKUP($D519,$C$6:$AJ$991,11,)/VLOOKUP($D519,$C$6:$AJ$991,4,))*$F519</f>
        <v>0</v>
      </c>
      <c r="N519" s="17">
        <f>(VLOOKUP($D519,$C$6:$AJ$991,12,)/VLOOKUP($D519,$C$6:$AJ$991,4,))*$F519</f>
        <v>341303.30641460529</v>
      </c>
      <c r="O519" s="17">
        <f>(VLOOKUP($D519,$C$6:$AJ$991,13,)/VLOOKUP($D519,$C$6:$AJ$991,4,))*$F519</f>
        <v>911598.137844285</v>
      </c>
      <c r="P519" s="17">
        <f>(VLOOKUP($D519,$C$6:$AJ$991,14,)/VLOOKUP($D519,$C$6:$AJ$991,4,))*$F519</f>
        <v>1796084.993573911</v>
      </c>
      <c r="Q519" s="17">
        <f>(VLOOKUP($D519,$C$6:$AJ$991,15,)/VLOOKUP($D519,$C$6:$AJ$991,4,))*$F519</f>
        <v>155807.48981032294</v>
      </c>
      <c r="R519" s="17">
        <f>(VLOOKUP($D519,$C$6:$AJ$991,16,)/VLOOKUP($D519,$C$6:$AJ$991,4,))*$F519</f>
        <v>132231.15939680164</v>
      </c>
      <c r="S519" s="17">
        <f>(VLOOKUP($D519,$C$6:$AJ$991,17,)/VLOOKUP($D519,$C$6:$AJ$991,4,))*$F519</f>
        <v>2678713.631410548</v>
      </c>
      <c r="T519" s="17">
        <f>(VLOOKUP($D519,$C$6:$AJ$991,18,)/VLOOKUP($D519,$C$6:$AJ$991,4,))*$F519</f>
        <v>647011.47722183261</v>
      </c>
      <c r="U519" s="17">
        <f>(VLOOKUP($D519,$C$6:$AJ$991,19,)/VLOOKUP($D519,$C$6:$AJ$991,4,))*$F519</f>
        <v>0</v>
      </c>
      <c r="V519" s="17">
        <f>(VLOOKUP($D519,$C$6:$AJ$991,20,)/VLOOKUP($D519,$C$6:$AJ$991,4,))*$F519</f>
        <v>0</v>
      </c>
      <c r="W519" s="17">
        <f>SUM(G519:V519)</f>
        <v>8267734.1991999978</v>
      </c>
      <c r="X519" s="96" t="str">
        <f>IF(ABS(W519-F519)&lt;1,"ok","err")</f>
        <v>ok</v>
      </c>
    </row>
    <row r="520" spans="1:24" x14ac:dyDescent="0.2">
      <c r="A520" s="18" t="s">
        <v>820</v>
      </c>
      <c r="C520" s="90" t="s">
        <v>614</v>
      </c>
      <c r="D520" s="90" t="s">
        <v>56</v>
      </c>
      <c r="F520" s="17">
        <v>0</v>
      </c>
      <c r="G520" s="17">
        <f>(VLOOKUP($D520,$C$6:$AJ$991,5,)/VLOOKUP($D520,$C$6:$AJ$991,4,))*$F520</f>
        <v>0</v>
      </c>
      <c r="H520" s="17">
        <f>(VLOOKUP($D520,$C$6:$AJ$991,6,)/VLOOKUP($D520,$C$6:$AJ$991,4,))*$F520</f>
        <v>0</v>
      </c>
      <c r="I520" s="17">
        <f>(VLOOKUP($D520,$C$6:$AJ$991,7,)/VLOOKUP($D520,$C$6:$AJ$991,4,))*$F520</f>
        <v>0</v>
      </c>
      <c r="J520" s="17">
        <f>(VLOOKUP($D520,$C$6:$AJ$991,8,)/VLOOKUP($D520,$C$6:$AJ$991,4,))*$F520</f>
        <v>0</v>
      </c>
      <c r="K520" s="17">
        <f>(VLOOKUP($D520,$C$6:$AJ$991,9,)/VLOOKUP($D520,$C$6:$AJ$991,4,))*$F520</f>
        <v>0</v>
      </c>
      <c r="L520" s="17">
        <f>(VLOOKUP($D520,$C$6:$AJ$991,10,)/VLOOKUP($D520,$C$6:$AJ$991,4,))*$F520</f>
        <v>0</v>
      </c>
      <c r="M520" s="17">
        <f>(VLOOKUP($D520,$C$6:$AJ$991,11,)/VLOOKUP($D520,$C$6:$AJ$991,4,))*$F520</f>
        <v>0</v>
      </c>
      <c r="N520" s="17">
        <f>(VLOOKUP($D520,$C$6:$AJ$991,12,)/VLOOKUP($D520,$C$6:$AJ$991,4,))*$F520</f>
        <v>0</v>
      </c>
      <c r="O520" s="17">
        <f>(VLOOKUP($D520,$C$6:$AJ$991,13,)/VLOOKUP($D520,$C$6:$AJ$991,4,))*$F520</f>
        <v>0</v>
      </c>
      <c r="P520" s="17">
        <f>(VLOOKUP($D520,$C$6:$AJ$991,14,)/VLOOKUP($D520,$C$6:$AJ$991,4,))*$F520</f>
        <v>0</v>
      </c>
      <c r="Q520" s="17">
        <f>(VLOOKUP($D520,$C$6:$AJ$991,15,)/VLOOKUP($D520,$C$6:$AJ$991,4,))*$F520</f>
        <v>0</v>
      </c>
      <c r="R520" s="17">
        <f>(VLOOKUP($D520,$C$6:$AJ$991,16,)/VLOOKUP($D520,$C$6:$AJ$991,4,))*$F520</f>
        <v>0</v>
      </c>
      <c r="S520" s="17">
        <f>(VLOOKUP($D520,$C$6:$AJ$991,17,)/VLOOKUP($D520,$C$6:$AJ$991,4,))*$F520</f>
        <v>0</v>
      </c>
      <c r="T520" s="17">
        <f>(VLOOKUP($D520,$C$6:$AJ$991,18,)/VLOOKUP($D520,$C$6:$AJ$991,4,))*$F520</f>
        <v>0</v>
      </c>
      <c r="U520" s="17">
        <f>(VLOOKUP($D520,$C$6:$AJ$991,19,)/VLOOKUP($D520,$C$6:$AJ$991,4,))*$F520</f>
        <v>0</v>
      </c>
      <c r="V520" s="17">
        <f>(VLOOKUP($D520,$C$6:$AJ$991,20,)/VLOOKUP($D520,$C$6:$AJ$991,4,))*$F520</f>
        <v>0</v>
      </c>
      <c r="W520" s="17">
        <f>SUM(G520:V520)</f>
        <v>0</v>
      </c>
      <c r="X520" s="96" t="str">
        <f>IF(ABS(W520-F520)&lt;1,"ok","err")</f>
        <v>ok</v>
      </c>
    </row>
    <row r="521" spans="1:24" x14ac:dyDescent="0.2">
      <c r="A521" s="18"/>
      <c r="F521" s="22"/>
    </row>
    <row r="522" spans="1:24" x14ac:dyDescent="0.2">
      <c r="A522" s="18" t="s">
        <v>615</v>
      </c>
      <c r="C522" s="90" t="s">
        <v>203</v>
      </c>
      <c r="F522" s="22">
        <f>F493+F496+F514+F516+F517+F518+F519+F520</f>
        <v>38336866.259199992</v>
      </c>
      <c r="G522" s="22">
        <f t="shared" ref="G522:V522" si="286">G493+G496+G514+G516+G517+G518+G519+G520</f>
        <v>0</v>
      </c>
      <c r="H522" s="22">
        <f t="shared" si="286"/>
        <v>0</v>
      </c>
      <c r="I522" s="22">
        <f t="shared" si="286"/>
        <v>5455701.1755978251</v>
      </c>
      <c r="J522" s="22">
        <f t="shared" si="286"/>
        <v>0</v>
      </c>
      <c r="K522" s="22">
        <f t="shared" si="286"/>
        <v>447799.1356960985</v>
      </c>
      <c r="L522" s="22">
        <f t="shared" si="286"/>
        <v>1090543.1605404813</v>
      </c>
      <c r="M522" s="22">
        <f t="shared" si="286"/>
        <v>0</v>
      </c>
      <c r="N522" s="22">
        <f t="shared" si="286"/>
        <v>1396420.9204601753</v>
      </c>
      <c r="O522" s="22">
        <f t="shared" si="286"/>
        <v>3113567.5538187046</v>
      </c>
      <c r="P522" s="22">
        <f t="shared" si="286"/>
        <v>6134536.4012224916</v>
      </c>
      <c r="Q522" s="22">
        <f t="shared" si="286"/>
        <v>532161.18460108712</v>
      </c>
      <c r="R522" s="22">
        <f t="shared" si="286"/>
        <v>451636.12167452381</v>
      </c>
      <c r="S522" s="22">
        <f t="shared" si="286"/>
        <v>15479205.595092429</v>
      </c>
      <c r="T522" s="22">
        <f t="shared" si="286"/>
        <v>4235295.0104961768</v>
      </c>
      <c r="U522" s="22">
        <f t="shared" si="286"/>
        <v>0</v>
      </c>
      <c r="V522" s="22">
        <f t="shared" si="286"/>
        <v>0</v>
      </c>
      <c r="W522" s="21">
        <f>SUM(G522:V522)</f>
        <v>38336866.259199992</v>
      </c>
      <c r="X522" s="96" t="str">
        <f>IF(ABS(W522-F522)&lt;1,"ok","err")</f>
        <v>ok</v>
      </c>
    </row>
    <row r="523" spans="1:24" x14ac:dyDescent="0.2">
      <c r="F523" s="18"/>
    </row>
    <row r="524" spans="1:24" x14ac:dyDescent="0.2">
      <c r="A524" s="18"/>
      <c r="F524" s="22">
        <f>F493+F496+F514+F517+F518</f>
        <v>30069132.059999995</v>
      </c>
    </row>
    <row r="525" spans="1:24" x14ac:dyDescent="0.2">
      <c r="A525" s="179" t="s">
        <v>721</v>
      </c>
      <c r="F525" s="22"/>
    </row>
    <row r="526" spans="1:24" x14ac:dyDescent="0.2">
      <c r="F526" s="22"/>
    </row>
    <row r="527" spans="1:24" x14ac:dyDescent="0.2">
      <c r="B527" s="16" t="s">
        <v>720</v>
      </c>
      <c r="C527" s="90" t="s">
        <v>723</v>
      </c>
      <c r="D527" s="90" t="s">
        <v>56</v>
      </c>
      <c r="F527" s="22">
        <v>0</v>
      </c>
      <c r="G527" s="17">
        <f>(VLOOKUP($D527,$C$6:$AJ$991,5,)/VLOOKUP($D527,$C$6:$AJ$991,4,))*$F527</f>
        <v>0</v>
      </c>
      <c r="H527" s="17">
        <f>(VLOOKUP($D527,$C$6:$AJ$991,6,)/VLOOKUP($D527,$C$6:$AJ$991,4,))*$F527</f>
        <v>0</v>
      </c>
      <c r="I527" s="17">
        <f>(VLOOKUP($D527,$C$6:$AJ$991,7,)/VLOOKUP($D527,$C$6:$AJ$991,4,))*$F527</f>
        <v>0</v>
      </c>
      <c r="J527" s="17">
        <f>(VLOOKUP($D527,$C$6:$AJ$991,8,)/VLOOKUP($D527,$C$6:$AJ$991,4,))*$F527</f>
        <v>0</v>
      </c>
      <c r="K527" s="17">
        <f>(VLOOKUP($D527,$C$6:$AJ$991,9,)/VLOOKUP($D527,$C$6:$AJ$991,4,))*$F527</f>
        <v>0</v>
      </c>
      <c r="L527" s="17">
        <f>(VLOOKUP($D527,$C$6:$AJ$991,10,)/VLOOKUP($D527,$C$6:$AJ$991,4,))*$F527</f>
        <v>0</v>
      </c>
      <c r="M527" s="17">
        <f>(VLOOKUP($D527,$C$6:$AJ$991,11,)/VLOOKUP($D527,$C$6:$AJ$991,4,))*$F527</f>
        <v>0</v>
      </c>
      <c r="N527" s="17">
        <f>(VLOOKUP($D527,$C$6:$AJ$991,12,)/VLOOKUP($D527,$C$6:$AJ$991,4,))*$F527</f>
        <v>0</v>
      </c>
      <c r="O527" s="17">
        <f>(VLOOKUP($D527,$C$6:$AJ$991,13,)/VLOOKUP($D527,$C$6:$AJ$991,4,))*$F527</f>
        <v>0</v>
      </c>
      <c r="P527" s="17">
        <f>(VLOOKUP($D527,$C$6:$AJ$991,14,)/VLOOKUP($D527,$C$6:$AJ$991,4,))*$F527</f>
        <v>0</v>
      </c>
      <c r="Q527" s="17">
        <f>(VLOOKUP($D527,$C$6:$AJ$991,15,)/VLOOKUP($D527,$C$6:$AJ$991,4,))*$F527</f>
        <v>0</v>
      </c>
      <c r="R527" s="17">
        <f>(VLOOKUP($D527,$C$6:$AJ$991,16,)/VLOOKUP($D527,$C$6:$AJ$991,4,))*$F527</f>
        <v>0</v>
      </c>
      <c r="S527" s="17">
        <f>(VLOOKUP($D527,$C$6:$AJ$991,17,)/VLOOKUP($D527,$C$6:$AJ$991,4,))*$F527</f>
        <v>0</v>
      </c>
      <c r="T527" s="17">
        <f>(VLOOKUP($D527,$C$6:$AJ$991,18,)/VLOOKUP($D527,$C$6:$AJ$991,4,))*$F527</f>
        <v>0</v>
      </c>
      <c r="U527" s="17">
        <f>(VLOOKUP($D527,$C$6:$AJ$991,19,)/VLOOKUP($D527,$C$6:$AJ$991,4,))*$F527</f>
        <v>0</v>
      </c>
      <c r="V527" s="17">
        <f>(VLOOKUP($D527,$C$6:$AJ$991,20,)/VLOOKUP($D527,$C$6:$AJ$991,4,))*$F527</f>
        <v>0</v>
      </c>
      <c r="W527" s="17">
        <f>SUM(G527:V527)</f>
        <v>0</v>
      </c>
      <c r="X527" s="96" t="str">
        <f>IF(ABS(W527-F527)&lt;1,"ok","err")</f>
        <v>ok</v>
      </c>
    </row>
    <row r="529" spans="1:24" x14ac:dyDescent="0.2">
      <c r="B529" s="16" t="s">
        <v>722</v>
      </c>
      <c r="C529" s="90" t="s">
        <v>724</v>
      </c>
      <c r="D529" s="90" t="s">
        <v>56</v>
      </c>
      <c r="F529" s="22">
        <v>0</v>
      </c>
      <c r="G529" s="17">
        <f>(VLOOKUP($D529,$C$6:$AJ$991,5,)/VLOOKUP($D529,$C$6:$AJ$991,4,))*$F529</f>
        <v>0</v>
      </c>
      <c r="H529" s="17">
        <f>(VLOOKUP($D529,$C$6:$AJ$991,6,)/VLOOKUP($D529,$C$6:$AJ$991,4,))*$F529</f>
        <v>0</v>
      </c>
      <c r="I529" s="17">
        <f>(VLOOKUP($D529,$C$6:$AJ$991,7,)/VLOOKUP($D529,$C$6:$AJ$991,4,))*$F529</f>
        <v>0</v>
      </c>
      <c r="J529" s="17">
        <f>(VLOOKUP($D529,$C$6:$AJ$991,8,)/VLOOKUP($D529,$C$6:$AJ$991,4,))*$F529</f>
        <v>0</v>
      </c>
      <c r="K529" s="17">
        <f>(VLOOKUP($D529,$C$6:$AJ$991,9,)/VLOOKUP($D529,$C$6:$AJ$991,4,))*$F529</f>
        <v>0</v>
      </c>
      <c r="L529" s="17">
        <f>(VLOOKUP($D529,$C$6:$AJ$991,10,)/VLOOKUP($D529,$C$6:$AJ$991,4,))*$F529</f>
        <v>0</v>
      </c>
      <c r="M529" s="17">
        <f>(VLOOKUP($D529,$C$6:$AJ$991,11,)/VLOOKUP($D529,$C$6:$AJ$991,4,))*$F529</f>
        <v>0</v>
      </c>
      <c r="N529" s="17">
        <f>(VLOOKUP($D529,$C$6:$AJ$991,12,)/VLOOKUP($D529,$C$6:$AJ$991,4,))*$F529</f>
        <v>0</v>
      </c>
      <c r="O529" s="17">
        <f>(VLOOKUP($D529,$C$6:$AJ$991,13,)/VLOOKUP($D529,$C$6:$AJ$991,4,))*$F529</f>
        <v>0</v>
      </c>
      <c r="P529" s="17">
        <f>(VLOOKUP($D529,$C$6:$AJ$991,14,)/VLOOKUP($D529,$C$6:$AJ$991,4,))*$F529</f>
        <v>0</v>
      </c>
      <c r="Q529" s="17">
        <f>(VLOOKUP($D529,$C$6:$AJ$991,15,)/VLOOKUP($D529,$C$6:$AJ$991,4,))*$F529</f>
        <v>0</v>
      </c>
      <c r="R529" s="17">
        <f>(VLOOKUP($D529,$C$6:$AJ$991,16,)/VLOOKUP($D529,$C$6:$AJ$991,4,))*$F529</f>
        <v>0</v>
      </c>
      <c r="S529" s="17">
        <f>(VLOOKUP($D529,$C$6:$AJ$991,17,)/VLOOKUP($D529,$C$6:$AJ$991,4,))*$F529</f>
        <v>0</v>
      </c>
      <c r="T529" s="17">
        <f>(VLOOKUP($D529,$C$6:$AJ$991,18,)/VLOOKUP($D529,$C$6:$AJ$991,4,))*$F529</f>
        <v>0</v>
      </c>
      <c r="U529" s="17">
        <f>(VLOOKUP($D529,$C$6:$AJ$991,19,)/VLOOKUP($D529,$C$6:$AJ$991,4,))*$F529</f>
        <v>0</v>
      </c>
      <c r="V529" s="17">
        <f>(VLOOKUP($D529,$C$6:$AJ$991,20,)/VLOOKUP($D529,$C$6:$AJ$991,4,))*$F529</f>
        <v>0</v>
      </c>
      <c r="W529" s="17">
        <f>SUM(G529:V529)</f>
        <v>0</v>
      </c>
      <c r="X529" s="96" t="str">
        <f>IF(ABS(W529-F529)&lt;1,"ok","err")</f>
        <v>ok</v>
      </c>
    </row>
    <row r="531" spans="1:24" x14ac:dyDescent="0.2">
      <c r="A531" s="6" t="s">
        <v>852</v>
      </c>
      <c r="C531" s="90" t="s">
        <v>725</v>
      </c>
      <c r="D531" s="90" t="s">
        <v>56</v>
      </c>
      <c r="F531" s="22">
        <v>-4653.33</v>
      </c>
      <c r="G531" s="17">
        <f>(VLOOKUP($D531,$C$6:$AJ$991,5,)/VLOOKUP($D531,$C$6:$AJ$991,4,))*$F531</f>
        <v>0</v>
      </c>
      <c r="H531" s="17">
        <f>(VLOOKUP($D531,$C$6:$AJ$991,6,)/VLOOKUP($D531,$C$6:$AJ$991,4,))*$F531</f>
        <v>0</v>
      </c>
      <c r="I531" s="17">
        <f>(VLOOKUP($D531,$C$6:$AJ$991,7,)/VLOOKUP($D531,$C$6:$AJ$991,4,))*$F531</f>
        <v>-688.63500222004996</v>
      </c>
      <c r="J531" s="17">
        <f>(VLOOKUP($D531,$C$6:$AJ$991,8,)/VLOOKUP($D531,$C$6:$AJ$991,4,))*$F531</f>
        <v>0</v>
      </c>
      <c r="K531" s="17">
        <f>(VLOOKUP($D531,$C$6:$AJ$991,9,)/VLOOKUP($D531,$C$6:$AJ$991,4,))*$F531</f>
        <v>-62.496977862057058</v>
      </c>
      <c r="L531" s="17">
        <f>(VLOOKUP($D531,$C$6:$AJ$991,10,)/VLOOKUP($D531,$C$6:$AJ$991,4,))*$F531</f>
        <v>-152.20139193875178</v>
      </c>
      <c r="M531" s="17">
        <f>(VLOOKUP($D531,$C$6:$AJ$991,11,)/VLOOKUP($D531,$C$6:$AJ$991,4,))*$F531</f>
        <v>0</v>
      </c>
      <c r="N531" s="17">
        <f>(VLOOKUP($D531,$C$6:$AJ$991,12,)/VLOOKUP($D531,$C$6:$AJ$991,4,))*$F531</f>
        <v>-192.09578786313094</v>
      </c>
      <c r="O531" s="17">
        <f>(VLOOKUP($D531,$C$6:$AJ$991,13,)/VLOOKUP($D531,$C$6:$AJ$991,4,))*$F531</f>
        <v>-513.07490789742712</v>
      </c>
      <c r="P531" s="17">
        <f>(VLOOKUP($D531,$C$6:$AJ$991,14,)/VLOOKUP($D531,$C$6:$AJ$991,4,))*$F531</f>
        <v>-1010.8907690762486</v>
      </c>
      <c r="Q531" s="17">
        <f>(VLOOKUP($D531,$C$6:$AJ$991,15,)/VLOOKUP($D531,$C$6:$AJ$991,4,))*$F531</f>
        <v>-87.693151362948356</v>
      </c>
      <c r="R531" s="17">
        <f>(VLOOKUP($D531,$C$6:$AJ$991,16,)/VLOOKUP($D531,$C$6:$AJ$991,4,))*$F531</f>
        <v>-74.423682006547594</v>
      </c>
      <c r="S531" s="17">
        <f>(VLOOKUP($D531,$C$6:$AJ$991,17,)/VLOOKUP($D531,$C$6:$AJ$991,4,))*$F531</f>
        <v>-1507.6607692174935</v>
      </c>
      <c r="T531" s="17">
        <f>(VLOOKUP($D531,$C$6:$AJ$991,18,)/VLOOKUP($D531,$C$6:$AJ$991,4,))*$F531</f>
        <v>-364.15756055534507</v>
      </c>
      <c r="U531" s="17">
        <f>(VLOOKUP($D531,$C$6:$AJ$991,19,)/VLOOKUP($D531,$C$6:$AJ$991,4,))*$F531</f>
        <v>0</v>
      </c>
      <c r="V531" s="17">
        <f>(VLOOKUP($D531,$C$6:$AJ$991,20,)/VLOOKUP($D531,$C$6:$AJ$991,4,))*$F531</f>
        <v>0</v>
      </c>
      <c r="W531" s="17">
        <f>SUM(G531:V531)</f>
        <v>-4653.33</v>
      </c>
      <c r="X531" s="96" t="str">
        <f>IF(ABS(W531-F531)&lt;1,"ok","err")</f>
        <v>ok</v>
      </c>
    </row>
    <row r="533" spans="1:24" x14ac:dyDescent="0.2">
      <c r="A533" s="180"/>
      <c r="F533" s="21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96"/>
    </row>
    <row r="535" spans="1:24" x14ac:dyDescent="0.2">
      <c r="A535" s="92" t="s">
        <v>178</v>
      </c>
    </row>
    <row r="536" spans="1:24" x14ac:dyDescent="0.2">
      <c r="A536" s="92"/>
    </row>
    <row r="537" spans="1:24" x14ac:dyDescent="0.2">
      <c r="C537" s="90" t="s">
        <v>174</v>
      </c>
      <c r="D537" s="90" t="s">
        <v>72</v>
      </c>
      <c r="F537" s="21"/>
      <c r="G537" s="17">
        <f t="shared" ref="G537:G542" si="287">(VLOOKUP($D537,$C$6:$AJ$991,5,)/VLOOKUP($D537,$C$6:$AJ$991,4,))*$F537</f>
        <v>0</v>
      </c>
      <c r="H537" s="17">
        <f t="shared" ref="H537:H542" si="288">(VLOOKUP($D537,$C$6:$AJ$991,6,)/VLOOKUP($D537,$C$6:$AJ$991,4,))*$F537</f>
        <v>0</v>
      </c>
      <c r="I537" s="17">
        <f t="shared" ref="I537:I542" si="289">(VLOOKUP($D537,$C$6:$AJ$991,7,)/VLOOKUP($D537,$C$6:$AJ$991,4,))*$F537</f>
        <v>0</v>
      </c>
      <c r="J537" s="17">
        <f t="shared" ref="J537:J542" si="290">(VLOOKUP($D537,$C$6:$AJ$991,8,)/VLOOKUP($D537,$C$6:$AJ$991,4,))*$F537</f>
        <v>0</v>
      </c>
      <c r="K537" s="17">
        <f t="shared" ref="K537:K542" si="291">(VLOOKUP($D537,$C$6:$AJ$991,9,)/VLOOKUP($D537,$C$6:$AJ$991,4,))*$F537</f>
        <v>0</v>
      </c>
      <c r="L537" s="17">
        <f t="shared" ref="L537:L542" si="292">(VLOOKUP($D537,$C$6:$AJ$991,10,)/VLOOKUP($D537,$C$6:$AJ$991,4,))*$F537</f>
        <v>0</v>
      </c>
      <c r="M537" s="17">
        <f t="shared" ref="M537:M542" si="293">(VLOOKUP($D537,$C$6:$AJ$991,11,)/VLOOKUP($D537,$C$6:$AJ$991,4,))*$F537</f>
        <v>0</v>
      </c>
      <c r="N537" s="17">
        <f t="shared" ref="N537:N542" si="294">(VLOOKUP($D537,$C$6:$AJ$991,12,)/VLOOKUP($D537,$C$6:$AJ$991,4,))*$F537</f>
        <v>0</v>
      </c>
      <c r="O537" s="17">
        <f t="shared" ref="O537:O542" si="295">(VLOOKUP($D537,$C$6:$AJ$991,13,)/VLOOKUP($D537,$C$6:$AJ$991,4,))*$F537</f>
        <v>0</v>
      </c>
      <c r="P537" s="17">
        <f t="shared" ref="P537:P542" si="296">(VLOOKUP($D537,$C$6:$AJ$991,14,)/VLOOKUP($D537,$C$6:$AJ$991,4,))*$F537</f>
        <v>0</v>
      </c>
      <c r="Q537" s="17"/>
      <c r="R537" s="17"/>
      <c r="S537" s="17">
        <f>(VLOOKUP($D537,$C$6:$AJ$991,15,)/VLOOKUP($D537,$C$6:$AJ$991,4,))*$F537</f>
        <v>0</v>
      </c>
      <c r="T537" s="17">
        <f>(VLOOKUP($D537,$C$6:$AJ$991,16,)/VLOOKUP($D537,$C$6:$AJ$991,4,))*$F537</f>
        <v>0</v>
      </c>
      <c r="U537" s="17">
        <f>(VLOOKUP($D537,$C$6:$AJ$991,17,)/VLOOKUP($D537,$C$6:$AJ$991,4,))*$F537</f>
        <v>0</v>
      </c>
      <c r="V537" s="17">
        <f>(VLOOKUP($D537,$C$6:$AJ$991,18,)/VLOOKUP($D537,$C$6:$AJ$991,4,))*$F537</f>
        <v>0</v>
      </c>
      <c r="W537" s="17">
        <f t="shared" ref="W537:W542" si="297">SUM(G537:V537)</f>
        <v>0</v>
      </c>
      <c r="X537" s="96" t="str">
        <f t="shared" ref="X537:X542" si="298">IF(ABS(W537-F537)&lt;1,"ok","err")</f>
        <v>ok</v>
      </c>
    </row>
    <row r="538" spans="1:24" x14ac:dyDescent="0.2">
      <c r="A538" s="16" t="s">
        <v>178</v>
      </c>
      <c r="C538" s="90" t="s">
        <v>175</v>
      </c>
      <c r="D538" s="90" t="s">
        <v>72</v>
      </c>
      <c r="F538" s="17">
        <v>11746353.086513791</v>
      </c>
      <c r="G538" s="17">
        <f t="shared" si="287"/>
        <v>0</v>
      </c>
      <c r="H538" s="17">
        <f t="shared" si="288"/>
        <v>0</v>
      </c>
      <c r="I538" s="17">
        <f t="shared" si="289"/>
        <v>1836482.8551281544</v>
      </c>
      <c r="J538" s="17">
        <f t="shared" si="290"/>
        <v>0</v>
      </c>
      <c r="K538" s="17">
        <f t="shared" si="291"/>
        <v>221681.17166734367</v>
      </c>
      <c r="L538" s="17">
        <f t="shared" si="292"/>
        <v>539869.03124906647</v>
      </c>
      <c r="M538" s="17">
        <f t="shared" si="293"/>
        <v>0</v>
      </c>
      <c r="N538" s="17">
        <f t="shared" si="294"/>
        <v>465921.57045312616</v>
      </c>
      <c r="O538" s="17">
        <f t="shared" si="295"/>
        <v>1260522.8864603527</v>
      </c>
      <c r="P538" s="17">
        <f t="shared" si="296"/>
        <v>2483557.3334778328</v>
      </c>
      <c r="Q538" s="17">
        <f>(VLOOKUP($D538,$C$6:$AJ$991,15,)/VLOOKUP($D538,$C$6:$AJ$991,4,))*$F538</f>
        <v>215444.61164904022</v>
      </c>
      <c r="R538" s="17">
        <f>(VLOOKUP($D538,$C$6:$AJ$991,16,)/VLOOKUP($D538,$C$6:$AJ$991,4,))*$F538</f>
        <v>182844.16762523813</v>
      </c>
      <c r="S538" s="17">
        <f>(VLOOKUP($D538,$C$6:$AJ$991,17,)/VLOOKUP($D538,$C$6:$AJ$991,4,))*$F538</f>
        <v>3656778.1163680828</v>
      </c>
      <c r="T538" s="17">
        <f>(VLOOKUP($D538,$C$6:$AJ$991,18,)/VLOOKUP($D538,$C$6:$AJ$991,4,))*$F538</f>
        <v>883251.34243555379</v>
      </c>
      <c r="U538" s="17">
        <f>(VLOOKUP($D538,$C$6:$AJ$991,19,)/VLOOKUP($D538,$C$6:$AJ$991,4,))*$F538</f>
        <v>0</v>
      </c>
      <c r="V538" s="17">
        <f>(VLOOKUP($D538,$C$6:$AJ$991,20,)/VLOOKUP($D538,$C$6:$AJ$991,4,))*$F538</f>
        <v>0</v>
      </c>
      <c r="W538" s="17">
        <f t="shared" si="297"/>
        <v>11746353.086513789</v>
      </c>
      <c r="X538" s="96" t="str">
        <f t="shared" si="298"/>
        <v>ok</v>
      </c>
    </row>
    <row r="539" spans="1:24" x14ac:dyDescent="0.2">
      <c r="A539" s="16" t="s">
        <v>616</v>
      </c>
      <c r="C539" s="90" t="s">
        <v>176</v>
      </c>
      <c r="D539" s="90" t="s">
        <v>341</v>
      </c>
      <c r="F539" s="17">
        <v>0</v>
      </c>
      <c r="G539" s="17">
        <f t="shared" si="287"/>
        <v>0</v>
      </c>
      <c r="H539" s="17">
        <f t="shared" si="288"/>
        <v>0</v>
      </c>
      <c r="I539" s="17">
        <f t="shared" si="289"/>
        <v>0</v>
      </c>
      <c r="J539" s="17">
        <f t="shared" si="290"/>
        <v>0</v>
      </c>
      <c r="K539" s="17">
        <f t="shared" si="291"/>
        <v>0</v>
      </c>
      <c r="L539" s="17">
        <f t="shared" si="292"/>
        <v>0</v>
      </c>
      <c r="M539" s="17">
        <f t="shared" si="293"/>
        <v>0</v>
      </c>
      <c r="N539" s="17">
        <f t="shared" si="294"/>
        <v>0</v>
      </c>
      <c r="O539" s="17">
        <f t="shared" si="295"/>
        <v>0</v>
      </c>
      <c r="P539" s="17">
        <f t="shared" si="296"/>
        <v>0</v>
      </c>
      <c r="Q539" s="17">
        <f>(VLOOKUP($D539,$C$6:$AJ$991,15,)/VLOOKUP($D539,$C$6:$AJ$991,4,))*$F539</f>
        <v>0</v>
      </c>
      <c r="R539" s="17">
        <f>(VLOOKUP($D539,$C$6:$AJ$991,16,)/VLOOKUP($D539,$C$6:$AJ$991,4,))*$F539</f>
        <v>0</v>
      </c>
      <c r="S539" s="17">
        <f>(VLOOKUP($D539,$C$6:$AJ$991,17,)/VLOOKUP($D539,$C$6:$AJ$991,4,))*$F539</f>
        <v>0</v>
      </c>
      <c r="T539" s="17">
        <f>(VLOOKUP($D539,$C$6:$AJ$991,18,)/VLOOKUP($D539,$C$6:$AJ$991,4,))*$F539</f>
        <v>0</v>
      </c>
      <c r="U539" s="17">
        <f>(VLOOKUP($D539,$C$6:$AJ$991,19,)/VLOOKUP($D539,$C$6:$AJ$991,4,))*$F539</f>
        <v>0</v>
      </c>
      <c r="V539" s="17">
        <f>(VLOOKUP($D539,$C$6:$AJ$991,20,)/VLOOKUP($D539,$C$6:$AJ$991,4,))*$F539</f>
        <v>0</v>
      </c>
      <c r="W539" s="17">
        <f t="shared" si="297"/>
        <v>0</v>
      </c>
      <c r="X539" s="96" t="str">
        <f t="shared" si="298"/>
        <v>ok</v>
      </c>
    </row>
    <row r="540" spans="1:24" x14ac:dyDescent="0.2">
      <c r="A540" s="16" t="s">
        <v>617</v>
      </c>
      <c r="C540" s="90" t="s">
        <v>619</v>
      </c>
      <c r="D540" s="90" t="s">
        <v>341</v>
      </c>
      <c r="F540" s="17">
        <v>0</v>
      </c>
      <c r="G540" s="17">
        <f t="shared" si="287"/>
        <v>0</v>
      </c>
      <c r="H540" s="17">
        <f t="shared" si="288"/>
        <v>0</v>
      </c>
      <c r="I540" s="17">
        <f t="shared" si="289"/>
        <v>0</v>
      </c>
      <c r="J540" s="17">
        <f t="shared" si="290"/>
        <v>0</v>
      </c>
      <c r="K540" s="17">
        <f t="shared" si="291"/>
        <v>0</v>
      </c>
      <c r="L540" s="17">
        <f t="shared" si="292"/>
        <v>0</v>
      </c>
      <c r="M540" s="17">
        <f t="shared" si="293"/>
        <v>0</v>
      </c>
      <c r="N540" s="17">
        <f t="shared" si="294"/>
        <v>0</v>
      </c>
      <c r="O540" s="17">
        <f t="shared" si="295"/>
        <v>0</v>
      </c>
      <c r="P540" s="17">
        <f t="shared" si="296"/>
        <v>0</v>
      </c>
      <c r="Q540" s="17">
        <f>(VLOOKUP($D540,$C$6:$AJ$991,15,)/VLOOKUP($D540,$C$6:$AJ$991,4,))*$F540</f>
        <v>0</v>
      </c>
      <c r="R540" s="17">
        <f>(VLOOKUP($D540,$C$6:$AJ$991,16,)/VLOOKUP($D540,$C$6:$AJ$991,4,))*$F540</f>
        <v>0</v>
      </c>
      <c r="S540" s="17">
        <f>(VLOOKUP($D540,$C$6:$AJ$991,17,)/VLOOKUP($D540,$C$6:$AJ$991,4,))*$F540</f>
        <v>0</v>
      </c>
      <c r="T540" s="17">
        <f>(VLOOKUP($D540,$C$6:$AJ$991,18,)/VLOOKUP($D540,$C$6:$AJ$991,4,))*$F540</f>
        <v>0</v>
      </c>
      <c r="U540" s="17">
        <f>(VLOOKUP($D540,$C$6:$AJ$991,19,)/VLOOKUP($D540,$C$6:$AJ$991,4,))*$F540</f>
        <v>0</v>
      </c>
      <c r="V540" s="17">
        <f>(VLOOKUP($D540,$C$6:$AJ$991,20,)/VLOOKUP($D540,$C$6:$AJ$991,4,))*$F540</f>
        <v>0</v>
      </c>
      <c r="W540" s="17">
        <f t="shared" si="297"/>
        <v>0</v>
      </c>
      <c r="X540" s="96" t="str">
        <f t="shared" si="298"/>
        <v>ok</v>
      </c>
    </row>
    <row r="541" spans="1:24" x14ac:dyDescent="0.2">
      <c r="A541" s="16" t="s">
        <v>618</v>
      </c>
      <c r="C541" s="90" t="s">
        <v>620</v>
      </c>
      <c r="D541" s="90" t="s">
        <v>72</v>
      </c>
      <c r="F541" s="17">
        <v>0</v>
      </c>
      <c r="G541" s="17">
        <f t="shared" si="287"/>
        <v>0</v>
      </c>
      <c r="H541" s="17">
        <f t="shared" si="288"/>
        <v>0</v>
      </c>
      <c r="I541" s="17">
        <f t="shared" si="289"/>
        <v>0</v>
      </c>
      <c r="J541" s="17">
        <f t="shared" si="290"/>
        <v>0</v>
      </c>
      <c r="K541" s="17">
        <f t="shared" si="291"/>
        <v>0</v>
      </c>
      <c r="L541" s="17">
        <f t="shared" si="292"/>
        <v>0</v>
      </c>
      <c r="M541" s="17">
        <f t="shared" si="293"/>
        <v>0</v>
      </c>
      <c r="N541" s="17">
        <f t="shared" si="294"/>
        <v>0</v>
      </c>
      <c r="O541" s="17">
        <f t="shared" si="295"/>
        <v>0</v>
      </c>
      <c r="P541" s="17">
        <f t="shared" si="296"/>
        <v>0</v>
      </c>
      <c r="Q541" s="17">
        <f>(VLOOKUP($D541,$C$6:$AJ$991,15,)/VLOOKUP($D541,$C$6:$AJ$991,4,))*$F541</f>
        <v>0</v>
      </c>
      <c r="R541" s="17">
        <f>(VLOOKUP($D541,$C$6:$AJ$991,16,)/VLOOKUP($D541,$C$6:$AJ$991,4,))*$F541</f>
        <v>0</v>
      </c>
      <c r="S541" s="17">
        <f>(VLOOKUP($D541,$C$6:$AJ$991,17,)/VLOOKUP($D541,$C$6:$AJ$991,4,))*$F541</f>
        <v>0</v>
      </c>
      <c r="T541" s="17">
        <f>(VLOOKUP($D541,$C$6:$AJ$991,18,)/VLOOKUP($D541,$C$6:$AJ$991,4,))*$F541</f>
        <v>0</v>
      </c>
      <c r="U541" s="17">
        <f>(VLOOKUP($D541,$C$6:$AJ$991,19,)/VLOOKUP($D541,$C$6:$AJ$991,4,))*$F541</f>
        <v>0</v>
      </c>
      <c r="V541" s="17">
        <f>(VLOOKUP($D541,$C$6:$AJ$991,20,)/VLOOKUP($D541,$C$6:$AJ$991,4,))*$F541</f>
        <v>0</v>
      </c>
      <c r="W541" s="17">
        <f t="shared" si="297"/>
        <v>0</v>
      </c>
      <c r="X541" s="96" t="str">
        <f t="shared" si="298"/>
        <v>ok</v>
      </c>
    </row>
    <row r="542" spans="1:24" x14ac:dyDescent="0.2">
      <c r="A542" s="16" t="s">
        <v>144</v>
      </c>
      <c r="C542" s="90" t="s">
        <v>621</v>
      </c>
      <c r="D542" s="90" t="s">
        <v>72</v>
      </c>
      <c r="F542" s="17">
        <v>0</v>
      </c>
      <c r="G542" s="17">
        <f t="shared" si="287"/>
        <v>0</v>
      </c>
      <c r="H542" s="17">
        <f t="shared" si="288"/>
        <v>0</v>
      </c>
      <c r="I542" s="17">
        <f t="shared" si="289"/>
        <v>0</v>
      </c>
      <c r="J542" s="17">
        <f t="shared" si="290"/>
        <v>0</v>
      </c>
      <c r="K542" s="17">
        <f t="shared" si="291"/>
        <v>0</v>
      </c>
      <c r="L542" s="17">
        <f t="shared" si="292"/>
        <v>0</v>
      </c>
      <c r="M542" s="17">
        <f t="shared" si="293"/>
        <v>0</v>
      </c>
      <c r="N542" s="17">
        <f t="shared" si="294"/>
        <v>0</v>
      </c>
      <c r="O542" s="17">
        <f t="shared" si="295"/>
        <v>0</v>
      </c>
      <c r="P542" s="17">
        <f t="shared" si="296"/>
        <v>0</v>
      </c>
      <c r="Q542" s="17">
        <f>(VLOOKUP($D542,$C$6:$AJ$991,15,)/VLOOKUP($D542,$C$6:$AJ$991,4,))*$F542</f>
        <v>0</v>
      </c>
      <c r="R542" s="17">
        <f>(VLOOKUP($D542,$C$6:$AJ$991,16,)/VLOOKUP($D542,$C$6:$AJ$991,4,))*$F542</f>
        <v>0</v>
      </c>
      <c r="S542" s="17">
        <f>(VLOOKUP($D542,$C$6:$AJ$991,17,)/VLOOKUP($D542,$C$6:$AJ$991,4,))*$F542</f>
        <v>0</v>
      </c>
      <c r="T542" s="17">
        <f>(VLOOKUP($D542,$C$6:$AJ$991,18,)/VLOOKUP($D542,$C$6:$AJ$991,4,))*$F542</f>
        <v>0</v>
      </c>
      <c r="U542" s="17">
        <f>(VLOOKUP($D542,$C$6:$AJ$991,19,)/VLOOKUP($D542,$C$6:$AJ$991,4,))*$F542</f>
        <v>0</v>
      </c>
      <c r="V542" s="17">
        <f>(VLOOKUP($D542,$C$6:$AJ$991,20,)/VLOOKUP($D542,$C$6:$AJ$991,4,))*$F542</f>
        <v>0</v>
      </c>
      <c r="W542" s="17">
        <f t="shared" si="297"/>
        <v>0</v>
      </c>
      <c r="X542" s="96" t="str">
        <f t="shared" si="298"/>
        <v>ok</v>
      </c>
    </row>
    <row r="543" spans="1:24" x14ac:dyDescent="0.2">
      <c r="A543" s="90"/>
    </row>
    <row r="544" spans="1:24" x14ac:dyDescent="0.2">
      <c r="A544" s="18" t="s">
        <v>179</v>
      </c>
      <c r="B544" s="93"/>
      <c r="C544" s="90" t="s">
        <v>177</v>
      </c>
      <c r="F544" s="21">
        <f>SUM(F537:F543)</f>
        <v>11746353.086513791</v>
      </c>
      <c r="G544" s="21">
        <f>SUM(G537:G543)</f>
        <v>0</v>
      </c>
      <c r="H544" s="21">
        <f t="shared" ref="H544:V544" si="299">SUM(H537:H543)</f>
        <v>0</v>
      </c>
      <c r="I544" s="21">
        <f t="shared" si="299"/>
        <v>1836482.8551281544</v>
      </c>
      <c r="J544" s="21">
        <f t="shared" si="299"/>
        <v>0</v>
      </c>
      <c r="K544" s="21">
        <f t="shared" si="299"/>
        <v>221681.17166734367</v>
      </c>
      <c r="L544" s="21">
        <f t="shared" si="299"/>
        <v>539869.03124906647</v>
      </c>
      <c r="M544" s="21">
        <f t="shared" si="299"/>
        <v>0</v>
      </c>
      <c r="N544" s="21">
        <f t="shared" si="299"/>
        <v>465921.57045312616</v>
      </c>
      <c r="O544" s="21">
        <f t="shared" si="299"/>
        <v>1260522.8864603527</v>
      </c>
      <c r="P544" s="21">
        <f t="shared" si="299"/>
        <v>2483557.3334778328</v>
      </c>
      <c r="Q544" s="21">
        <f>SUM(Q537:Q543)</f>
        <v>215444.61164904022</v>
      </c>
      <c r="R544" s="21">
        <f>SUM(R537:R543)</f>
        <v>182844.16762523813</v>
      </c>
      <c r="S544" s="21">
        <f t="shared" si="299"/>
        <v>3656778.1163680828</v>
      </c>
      <c r="T544" s="21">
        <f t="shared" si="299"/>
        <v>883251.34243555379</v>
      </c>
      <c r="U544" s="21">
        <f t="shared" si="299"/>
        <v>0</v>
      </c>
      <c r="V544" s="21">
        <f t="shared" si="299"/>
        <v>0</v>
      </c>
      <c r="W544" s="17">
        <f>SUM(G544:V544)</f>
        <v>11746353.086513789</v>
      </c>
      <c r="X544" s="96" t="str">
        <f>IF(ABS(W544-F544)&lt;1,"ok","err")</f>
        <v>ok</v>
      </c>
    </row>
    <row r="545" spans="1:24" x14ac:dyDescent="0.2">
      <c r="A545" s="181" t="s">
        <v>180</v>
      </c>
    </row>
    <row r="546" spans="1:24" x14ac:dyDescent="0.2">
      <c r="F546" s="22"/>
    </row>
    <row r="547" spans="1:24" x14ac:dyDescent="0.2">
      <c r="A547" s="6" t="s">
        <v>364</v>
      </c>
      <c r="C547" s="90" t="s">
        <v>307</v>
      </c>
      <c r="D547" s="90" t="s">
        <v>72</v>
      </c>
      <c r="F547" s="21">
        <v>17528491.233574871</v>
      </c>
      <c r="G547" s="17">
        <f>(VLOOKUP($D547,$C$6:$AJ$991,5,)/VLOOKUP($D547,$C$6:$AJ$991,4,))*$F547</f>
        <v>0</v>
      </c>
      <c r="H547" s="17">
        <f>(VLOOKUP($D547,$C$6:$AJ$991,6,)/VLOOKUP($D547,$C$6:$AJ$991,4,))*$F547</f>
        <v>0</v>
      </c>
      <c r="I547" s="17">
        <f>(VLOOKUP($D547,$C$6:$AJ$991,7,)/VLOOKUP($D547,$C$6:$AJ$991,4,))*$F547</f>
        <v>2740490.8902051682</v>
      </c>
      <c r="J547" s="17">
        <f>(VLOOKUP($D547,$C$6:$AJ$991,8,)/VLOOKUP($D547,$C$6:$AJ$991,4,))*$F547</f>
        <v>0</v>
      </c>
      <c r="K547" s="17">
        <f>(VLOOKUP($D547,$C$6:$AJ$991,9,)/VLOOKUP($D547,$C$6:$AJ$991,4,))*$F547</f>
        <v>330803.64991589828</v>
      </c>
      <c r="L547" s="17">
        <f>(VLOOKUP($D547,$C$6:$AJ$991,10,)/VLOOKUP($D547,$C$6:$AJ$991,4,))*$F547</f>
        <v>805619.37069579237</v>
      </c>
      <c r="M547" s="17">
        <f>(VLOOKUP($D547,$C$6:$AJ$991,11,)/VLOOKUP($D547,$C$6:$AJ$991,4,))*$F547</f>
        <v>0</v>
      </c>
      <c r="N547" s="17">
        <f>(VLOOKUP($D547,$C$6:$AJ$991,12,)/VLOOKUP($D547,$C$6:$AJ$991,4,))*$F547</f>
        <v>695271.29851031234</v>
      </c>
      <c r="O547" s="17">
        <f>(VLOOKUP($D547,$C$6:$AJ$991,13,)/VLOOKUP($D547,$C$6:$AJ$991,4,))*$F547</f>
        <v>1881014.8309272726</v>
      </c>
      <c r="P547" s="17">
        <f>(VLOOKUP($D547,$C$6:$AJ$991,14,)/VLOOKUP($D547,$C$6:$AJ$991,4,))*$F547</f>
        <v>3706087.5513718249</v>
      </c>
      <c r="Q547" s="17">
        <f>(VLOOKUP($D547,$C$6:$AJ$991,15,)/VLOOKUP($D547,$C$6:$AJ$991,4,))*$F547</f>
        <v>321497.14543715888</v>
      </c>
      <c r="R547" s="17">
        <f>(VLOOKUP($D547,$C$6:$AJ$991,16,)/VLOOKUP($D547,$C$6:$AJ$991,4,))*$F547</f>
        <v>272849.14438754454</v>
      </c>
      <c r="S547" s="17">
        <f>(VLOOKUP($D547,$C$6:$AJ$991,17,)/VLOOKUP($D547,$C$6:$AJ$991,4,))*$F547</f>
        <v>5456825.8491631979</v>
      </c>
      <c r="T547" s="17">
        <f>(VLOOKUP($D547,$C$6:$AJ$991,18,)/VLOOKUP($D547,$C$6:$AJ$991,4,))*$F547</f>
        <v>1318031.502960701</v>
      </c>
      <c r="U547" s="17">
        <f>(VLOOKUP($D547,$C$6:$AJ$991,19,)/VLOOKUP($D547,$C$6:$AJ$991,4,))*$F547</f>
        <v>0</v>
      </c>
      <c r="V547" s="17">
        <f>(VLOOKUP($D547,$C$6:$AJ$991,20,)/VLOOKUP($D547,$C$6:$AJ$991,4,))*$F547</f>
        <v>0</v>
      </c>
      <c r="W547" s="17">
        <f>SUM(G547:V547)</f>
        <v>17528491.233574871</v>
      </c>
      <c r="X547" s="96" t="str">
        <f>IF(ABS(W547-F547)&lt;1,"ok","err")</f>
        <v>ok</v>
      </c>
    </row>
    <row r="576" spans="1:24" x14ac:dyDescent="0.2">
      <c r="A576" s="180"/>
      <c r="F576" s="21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96"/>
    </row>
    <row r="578" spans="1:24" x14ac:dyDescent="0.2">
      <c r="A578" s="92" t="s">
        <v>191</v>
      </c>
    </row>
    <row r="580" spans="1:24" x14ac:dyDescent="0.2">
      <c r="A580" s="16" t="s">
        <v>192</v>
      </c>
      <c r="C580" s="90" t="s">
        <v>23</v>
      </c>
      <c r="F580" s="104">
        <v>1</v>
      </c>
      <c r="G580" s="105">
        <v>1</v>
      </c>
      <c r="H580" s="105">
        <v>0</v>
      </c>
      <c r="I580" s="105">
        <v>0</v>
      </c>
      <c r="J580" s="105">
        <v>0</v>
      </c>
      <c r="K580" s="105">
        <v>0</v>
      </c>
      <c r="L580" s="105">
        <v>0</v>
      </c>
      <c r="M580" s="105">
        <v>0</v>
      </c>
      <c r="N580" s="105">
        <v>0</v>
      </c>
      <c r="O580" s="105">
        <v>0</v>
      </c>
      <c r="P580" s="105">
        <v>0</v>
      </c>
      <c r="Q580" s="105">
        <v>0</v>
      </c>
      <c r="R580" s="105">
        <v>0</v>
      </c>
      <c r="S580" s="105">
        <v>0</v>
      </c>
      <c r="T580" s="105">
        <v>0</v>
      </c>
      <c r="U580" s="105">
        <v>0</v>
      </c>
      <c r="V580" s="105">
        <v>0</v>
      </c>
      <c r="W580" s="106">
        <f>SUM(G559:V559)</f>
        <v>0</v>
      </c>
      <c r="X580" s="96" t="str">
        <f>IF(ABS(W559-F559)&lt;0.000001,"ok","err")</f>
        <v>ok</v>
      </c>
    </row>
    <row r="581" spans="1:24" x14ac:dyDescent="0.2">
      <c r="A581" s="16" t="s">
        <v>193</v>
      </c>
      <c r="C581" s="90" t="s">
        <v>100</v>
      </c>
      <c r="F581" s="104">
        <v>1</v>
      </c>
      <c r="G581" s="105">
        <v>0</v>
      </c>
      <c r="H581" s="105">
        <v>1</v>
      </c>
      <c r="I581" s="105">
        <v>0</v>
      </c>
      <c r="J581" s="105">
        <v>0</v>
      </c>
      <c r="K581" s="105">
        <v>0</v>
      </c>
      <c r="L581" s="105">
        <v>0</v>
      </c>
      <c r="M581" s="105">
        <v>0</v>
      </c>
      <c r="N581" s="105">
        <v>0</v>
      </c>
      <c r="O581" s="105">
        <v>0</v>
      </c>
      <c r="P581" s="105">
        <v>0</v>
      </c>
      <c r="Q581" s="105">
        <v>0</v>
      </c>
      <c r="R581" s="105">
        <v>0</v>
      </c>
      <c r="S581" s="105">
        <v>0</v>
      </c>
      <c r="T581" s="105">
        <v>0</v>
      </c>
      <c r="U581" s="105">
        <v>0</v>
      </c>
      <c r="V581" s="105">
        <v>0</v>
      </c>
      <c r="W581" s="106">
        <f t="shared" ref="W581:W591" si="300">SUM(G581:V581)</f>
        <v>1</v>
      </c>
      <c r="X581" s="96" t="str">
        <f t="shared" ref="X581:X591" si="301">IF(ABS(W581-F581)&lt;0.000001,"ok","err")</f>
        <v>ok</v>
      </c>
    </row>
    <row r="582" spans="1:24" x14ac:dyDescent="0.2">
      <c r="A582" s="16" t="s">
        <v>194</v>
      </c>
      <c r="C582" s="90" t="s">
        <v>25</v>
      </c>
      <c r="F582" s="104">
        <v>1</v>
      </c>
      <c r="G582" s="105">
        <v>0</v>
      </c>
      <c r="H582" s="105">
        <v>0</v>
      </c>
      <c r="I582" s="105">
        <v>1</v>
      </c>
      <c r="J582" s="105">
        <v>0</v>
      </c>
      <c r="K582" s="105">
        <v>0</v>
      </c>
      <c r="L582" s="105">
        <v>0</v>
      </c>
      <c r="M582" s="105">
        <v>0</v>
      </c>
      <c r="N582" s="105">
        <v>0</v>
      </c>
      <c r="O582" s="105">
        <v>0</v>
      </c>
      <c r="P582" s="105">
        <v>0</v>
      </c>
      <c r="Q582" s="105">
        <v>0</v>
      </c>
      <c r="R582" s="105">
        <v>0</v>
      </c>
      <c r="S582" s="105">
        <v>0</v>
      </c>
      <c r="T582" s="105">
        <v>0</v>
      </c>
      <c r="U582" s="105">
        <v>0</v>
      </c>
      <c r="V582" s="105">
        <v>0</v>
      </c>
      <c r="W582" s="106">
        <f t="shared" si="300"/>
        <v>1</v>
      </c>
      <c r="X582" s="96" t="str">
        <f t="shared" si="301"/>
        <v>ok</v>
      </c>
    </row>
    <row r="583" spans="1:24" x14ac:dyDescent="0.2">
      <c r="A583" s="16" t="s">
        <v>195</v>
      </c>
      <c r="C583" s="90" t="s">
        <v>124</v>
      </c>
      <c r="F583" s="104">
        <v>1</v>
      </c>
      <c r="G583" s="105">
        <v>0</v>
      </c>
      <c r="H583" s="105">
        <v>0</v>
      </c>
      <c r="I583" s="105">
        <v>0</v>
      </c>
      <c r="J583" s="105">
        <v>1</v>
      </c>
      <c r="K583" s="105">
        <v>0</v>
      </c>
      <c r="L583" s="105">
        <v>0</v>
      </c>
      <c r="M583" s="105">
        <v>0</v>
      </c>
      <c r="N583" s="105">
        <v>0</v>
      </c>
      <c r="O583" s="105">
        <v>0</v>
      </c>
      <c r="P583" s="105">
        <v>0</v>
      </c>
      <c r="Q583" s="105">
        <v>0</v>
      </c>
      <c r="R583" s="105">
        <v>0</v>
      </c>
      <c r="S583" s="105">
        <v>0</v>
      </c>
      <c r="T583" s="105">
        <v>0</v>
      </c>
      <c r="U583" s="105">
        <v>0</v>
      </c>
      <c r="V583" s="105">
        <v>0</v>
      </c>
      <c r="W583" s="106">
        <f t="shared" si="300"/>
        <v>1</v>
      </c>
      <c r="X583" s="96" t="str">
        <f t="shared" si="301"/>
        <v>ok</v>
      </c>
    </row>
    <row r="584" spans="1:24" x14ac:dyDescent="0.2">
      <c r="A584" s="16" t="s">
        <v>196</v>
      </c>
      <c r="C584" s="90" t="s">
        <v>28</v>
      </c>
      <c r="F584" s="104">
        <v>1</v>
      </c>
      <c r="G584" s="105">
        <v>0</v>
      </c>
      <c r="H584" s="105">
        <v>0</v>
      </c>
      <c r="I584" s="105">
        <v>0</v>
      </c>
      <c r="J584" s="105">
        <v>0</v>
      </c>
      <c r="K584" s="105">
        <v>0.29109200000000002</v>
      </c>
      <c r="L584" s="105">
        <v>0.70890799999999998</v>
      </c>
      <c r="M584" s="105">
        <v>0</v>
      </c>
      <c r="N584" s="105">
        <v>0</v>
      </c>
      <c r="O584" s="105">
        <v>0</v>
      </c>
      <c r="P584" s="105">
        <v>0</v>
      </c>
      <c r="Q584" s="105">
        <v>0</v>
      </c>
      <c r="R584" s="105">
        <v>0</v>
      </c>
      <c r="S584" s="105">
        <v>0</v>
      </c>
      <c r="T584" s="105">
        <v>0</v>
      </c>
      <c r="U584" s="105">
        <v>0</v>
      </c>
      <c r="V584" s="105">
        <v>0</v>
      </c>
      <c r="W584" s="106">
        <f t="shared" si="300"/>
        <v>1</v>
      </c>
      <c r="X584" s="96" t="str">
        <f t="shared" si="301"/>
        <v>ok</v>
      </c>
    </row>
    <row r="585" spans="1:24" x14ac:dyDescent="0.2">
      <c r="A585" s="16" t="s">
        <v>197</v>
      </c>
      <c r="C585" s="90" t="s">
        <v>35</v>
      </c>
      <c r="F585" s="104">
        <v>1</v>
      </c>
      <c r="G585" s="105">
        <v>0</v>
      </c>
      <c r="H585" s="105">
        <v>0</v>
      </c>
      <c r="I585" s="105">
        <v>0</v>
      </c>
      <c r="J585" s="105">
        <v>0</v>
      </c>
      <c r="K585" s="105">
        <v>0</v>
      </c>
      <c r="L585" s="105">
        <v>0</v>
      </c>
      <c r="M585" s="105">
        <v>1</v>
      </c>
      <c r="N585" s="105">
        <v>0</v>
      </c>
      <c r="O585" s="105">
        <v>0</v>
      </c>
      <c r="P585" s="105">
        <v>0</v>
      </c>
      <c r="Q585" s="105">
        <v>0</v>
      </c>
      <c r="R585" s="105">
        <v>0</v>
      </c>
      <c r="S585" s="105">
        <v>0</v>
      </c>
      <c r="T585" s="105">
        <v>0</v>
      </c>
      <c r="U585" s="105">
        <v>0</v>
      </c>
      <c r="V585" s="105">
        <v>0</v>
      </c>
      <c r="W585" s="106">
        <f t="shared" si="300"/>
        <v>1</v>
      </c>
      <c r="X585" s="96" t="str">
        <f t="shared" si="301"/>
        <v>ok</v>
      </c>
    </row>
    <row r="586" spans="1:24" x14ac:dyDescent="0.2">
      <c r="A586" s="16" t="s">
        <v>7</v>
      </c>
      <c r="C586" s="90" t="s">
        <v>38</v>
      </c>
      <c r="F586" s="104">
        <v>1</v>
      </c>
      <c r="G586" s="105">
        <v>0</v>
      </c>
      <c r="H586" s="105">
        <v>0</v>
      </c>
      <c r="I586" s="105">
        <v>0</v>
      </c>
      <c r="J586" s="105">
        <v>0</v>
      </c>
      <c r="K586" s="105">
        <v>0</v>
      </c>
      <c r="L586" s="105">
        <v>0</v>
      </c>
      <c r="M586" s="105">
        <v>0</v>
      </c>
      <c r="N586" s="105">
        <v>1</v>
      </c>
      <c r="O586" s="105">
        <v>0</v>
      </c>
      <c r="P586" s="105">
        <v>0</v>
      </c>
      <c r="Q586" s="105">
        <v>0</v>
      </c>
      <c r="R586" s="105">
        <v>0</v>
      </c>
      <c r="S586" s="105">
        <v>0</v>
      </c>
      <c r="T586" s="105">
        <v>0</v>
      </c>
      <c r="U586" s="105">
        <v>0</v>
      </c>
      <c r="V586" s="105">
        <v>0</v>
      </c>
      <c r="W586" s="106">
        <f t="shared" si="300"/>
        <v>1</v>
      </c>
      <c r="X586" s="96" t="str">
        <f t="shared" si="301"/>
        <v>ok</v>
      </c>
    </row>
    <row r="587" spans="1:24" x14ac:dyDescent="0.2">
      <c r="A587" s="16" t="s">
        <v>8</v>
      </c>
      <c r="C587" s="90" t="s">
        <v>40</v>
      </c>
      <c r="F587" s="104">
        <v>1</v>
      </c>
      <c r="G587" s="105">
        <v>0</v>
      </c>
      <c r="H587" s="105">
        <v>0</v>
      </c>
      <c r="I587" s="105">
        <v>0</v>
      </c>
      <c r="J587" s="105">
        <v>0</v>
      </c>
      <c r="K587" s="105">
        <v>0</v>
      </c>
      <c r="L587" s="105">
        <v>0</v>
      </c>
      <c r="M587" s="105">
        <v>0</v>
      </c>
      <c r="N587" s="105">
        <v>0</v>
      </c>
      <c r="O587" s="105">
        <v>0.30430000000000001</v>
      </c>
      <c r="P587" s="105">
        <v>0.59955000000000003</v>
      </c>
      <c r="Q587" s="105">
        <v>5.2010000000000001E-2</v>
      </c>
      <c r="R587" s="105">
        <v>4.4139999999999999E-2</v>
      </c>
      <c r="S587" s="105">
        <v>0</v>
      </c>
      <c r="T587" s="105">
        <v>0</v>
      </c>
      <c r="U587" s="105">
        <v>0</v>
      </c>
      <c r="V587" s="105">
        <v>0</v>
      </c>
      <c r="W587" s="106">
        <f t="shared" si="300"/>
        <v>1</v>
      </c>
      <c r="X587" s="96" t="str">
        <f t="shared" si="301"/>
        <v>ok</v>
      </c>
    </row>
    <row r="588" spans="1:24" x14ac:dyDescent="0.2">
      <c r="A588" s="16" t="s">
        <v>10</v>
      </c>
      <c r="C588" s="90" t="s">
        <v>42</v>
      </c>
      <c r="F588" s="104">
        <v>1</v>
      </c>
      <c r="G588" s="105">
        <v>0</v>
      </c>
      <c r="H588" s="105">
        <v>0</v>
      </c>
      <c r="I588" s="105">
        <v>0</v>
      </c>
      <c r="J588" s="105">
        <v>0</v>
      </c>
      <c r="K588" s="105">
        <v>0</v>
      </c>
      <c r="L588" s="105">
        <v>0</v>
      </c>
      <c r="M588" s="105">
        <v>0</v>
      </c>
      <c r="N588" s="105">
        <v>0</v>
      </c>
      <c r="O588" s="105">
        <v>0</v>
      </c>
      <c r="P588" s="105">
        <v>0</v>
      </c>
      <c r="Q588" s="105">
        <v>0</v>
      </c>
      <c r="R588" s="105">
        <v>0</v>
      </c>
      <c r="S588" s="105">
        <v>1</v>
      </c>
      <c r="T588" s="105">
        <v>0</v>
      </c>
      <c r="U588" s="105">
        <v>0</v>
      </c>
      <c r="V588" s="105">
        <v>0</v>
      </c>
      <c r="W588" s="106">
        <f t="shared" si="300"/>
        <v>1</v>
      </c>
      <c r="X588" s="96" t="str">
        <f t="shared" si="301"/>
        <v>ok</v>
      </c>
    </row>
    <row r="589" spans="1:24" x14ac:dyDescent="0.2">
      <c r="A589" s="16" t="s">
        <v>11</v>
      </c>
      <c r="C589" s="90" t="s">
        <v>45</v>
      </c>
      <c r="F589" s="104">
        <v>1</v>
      </c>
      <c r="G589" s="105">
        <v>0</v>
      </c>
      <c r="H589" s="105">
        <v>0</v>
      </c>
      <c r="I589" s="105">
        <v>0</v>
      </c>
      <c r="J589" s="105">
        <v>0</v>
      </c>
      <c r="K589" s="105">
        <v>0</v>
      </c>
      <c r="L589" s="105">
        <v>0</v>
      </c>
      <c r="M589" s="105">
        <v>0</v>
      </c>
      <c r="N589" s="105">
        <v>0</v>
      </c>
      <c r="O589" s="105">
        <v>0</v>
      </c>
      <c r="P589" s="105">
        <v>0</v>
      </c>
      <c r="Q589" s="105">
        <v>0</v>
      </c>
      <c r="R589" s="105">
        <v>0</v>
      </c>
      <c r="S589" s="105">
        <v>0</v>
      </c>
      <c r="T589" s="105">
        <v>1</v>
      </c>
      <c r="U589" s="105">
        <v>0</v>
      </c>
      <c r="V589" s="105">
        <v>0</v>
      </c>
      <c r="W589" s="106">
        <f t="shared" si="300"/>
        <v>1</v>
      </c>
      <c r="X589" s="96" t="str">
        <f t="shared" si="301"/>
        <v>ok</v>
      </c>
    </row>
    <row r="590" spans="1:24" x14ac:dyDescent="0.2">
      <c r="A590" s="16" t="s">
        <v>12</v>
      </c>
      <c r="C590" s="90" t="s">
        <v>48</v>
      </c>
      <c r="F590" s="104">
        <v>1</v>
      </c>
      <c r="G590" s="105">
        <v>0</v>
      </c>
      <c r="H590" s="105">
        <v>0</v>
      </c>
      <c r="I590" s="105">
        <v>0</v>
      </c>
      <c r="J590" s="105">
        <v>0</v>
      </c>
      <c r="K590" s="105">
        <v>0</v>
      </c>
      <c r="L590" s="105">
        <v>0</v>
      </c>
      <c r="M590" s="105">
        <v>0</v>
      </c>
      <c r="N590" s="105">
        <v>0</v>
      </c>
      <c r="O590" s="105">
        <v>0</v>
      </c>
      <c r="P590" s="105">
        <v>0</v>
      </c>
      <c r="Q590" s="105">
        <v>0</v>
      </c>
      <c r="R590" s="105">
        <v>0</v>
      </c>
      <c r="S590" s="105">
        <v>0</v>
      </c>
      <c r="T590" s="105">
        <v>0</v>
      </c>
      <c r="U590" s="105">
        <v>1</v>
      </c>
      <c r="V590" s="105">
        <v>0</v>
      </c>
      <c r="W590" s="106">
        <f t="shared" si="300"/>
        <v>1</v>
      </c>
      <c r="X590" s="96" t="str">
        <f t="shared" si="301"/>
        <v>ok</v>
      </c>
    </row>
    <row r="591" spans="1:24" x14ac:dyDescent="0.2">
      <c r="A591" s="16" t="s">
        <v>642</v>
      </c>
      <c r="C591" s="90" t="s">
        <v>51</v>
      </c>
      <c r="F591" s="104">
        <v>1</v>
      </c>
      <c r="G591" s="105">
        <v>0</v>
      </c>
      <c r="H591" s="105">
        <v>0</v>
      </c>
      <c r="I591" s="105">
        <v>0</v>
      </c>
      <c r="J591" s="105">
        <v>0</v>
      </c>
      <c r="K591" s="105">
        <v>0</v>
      </c>
      <c r="L591" s="105">
        <v>0</v>
      </c>
      <c r="M591" s="105">
        <v>0</v>
      </c>
      <c r="N591" s="105">
        <v>0</v>
      </c>
      <c r="O591" s="105">
        <v>0</v>
      </c>
      <c r="P591" s="105">
        <v>0</v>
      </c>
      <c r="Q591" s="105">
        <v>0</v>
      </c>
      <c r="R591" s="105">
        <v>0</v>
      </c>
      <c r="S591" s="105">
        <v>0</v>
      </c>
      <c r="T591" s="105">
        <v>0</v>
      </c>
      <c r="U591" s="105">
        <v>0</v>
      </c>
      <c r="V591" s="105">
        <v>1</v>
      </c>
      <c r="W591" s="106">
        <f t="shared" si="300"/>
        <v>1</v>
      </c>
      <c r="X591" s="96" t="str">
        <f t="shared" si="301"/>
        <v>ok</v>
      </c>
    </row>
    <row r="593" spans="1:25" x14ac:dyDescent="0.2">
      <c r="A593" s="16" t="s">
        <v>298</v>
      </c>
      <c r="C593" s="90" t="s">
        <v>299</v>
      </c>
      <c r="F593" s="22">
        <f t="shared" ref="F593:V593" si="302">F13+F18</f>
        <v>492540971.57794392</v>
      </c>
      <c r="G593" s="22">
        <f t="shared" si="302"/>
        <v>0</v>
      </c>
      <c r="H593" s="22">
        <f t="shared" si="302"/>
        <v>0</v>
      </c>
      <c r="I593" s="22">
        <f t="shared" si="302"/>
        <v>0</v>
      </c>
      <c r="J593" s="22">
        <f t="shared" si="302"/>
        <v>0</v>
      </c>
      <c r="K593" s="22">
        <f t="shared" si="302"/>
        <v>16194566.411322031</v>
      </c>
      <c r="L593" s="22">
        <f t="shared" si="302"/>
        <v>39439275.849276096</v>
      </c>
      <c r="M593" s="22">
        <f t="shared" si="302"/>
        <v>0</v>
      </c>
      <c r="N593" s="22">
        <f t="shared" si="302"/>
        <v>0</v>
      </c>
      <c r="O593" s="22">
        <f t="shared" si="302"/>
        <v>132950839.45126833</v>
      </c>
      <c r="P593" s="22">
        <f t="shared" si="302"/>
        <v>261947669.3822147</v>
      </c>
      <c r="Q593" s="22">
        <f t="shared" si="302"/>
        <v>22723539.795795154</v>
      </c>
      <c r="R593" s="22">
        <f t="shared" si="302"/>
        <v>19285080.688067641</v>
      </c>
      <c r="S593" s="22">
        <f t="shared" si="302"/>
        <v>0</v>
      </c>
      <c r="T593" s="22">
        <f t="shared" si="302"/>
        <v>0</v>
      </c>
      <c r="U593" s="22">
        <f t="shared" si="302"/>
        <v>0</v>
      </c>
      <c r="V593" s="22">
        <f t="shared" si="302"/>
        <v>0</v>
      </c>
      <c r="W593" s="17">
        <f>SUM(G593:V593)</f>
        <v>492540971.57794392</v>
      </c>
      <c r="X593" s="96" t="str">
        <f>IF(ABS(W593-F593)&lt;1,"ok","err")</f>
        <v>ok</v>
      </c>
      <c r="Y593" s="100">
        <f>+W593-F593</f>
        <v>0</v>
      </c>
    </row>
    <row r="620" spans="1:24" x14ac:dyDescent="0.2">
      <c r="A620" s="92" t="s">
        <v>387</v>
      </c>
    </row>
    <row r="622" spans="1:24" x14ac:dyDescent="0.2">
      <c r="A622" s="16" t="s">
        <v>199</v>
      </c>
      <c r="D622" s="90" t="s">
        <v>200</v>
      </c>
      <c r="F622" s="106">
        <v>1</v>
      </c>
      <c r="G622" s="106">
        <f t="shared" ref="G622:G634" si="303">(VLOOKUP($D622,$C$6:$AJ$991,5,)/VLOOKUP($D622,$C$6:$AJ$991,4,))*$F622</f>
        <v>0</v>
      </c>
      <c r="H622" s="106">
        <f t="shared" ref="H622:H634" si="304">(VLOOKUP($D622,$C$6:$AJ$991,6,)/VLOOKUP($D622,$C$6:$AJ$991,4,))*$F622</f>
        <v>0</v>
      </c>
      <c r="I622" s="106">
        <f t="shared" ref="I622:I634" si="305">(VLOOKUP($D622,$C$6:$AJ$991,7,)/VLOOKUP($D622,$C$6:$AJ$991,4,))*$F622</f>
        <v>0</v>
      </c>
      <c r="J622" s="106">
        <f t="shared" ref="J622:J634" si="306">(VLOOKUP($D622,$C$6:$AJ$991,8,)/VLOOKUP($D622,$C$6:$AJ$991,4,))*$F622</f>
        <v>0</v>
      </c>
      <c r="K622" s="106">
        <f t="shared" ref="K622:K634" si="307">(VLOOKUP($D622,$C$6:$AJ$991,9,)/VLOOKUP($D622,$C$6:$AJ$991,4,))*$F622</f>
        <v>0</v>
      </c>
      <c r="L622" s="106">
        <f t="shared" ref="L622:L634" si="308">(VLOOKUP($D622,$C$6:$AJ$991,10,)/VLOOKUP($D622,$C$6:$AJ$991,4,))*$F622</f>
        <v>0</v>
      </c>
      <c r="M622" s="106">
        <f t="shared" ref="M622:M634" si="309">(VLOOKUP($D622,$C$6:$AJ$991,11,)/VLOOKUP($D622,$C$6:$AJ$991,4,))*$F622</f>
        <v>0</v>
      </c>
      <c r="N622" s="106">
        <f t="shared" ref="N622:N634" si="310">(VLOOKUP($D622,$C$6:$AJ$991,12,)/VLOOKUP($D622,$C$6:$AJ$991,4,))*$F622</f>
        <v>5.1225589492503255E-2</v>
      </c>
      <c r="O622" s="106">
        <f t="shared" ref="O622:O634" si="311">(VLOOKUP($D622,$C$6:$AJ$991,13,)/VLOOKUP($D622,$C$6:$AJ$991,4,))*$F622</f>
        <v>0.13682009846870749</v>
      </c>
      <c r="P622" s="106">
        <f t="shared" ref="P622:P634" si="312">(VLOOKUP($D622,$C$6:$AJ$991,14,)/VLOOKUP($D622,$C$6:$AJ$991,4,))*$F622</f>
        <v>0.26957111415351159</v>
      </c>
      <c r="Q622" s="106">
        <f t="shared" ref="Q622:Q634" si="313">(VLOOKUP($D622,$C$6:$AJ$991,15,)/VLOOKUP($D622,$C$6:$AJ$991,4,))*$F622</f>
        <v>2.3384861391250331E-2</v>
      </c>
      <c r="R622" s="106">
        <f t="shared" ref="R622:R634" si="314">(VLOOKUP($D622,$C$6:$AJ$991,16,)/VLOOKUP($D622,$C$6:$AJ$991,4,))*$F622</f>
        <v>1.9846333047679091E-2</v>
      </c>
      <c r="S622" s="106">
        <f t="shared" ref="S622:S634" si="315">(VLOOKUP($D622,$C$6:$AJ$991,17,)/VLOOKUP($D622,$C$6:$AJ$991,4,))*$F622</f>
        <v>0.40204323331084324</v>
      </c>
      <c r="T622" s="106">
        <f t="shared" ref="T622:T634" si="316">(VLOOKUP($D622,$C$6:$AJ$991,18,)/VLOOKUP($D622,$C$6:$AJ$991,4,))*$F622</f>
        <v>9.7108770135504952E-2</v>
      </c>
      <c r="U622" s="106">
        <f t="shared" ref="U622:U634" si="317">(VLOOKUP($D622,$C$6:$AJ$991,19,)/VLOOKUP($D622,$C$6:$AJ$991,4,))*$F622</f>
        <v>0</v>
      </c>
      <c r="V622" s="106">
        <f t="shared" ref="V622:V634" si="318">(VLOOKUP($D622,$C$6:$AJ$991,20,)/VLOOKUP($D622,$C$6:$AJ$991,4,))*$F622</f>
        <v>0</v>
      </c>
      <c r="W622" s="106">
        <f>SUM(G622:V622)</f>
        <v>1</v>
      </c>
      <c r="X622" s="96" t="str">
        <f>IF(ABS(W622-F622)&lt;0.00001,"ok","err")</f>
        <v>ok</v>
      </c>
    </row>
    <row r="623" spans="1:24" x14ac:dyDescent="0.2">
      <c r="A623" s="16" t="s">
        <v>66</v>
      </c>
      <c r="D623" s="90" t="s">
        <v>56</v>
      </c>
      <c r="F623" s="106">
        <v>1</v>
      </c>
      <c r="G623" s="106">
        <f t="shared" si="303"/>
        <v>0</v>
      </c>
      <c r="H623" s="106">
        <f t="shared" si="304"/>
        <v>0</v>
      </c>
      <c r="I623" s="106">
        <f t="shared" si="305"/>
        <v>0.14798757066875765</v>
      </c>
      <c r="J623" s="106">
        <f t="shared" si="306"/>
        <v>0</v>
      </c>
      <c r="K623" s="106">
        <f t="shared" si="307"/>
        <v>1.3430592255880639E-2</v>
      </c>
      <c r="L623" s="106">
        <f t="shared" si="308"/>
        <v>3.2708058946765386E-2</v>
      </c>
      <c r="M623" s="106">
        <f t="shared" si="309"/>
        <v>0</v>
      </c>
      <c r="N623" s="106">
        <f t="shared" si="310"/>
        <v>4.1281359341188123E-2</v>
      </c>
      <c r="O623" s="106">
        <f t="shared" si="311"/>
        <v>0.11025972967690388</v>
      </c>
      <c r="P623" s="106">
        <f t="shared" si="312"/>
        <v>0.21724029223722552</v>
      </c>
      <c r="Q623" s="17">
        <f t="shared" si="313"/>
        <v>1.884524660038045E-2</v>
      </c>
      <c r="R623" s="17">
        <f t="shared" si="314"/>
        <v>1.599363939513157E-2</v>
      </c>
      <c r="S623" s="17">
        <f t="shared" si="315"/>
        <v>0.32399609939924601</v>
      </c>
      <c r="T623" s="17">
        <f t="shared" si="316"/>
        <v>7.8257411478520778E-2</v>
      </c>
      <c r="U623" s="17">
        <f t="shared" si="317"/>
        <v>0</v>
      </c>
      <c r="V623" s="17">
        <f t="shared" si="318"/>
        <v>0</v>
      </c>
      <c r="W623" s="106">
        <f t="shared" ref="W623:W628" si="319">SUM(G623:V623)</f>
        <v>1</v>
      </c>
      <c r="X623" s="96" t="str">
        <f t="shared" ref="X623:X643" si="320">IF(ABS(W623-F623)&lt;0.00001,"ok","err")</f>
        <v>ok</v>
      </c>
    </row>
    <row r="624" spans="1:24" x14ac:dyDescent="0.2">
      <c r="A624" s="16" t="s">
        <v>182</v>
      </c>
      <c r="D624" s="90" t="s">
        <v>198</v>
      </c>
      <c r="F624" s="106">
        <v>1</v>
      </c>
      <c r="G624" s="106">
        <f t="shared" si="303"/>
        <v>0</v>
      </c>
      <c r="H624" s="106">
        <f t="shared" si="304"/>
        <v>0</v>
      </c>
      <c r="I624" s="106">
        <f t="shared" si="305"/>
        <v>1</v>
      </c>
      <c r="J624" s="106">
        <f t="shared" si="306"/>
        <v>0</v>
      </c>
      <c r="K624" s="106">
        <f t="shared" si="307"/>
        <v>0</v>
      </c>
      <c r="L624" s="106">
        <f t="shared" si="308"/>
        <v>0</v>
      </c>
      <c r="M624" s="106">
        <f t="shared" si="309"/>
        <v>0</v>
      </c>
      <c r="N624" s="106">
        <f t="shared" si="310"/>
        <v>0</v>
      </c>
      <c r="O624" s="106">
        <f t="shared" si="311"/>
        <v>0</v>
      </c>
      <c r="P624" s="106">
        <f t="shared" si="312"/>
        <v>0</v>
      </c>
      <c r="Q624" s="17">
        <f t="shared" si="313"/>
        <v>0</v>
      </c>
      <c r="R624" s="17">
        <f t="shared" si="314"/>
        <v>0</v>
      </c>
      <c r="S624" s="17">
        <f t="shared" si="315"/>
        <v>0</v>
      </c>
      <c r="T624" s="17">
        <f t="shared" si="316"/>
        <v>0</v>
      </c>
      <c r="U624" s="17">
        <f t="shared" si="317"/>
        <v>0</v>
      </c>
      <c r="V624" s="17">
        <f t="shared" si="318"/>
        <v>0</v>
      </c>
      <c r="W624" s="106">
        <f t="shared" si="319"/>
        <v>1</v>
      </c>
      <c r="X624" s="96" t="str">
        <f t="shared" si="320"/>
        <v>ok</v>
      </c>
    </row>
    <row r="625" spans="1:25" x14ac:dyDescent="0.2">
      <c r="A625" s="16" t="s">
        <v>383</v>
      </c>
      <c r="D625" s="90" t="s">
        <v>181</v>
      </c>
      <c r="F625" s="106">
        <v>1</v>
      </c>
      <c r="G625" s="106">
        <f t="shared" si="303"/>
        <v>0</v>
      </c>
      <c r="H625" s="106">
        <f t="shared" si="304"/>
        <v>0</v>
      </c>
      <c r="I625" s="106">
        <f t="shared" si="305"/>
        <v>0</v>
      </c>
      <c r="J625" s="106">
        <f t="shared" si="306"/>
        <v>0</v>
      </c>
      <c r="K625" s="106">
        <f t="shared" si="307"/>
        <v>0.29109200000000002</v>
      </c>
      <c r="L625" s="106">
        <f t="shared" si="308"/>
        <v>0.70890799999999998</v>
      </c>
      <c r="M625" s="106">
        <f t="shared" si="309"/>
        <v>0</v>
      </c>
      <c r="N625" s="106">
        <f t="shared" si="310"/>
        <v>0</v>
      </c>
      <c r="O625" s="106">
        <f t="shared" si="311"/>
        <v>0</v>
      </c>
      <c r="P625" s="106">
        <f t="shared" si="312"/>
        <v>0</v>
      </c>
      <c r="Q625" s="17">
        <f t="shared" si="313"/>
        <v>0</v>
      </c>
      <c r="R625" s="17">
        <f t="shared" si="314"/>
        <v>0</v>
      </c>
      <c r="S625" s="17">
        <f t="shared" si="315"/>
        <v>0</v>
      </c>
      <c r="T625" s="17">
        <f t="shared" si="316"/>
        <v>0</v>
      </c>
      <c r="U625" s="17">
        <f t="shared" si="317"/>
        <v>0</v>
      </c>
      <c r="V625" s="17">
        <f t="shared" si="318"/>
        <v>0</v>
      </c>
      <c r="W625" s="106">
        <f t="shared" si="319"/>
        <v>1</v>
      </c>
      <c r="X625" s="96" t="str">
        <f t="shared" si="320"/>
        <v>ok</v>
      </c>
    </row>
    <row r="626" spans="1:25" x14ac:dyDescent="0.2">
      <c r="A626" s="16" t="s">
        <v>61</v>
      </c>
      <c r="D626" s="90" t="s">
        <v>62</v>
      </c>
      <c r="F626" s="106">
        <v>1</v>
      </c>
      <c r="G626" s="106">
        <f t="shared" si="303"/>
        <v>0</v>
      </c>
      <c r="H626" s="106">
        <f t="shared" si="304"/>
        <v>0</v>
      </c>
      <c r="I626" s="106">
        <f t="shared" si="305"/>
        <v>0.14798757066875765</v>
      </c>
      <c r="J626" s="106">
        <f t="shared" si="306"/>
        <v>0</v>
      </c>
      <c r="K626" s="106">
        <f t="shared" si="307"/>
        <v>1.3430592255880639E-2</v>
      </c>
      <c r="L626" s="106">
        <f t="shared" si="308"/>
        <v>3.2708058946765386E-2</v>
      </c>
      <c r="M626" s="106">
        <f t="shared" si="309"/>
        <v>0</v>
      </c>
      <c r="N626" s="106">
        <f t="shared" si="310"/>
        <v>4.1281359341188123E-2</v>
      </c>
      <c r="O626" s="106">
        <f t="shared" si="311"/>
        <v>0.11025972967690388</v>
      </c>
      <c r="P626" s="106">
        <f t="shared" si="312"/>
        <v>0.21724029223722552</v>
      </c>
      <c r="Q626" s="17">
        <f t="shared" si="313"/>
        <v>1.8845246600380453E-2</v>
      </c>
      <c r="R626" s="17">
        <f t="shared" si="314"/>
        <v>1.599363939513157E-2</v>
      </c>
      <c r="S626" s="17">
        <f t="shared" si="315"/>
        <v>0.32399609939924601</v>
      </c>
      <c r="T626" s="17">
        <f t="shared" si="316"/>
        <v>7.8257411478520778E-2</v>
      </c>
      <c r="U626" s="17">
        <f t="shared" si="317"/>
        <v>0</v>
      </c>
      <c r="V626" s="17">
        <f t="shared" si="318"/>
        <v>0</v>
      </c>
      <c r="W626" s="106">
        <f t="shared" si="319"/>
        <v>1</v>
      </c>
      <c r="X626" s="96" t="str">
        <f t="shared" si="320"/>
        <v>ok</v>
      </c>
    </row>
    <row r="627" spans="1:25" x14ac:dyDescent="0.2">
      <c r="A627" s="16" t="s">
        <v>65</v>
      </c>
      <c r="D627" s="90" t="s">
        <v>200</v>
      </c>
      <c r="F627" s="106">
        <v>1</v>
      </c>
      <c r="G627" s="106">
        <f t="shared" si="303"/>
        <v>0</v>
      </c>
      <c r="H627" s="106">
        <f t="shared" si="304"/>
        <v>0</v>
      </c>
      <c r="I627" s="106">
        <f t="shared" si="305"/>
        <v>0</v>
      </c>
      <c r="J627" s="106">
        <f t="shared" si="306"/>
        <v>0</v>
      </c>
      <c r="K627" s="106">
        <f t="shared" si="307"/>
        <v>0</v>
      </c>
      <c r="L627" s="106">
        <f t="shared" si="308"/>
        <v>0</v>
      </c>
      <c r="M627" s="106">
        <f t="shared" si="309"/>
        <v>0</v>
      </c>
      <c r="N627" s="106">
        <f t="shared" si="310"/>
        <v>5.1225589492503255E-2</v>
      </c>
      <c r="O627" s="106">
        <f t="shared" si="311"/>
        <v>0.13682009846870749</v>
      </c>
      <c r="P627" s="106">
        <f t="shared" si="312"/>
        <v>0.26957111415351159</v>
      </c>
      <c r="Q627" s="17">
        <f t="shared" si="313"/>
        <v>2.3384861391250331E-2</v>
      </c>
      <c r="R627" s="17">
        <f t="shared" si="314"/>
        <v>1.9846333047679091E-2</v>
      </c>
      <c r="S627" s="17">
        <f t="shared" si="315"/>
        <v>0.40204323331084324</v>
      </c>
      <c r="T627" s="17">
        <f t="shared" si="316"/>
        <v>9.7108770135504952E-2</v>
      </c>
      <c r="U627" s="17">
        <f t="shared" si="317"/>
        <v>0</v>
      </c>
      <c r="V627" s="17">
        <f t="shared" si="318"/>
        <v>0</v>
      </c>
      <c r="W627" s="106">
        <f t="shared" si="319"/>
        <v>1</v>
      </c>
      <c r="X627" s="96" t="str">
        <f t="shared" si="320"/>
        <v>ok</v>
      </c>
    </row>
    <row r="628" spans="1:25" x14ac:dyDescent="0.2">
      <c r="A628" s="16" t="s">
        <v>201</v>
      </c>
      <c r="D628" s="90" t="s">
        <v>71</v>
      </c>
      <c r="F628" s="106">
        <v>1</v>
      </c>
      <c r="G628" s="106">
        <f t="shared" si="303"/>
        <v>0</v>
      </c>
      <c r="H628" s="106">
        <f t="shared" si="304"/>
        <v>0</v>
      </c>
      <c r="I628" s="106">
        <f t="shared" si="305"/>
        <v>0.17543396897305036</v>
      </c>
      <c r="J628" s="106">
        <f t="shared" si="306"/>
        <v>0</v>
      </c>
      <c r="K628" s="106">
        <f t="shared" si="307"/>
        <v>0.16704263023537408</v>
      </c>
      <c r="L628" s="106">
        <f t="shared" si="308"/>
        <v>0.4068056041213724</v>
      </c>
      <c r="M628" s="106">
        <f t="shared" si="309"/>
        <v>0</v>
      </c>
      <c r="N628" s="106">
        <f t="shared" si="310"/>
        <v>6.4748135447539514E-3</v>
      </c>
      <c r="O628" s="106">
        <f t="shared" si="311"/>
        <v>5.5124296080851898E-2</v>
      </c>
      <c r="P628" s="106">
        <f t="shared" si="312"/>
        <v>0.10860917422042313</v>
      </c>
      <c r="Q628" s="17">
        <f t="shared" si="313"/>
        <v>9.4216715056362373E-3</v>
      </c>
      <c r="R628" s="17">
        <f t="shared" si="314"/>
        <v>7.9960119257601135E-3</v>
      </c>
      <c r="S628" s="17">
        <f t="shared" si="315"/>
        <v>5.081747225180662E-2</v>
      </c>
      <c r="T628" s="17">
        <f t="shared" si="316"/>
        <v>1.2274357140971177E-2</v>
      </c>
      <c r="U628" s="17">
        <f t="shared" si="317"/>
        <v>0</v>
      </c>
      <c r="V628" s="17">
        <f t="shared" si="318"/>
        <v>0</v>
      </c>
      <c r="W628" s="106">
        <f t="shared" si="319"/>
        <v>1</v>
      </c>
      <c r="X628" s="96" t="str">
        <f t="shared" si="320"/>
        <v>ok</v>
      </c>
    </row>
    <row r="629" spans="1:25" x14ac:dyDescent="0.2">
      <c r="A629" s="16" t="s">
        <v>190</v>
      </c>
      <c r="D629" s="90" t="s">
        <v>90</v>
      </c>
      <c r="F629" s="106">
        <v>1</v>
      </c>
      <c r="G629" s="106">
        <f t="shared" si="303"/>
        <v>1.2777059816023893E-3</v>
      </c>
      <c r="H629" s="106">
        <f t="shared" si="304"/>
        <v>9.6056499093890024E-3</v>
      </c>
      <c r="I629" s="106">
        <f t="shared" si="305"/>
        <v>5.6105349140077372E-2</v>
      </c>
      <c r="J629" s="106">
        <f t="shared" si="306"/>
        <v>9.8498805519745075E-2</v>
      </c>
      <c r="K629" s="106">
        <f t="shared" si="307"/>
        <v>5.8482527431381506E-2</v>
      </c>
      <c r="L629" s="106">
        <f t="shared" si="308"/>
        <v>0.14242484010665285</v>
      </c>
      <c r="M629" s="106">
        <f t="shared" si="309"/>
        <v>1.7350765102878318E-2</v>
      </c>
      <c r="N629" s="106">
        <f t="shared" si="310"/>
        <v>4.399613550312844E-2</v>
      </c>
      <c r="O629" s="106">
        <f t="shared" si="311"/>
        <v>8.0551441150898503E-2</v>
      </c>
      <c r="P629" s="106">
        <f t="shared" si="312"/>
        <v>0.15870725120611634</v>
      </c>
      <c r="Q629" s="17">
        <f t="shared" si="313"/>
        <v>1.3767599258160471E-2</v>
      </c>
      <c r="R629" s="17">
        <f t="shared" si="314"/>
        <v>1.1684326692082353E-2</v>
      </c>
      <c r="S629" s="17">
        <f t="shared" si="315"/>
        <v>8.6836017502203613E-2</v>
      </c>
      <c r="T629" s="17">
        <f t="shared" si="316"/>
        <v>5.9796143982103103E-2</v>
      </c>
      <c r="U629" s="17">
        <f t="shared" si="317"/>
        <v>0.14795612201067182</v>
      </c>
      <c r="V629" s="17">
        <f t="shared" si="318"/>
        <v>1.295931950290875E-2</v>
      </c>
      <c r="W629" s="106">
        <f t="shared" ref="W629:W635" si="321">SUM(G629:V629)</f>
        <v>0.99999999999999978</v>
      </c>
      <c r="X629" s="96" t="str">
        <f t="shared" si="320"/>
        <v>ok</v>
      </c>
    </row>
    <row r="630" spans="1:25" x14ac:dyDescent="0.2">
      <c r="A630" s="16" t="s">
        <v>77</v>
      </c>
      <c r="D630" s="90" t="s">
        <v>78</v>
      </c>
      <c r="F630" s="106">
        <v>1</v>
      </c>
      <c r="G630" s="106">
        <f t="shared" si="303"/>
        <v>0</v>
      </c>
      <c r="H630" s="106">
        <f t="shared" si="304"/>
        <v>0</v>
      </c>
      <c r="I630" s="106">
        <f t="shared" si="305"/>
        <v>0.11953581569362484</v>
      </c>
      <c r="J630" s="106">
        <f t="shared" si="306"/>
        <v>0</v>
      </c>
      <c r="K630" s="106">
        <f t="shared" si="307"/>
        <v>1.0454340394269544E-2</v>
      </c>
      <c r="L630" s="106">
        <f t="shared" si="308"/>
        <v>2.545987364895233E-2</v>
      </c>
      <c r="M630" s="106">
        <f t="shared" si="309"/>
        <v>0</v>
      </c>
      <c r="N630" s="106">
        <f t="shared" si="310"/>
        <v>1.7941510272856183E-2</v>
      </c>
      <c r="O630" s="106">
        <f t="shared" si="311"/>
        <v>0.14789441469510811</v>
      </c>
      <c r="P630" s="106">
        <f t="shared" si="312"/>
        <v>0.25112104650070283</v>
      </c>
      <c r="Q630" s="17">
        <f t="shared" si="313"/>
        <v>2.182622145830955E-2</v>
      </c>
      <c r="R630" s="17">
        <f t="shared" si="314"/>
        <v>1.5992270197000249E-2</v>
      </c>
      <c r="S630" s="17">
        <f t="shared" si="315"/>
        <v>0.32168778841406381</v>
      </c>
      <c r="T630" s="17">
        <f t="shared" si="316"/>
        <v>6.8086718725112447E-2</v>
      </c>
      <c r="U630" s="17">
        <f t="shared" si="317"/>
        <v>0</v>
      </c>
      <c r="V630" s="17">
        <f t="shared" si="318"/>
        <v>0</v>
      </c>
      <c r="W630" s="106">
        <f t="shared" si="321"/>
        <v>0.99999999999999978</v>
      </c>
      <c r="X630" s="96" t="str">
        <f t="shared" si="320"/>
        <v>ok</v>
      </c>
    </row>
    <row r="631" spans="1:25" x14ac:dyDescent="0.2">
      <c r="A631" s="16" t="s">
        <v>641</v>
      </c>
      <c r="D631" s="90" t="s">
        <v>56</v>
      </c>
      <c r="F631" s="106">
        <v>1</v>
      </c>
      <c r="G631" s="106">
        <f t="shared" si="303"/>
        <v>0</v>
      </c>
      <c r="H631" s="106">
        <f t="shared" si="304"/>
        <v>0</v>
      </c>
      <c r="I631" s="106">
        <f t="shared" si="305"/>
        <v>0.14798757066875765</v>
      </c>
      <c r="J631" s="106">
        <f t="shared" si="306"/>
        <v>0</v>
      </c>
      <c r="K631" s="106">
        <f t="shared" si="307"/>
        <v>1.3430592255880639E-2</v>
      </c>
      <c r="L631" s="106">
        <f t="shared" si="308"/>
        <v>3.2708058946765386E-2</v>
      </c>
      <c r="M631" s="106">
        <f t="shared" si="309"/>
        <v>0</v>
      </c>
      <c r="N631" s="106">
        <f t="shared" si="310"/>
        <v>4.1281359341188123E-2</v>
      </c>
      <c r="O631" s="106">
        <f t="shared" si="311"/>
        <v>0.11025972967690388</v>
      </c>
      <c r="P631" s="106">
        <f t="shared" si="312"/>
        <v>0.21724029223722552</v>
      </c>
      <c r="Q631" s="17">
        <f t="shared" si="313"/>
        <v>1.884524660038045E-2</v>
      </c>
      <c r="R631" s="17">
        <f t="shared" si="314"/>
        <v>1.599363939513157E-2</v>
      </c>
      <c r="S631" s="17">
        <f t="shared" si="315"/>
        <v>0.32399609939924601</v>
      </c>
      <c r="T631" s="17">
        <f t="shared" si="316"/>
        <v>7.8257411478520778E-2</v>
      </c>
      <c r="U631" s="17">
        <f t="shared" si="317"/>
        <v>0</v>
      </c>
      <c r="V631" s="17">
        <f t="shared" si="318"/>
        <v>0</v>
      </c>
      <c r="W631" s="106">
        <f t="shared" si="321"/>
        <v>1</v>
      </c>
      <c r="X631" s="96" t="str">
        <f t="shared" si="320"/>
        <v>ok</v>
      </c>
    </row>
    <row r="632" spans="1:25" x14ac:dyDescent="0.2">
      <c r="A632" s="16" t="s">
        <v>384</v>
      </c>
      <c r="D632" s="90" t="s">
        <v>341</v>
      </c>
      <c r="F632" s="106">
        <v>1</v>
      </c>
      <c r="G632" s="106">
        <f t="shared" si="303"/>
        <v>3.3986481332257869E-3</v>
      </c>
      <c r="H632" s="106">
        <f t="shared" si="304"/>
        <v>2.5550654534796248E-2</v>
      </c>
      <c r="I632" s="106">
        <f t="shared" si="305"/>
        <v>5.4728200358199246E-2</v>
      </c>
      <c r="J632" s="106">
        <f t="shared" si="306"/>
        <v>0.10087681555192099</v>
      </c>
      <c r="K632" s="106">
        <f t="shared" si="307"/>
        <v>3.2384659414100472E-2</v>
      </c>
      <c r="L632" s="106">
        <f t="shared" si="308"/>
        <v>7.8867657427655641E-2</v>
      </c>
      <c r="M632" s="106">
        <f t="shared" si="309"/>
        <v>2.9954289324358622E-2</v>
      </c>
      <c r="N632" s="106">
        <f t="shared" si="310"/>
        <v>5.7419830259917037E-2</v>
      </c>
      <c r="O632" s="106">
        <f t="shared" si="311"/>
        <v>7.9681752372686362E-2</v>
      </c>
      <c r="P632" s="106">
        <f t="shared" si="312"/>
        <v>0.15699373853119983</v>
      </c>
      <c r="Q632" s="17">
        <f t="shared" si="313"/>
        <v>1.3618954784434497E-2</v>
      </c>
      <c r="R632" s="17">
        <f t="shared" si="314"/>
        <v>1.1558174662275307E-2</v>
      </c>
      <c r="S632" s="17">
        <f t="shared" si="315"/>
        <v>9.7948809975731743E-2</v>
      </c>
      <c r="T632" s="17">
        <f t="shared" si="316"/>
        <v>7.8302796191281401E-2</v>
      </c>
      <c r="U632" s="17">
        <f t="shared" si="317"/>
        <v>0.16808324119837864</v>
      </c>
      <c r="V632" s="17">
        <f t="shared" si="318"/>
        <v>1.0631777279838084E-2</v>
      </c>
      <c r="W632" s="106">
        <f t="shared" si="321"/>
        <v>1</v>
      </c>
      <c r="X632" s="96" t="str">
        <f t="shared" si="320"/>
        <v>ok</v>
      </c>
    </row>
    <row r="633" spans="1:25" x14ac:dyDescent="0.2">
      <c r="A633" s="16" t="s">
        <v>385</v>
      </c>
      <c r="D633" s="90" t="s">
        <v>348</v>
      </c>
      <c r="F633" s="106">
        <v>1</v>
      </c>
      <c r="G633" s="106">
        <f t="shared" si="303"/>
        <v>0</v>
      </c>
      <c r="H633" s="106">
        <f t="shared" si="304"/>
        <v>0</v>
      </c>
      <c r="I633" s="106">
        <f t="shared" si="305"/>
        <v>0</v>
      </c>
      <c r="J633" s="106">
        <f t="shared" si="306"/>
        <v>0</v>
      </c>
      <c r="K633" s="106">
        <f t="shared" si="307"/>
        <v>5.1240591074761456E-2</v>
      </c>
      <c r="L633" s="106">
        <f t="shared" si="308"/>
        <v>0.12478826260298116</v>
      </c>
      <c r="M633" s="106">
        <f t="shared" si="309"/>
        <v>4.7552897007879576E-2</v>
      </c>
      <c r="N633" s="106">
        <f t="shared" si="310"/>
        <v>9.0630632751274268E-2</v>
      </c>
      <c r="O633" s="106">
        <f t="shared" si="311"/>
        <v>0.12509581703103673</v>
      </c>
      <c r="P633" s="106">
        <f t="shared" si="312"/>
        <v>0.24647123595451217</v>
      </c>
      <c r="Q633" s="17">
        <f t="shared" si="313"/>
        <v>2.1380984041354648E-2</v>
      </c>
      <c r="R633" s="17">
        <f t="shared" si="314"/>
        <v>1.8145676515773777E-2</v>
      </c>
      <c r="S633" s="17">
        <f t="shared" si="315"/>
        <v>0.15138080064110113</v>
      </c>
      <c r="T633" s="17">
        <f t="shared" si="316"/>
        <v>0.12331310237932511</v>
      </c>
      <c r="U633" s="17">
        <f t="shared" si="317"/>
        <v>0</v>
      </c>
      <c r="V633" s="17">
        <f t="shared" si="318"/>
        <v>0</v>
      </c>
      <c r="W633" s="106">
        <f t="shared" si="321"/>
        <v>1</v>
      </c>
      <c r="X633" s="96" t="str">
        <f t="shared" si="320"/>
        <v>ok</v>
      </c>
    </row>
    <row r="634" spans="1:25" x14ac:dyDescent="0.2">
      <c r="A634" s="16" t="s">
        <v>386</v>
      </c>
      <c r="D634" s="90" t="s">
        <v>299</v>
      </c>
      <c r="F634" s="106">
        <v>1</v>
      </c>
      <c r="G634" s="106">
        <f t="shared" si="303"/>
        <v>0</v>
      </c>
      <c r="H634" s="106">
        <f t="shared" si="304"/>
        <v>0</v>
      </c>
      <c r="I634" s="106">
        <f t="shared" si="305"/>
        <v>0</v>
      </c>
      <c r="J634" s="106">
        <f t="shared" si="306"/>
        <v>0</v>
      </c>
      <c r="K634" s="106">
        <f t="shared" si="307"/>
        <v>3.2879633057611053E-2</v>
      </c>
      <c r="L634" s="106">
        <f t="shared" si="308"/>
        <v>8.0073086555470213E-2</v>
      </c>
      <c r="M634" s="106">
        <f t="shared" si="309"/>
        <v>0</v>
      </c>
      <c r="N634" s="106">
        <f t="shared" si="310"/>
        <v>0</v>
      </c>
      <c r="O634" s="106">
        <f t="shared" si="311"/>
        <v>0.26992848742173936</v>
      </c>
      <c r="P634" s="106">
        <f t="shared" si="312"/>
        <v>0.53182919695597719</v>
      </c>
      <c r="Q634" s="17">
        <f t="shared" si="313"/>
        <v>4.613532905292364E-2</v>
      </c>
      <c r="R634" s="17">
        <f t="shared" si="314"/>
        <v>3.9154266956278591E-2</v>
      </c>
      <c r="S634" s="17">
        <f t="shared" si="315"/>
        <v>0</v>
      </c>
      <c r="T634" s="17">
        <f t="shared" si="316"/>
        <v>0</v>
      </c>
      <c r="U634" s="17">
        <f t="shared" si="317"/>
        <v>0</v>
      </c>
      <c r="V634" s="17">
        <f t="shared" si="318"/>
        <v>0</v>
      </c>
      <c r="W634" s="106">
        <f t="shared" si="321"/>
        <v>1</v>
      </c>
      <c r="X634" s="96" t="str">
        <f t="shared" si="320"/>
        <v>ok</v>
      </c>
    </row>
    <row r="635" spans="1:25" x14ac:dyDescent="0.2">
      <c r="A635" s="16" t="s">
        <v>697</v>
      </c>
      <c r="C635" s="90" t="s">
        <v>630</v>
      </c>
      <c r="D635" s="16"/>
      <c r="F635" s="17">
        <f t="shared" ref="F635:V635" si="322">SUM(F149:F159)</f>
        <v>1348761</v>
      </c>
      <c r="G635" s="17">
        <f t="shared" si="322"/>
        <v>0</v>
      </c>
      <c r="H635" s="17">
        <f t="shared" si="322"/>
        <v>0</v>
      </c>
      <c r="I635" s="17">
        <f t="shared" si="322"/>
        <v>316677</v>
      </c>
      <c r="J635" s="17">
        <f t="shared" si="322"/>
        <v>1032084</v>
      </c>
      <c r="K635" s="17">
        <f t="shared" si="322"/>
        <v>0</v>
      </c>
      <c r="L635" s="17">
        <f t="shared" si="322"/>
        <v>0</v>
      </c>
      <c r="M635" s="17">
        <f t="shared" si="322"/>
        <v>0</v>
      </c>
      <c r="N635" s="17">
        <f t="shared" si="322"/>
        <v>0</v>
      </c>
      <c r="O635" s="17">
        <f t="shared" si="322"/>
        <v>0</v>
      </c>
      <c r="P635" s="17">
        <f t="shared" si="322"/>
        <v>0</v>
      </c>
      <c r="Q635" s="17">
        <f t="shared" si="322"/>
        <v>0</v>
      </c>
      <c r="R635" s="17">
        <f t="shared" si="322"/>
        <v>0</v>
      </c>
      <c r="S635" s="17">
        <f t="shared" si="322"/>
        <v>0</v>
      </c>
      <c r="T635" s="17">
        <f t="shared" si="322"/>
        <v>0</v>
      </c>
      <c r="U635" s="17">
        <f t="shared" si="322"/>
        <v>0</v>
      </c>
      <c r="V635" s="17">
        <f t="shared" si="322"/>
        <v>0</v>
      </c>
      <c r="W635" s="17">
        <f t="shared" si="321"/>
        <v>1348761</v>
      </c>
      <c r="X635" s="96" t="str">
        <f>IF(ABS(W635-F635)&lt;0.00001,"ok","err")</f>
        <v>ok</v>
      </c>
    </row>
    <row r="636" spans="1:25" x14ac:dyDescent="0.2">
      <c r="A636" s="16" t="s">
        <v>696</v>
      </c>
      <c r="C636" s="90" t="s">
        <v>631</v>
      </c>
      <c r="F636" s="17">
        <f t="shared" ref="F636:V636" si="323">SUM(F168:F174)</f>
        <v>1067738</v>
      </c>
      <c r="G636" s="17">
        <f t="shared" si="323"/>
        <v>0</v>
      </c>
      <c r="H636" s="17">
        <f t="shared" si="323"/>
        <v>0</v>
      </c>
      <c r="I636" s="17">
        <f t="shared" si="323"/>
        <v>543480</v>
      </c>
      <c r="J636" s="17">
        <f t="shared" si="323"/>
        <v>524258</v>
      </c>
      <c r="K636" s="17">
        <f t="shared" si="323"/>
        <v>0</v>
      </c>
      <c r="L636" s="17">
        <f t="shared" si="323"/>
        <v>0</v>
      </c>
      <c r="M636" s="17">
        <f t="shared" si="323"/>
        <v>0</v>
      </c>
      <c r="N636" s="17">
        <f t="shared" si="323"/>
        <v>0</v>
      </c>
      <c r="O636" s="17">
        <f t="shared" si="323"/>
        <v>0</v>
      </c>
      <c r="P636" s="17">
        <f t="shared" si="323"/>
        <v>0</v>
      </c>
      <c r="Q636" s="17">
        <f t="shared" si="323"/>
        <v>0</v>
      </c>
      <c r="R636" s="17">
        <f t="shared" si="323"/>
        <v>0</v>
      </c>
      <c r="S636" s="17">
        <f t="shared" si="323"/>
        <v>0</v>
      </c>
      <c r="T636" s="17">
        <f t="shared" si="323"/>
        <v>0</v>
      </c>
      <c r="U636" s="17">
        <f t="shared" si="323"/>
        <v>0</v>
      </c>
      <c r="V636" s="17">
        <f t="shared" si="323"/>
        <v>0</v>
      </c>
      <c r="W636" s="17">
        <f t="shared" ref="W636:W642" si="324">SUM(G636:V636)</f>
        <v>1067738</v>
      </c>
      <c r="X636" s="96" t="str">
        <f t="shared" si="320"/>
        <v>ok</v>
      </c>
    </row>
    <row r="637" spans="1:25" x14ac:dyDescent="0.2">
      <c r="A637" s="16" t="s">
        <v>633</v>
      </c>
      <c r="C637" s="90" t="s">
        <v>634</v>
      </c>
      <c r="F637" s="17">
        <f>F18+F21</f>
        <v>827580619.26958323</v>
      </c>
      <c r="G637" s="17">
        <f t="shared" ref="G637:V637" si="325">G18+G21</f>
        <v>0</v>
      </c>
      <c r="H637" s="17">
        <f t="shared" si="325"/>
        <v>0</v>
      </c>
      <c r="I637" s="17">
        <f t="shared" si="325"/>
        <v>0</v>
      </c>
      <c r="J637" s="17">
        <f t="shared" si="325"/>
        <v>0</v>
      </c>
      <c r="K637" s="17">
        <f t="shared" si="325"/>
        <v>0</v>
      </c>
      <c r="L637" s="17">
        <f t="shared" si="325"/>
        <v>0</v>
      </c>
      <c r="M637" s="17">
        <f t="shared" si="325"/>
        <v>0</v>
      </c>
      <c r="N637" s="17">
        <f t="shared" si="325"/>
        <v>0</v>
      </c>
      <c r="O637" s="17">
        <f t="shared" si="325"/>
        <v>132950839.45126833</v>
      </c>
      <c r="P637" s="17">
        <f t="shared" si="325"/>
        <v>261947669.3822147</v>
      </c>
      <c r="Q637" s="17">
        <f>Q18+Q21</f>
        <v>22723539.795795154</v>
      </c>
      <c r="R637" s="17">
        <f>R18+R21</f>
        <v>19285080.688067641</v>
      </c>
      <c r="S637" s="17">
        <f t="shared" si="325"/>
        <v>390673489.95223749</v>
      </c>
      <c r="T637" s="17">
        <f t="shared" si="325"/>
        <v>0</v>
      </c>
      <c r="U637" s="17">
        <f t="shared" si="325"/>
        <v>0</v>
      </c>
      <c r="V637" s="17">
        <f t="shared" si="325"/>
        <v>0</v>
      </c>
      <c r="W637" s="17">
        <f t="shared" si="324"/>
        <v>827580619.26958323</v>
      </c>
      <c r="X637" s="96" t="str">
        <f t="shared" si="320"/>
        <v>ok</v>
      </c>
      <c r="Y637" s="100">
        <f>+W637-F637</f>
        <v>0</v>
      </c>
    </row>
    <row r="638" spans="1:25" x14ac:dyDescent="0.2">
      <c r="A638" s="16" t="s">
        <v>636</v>
      </c>
      <c r="C638" s="90" t="s">
        <v>635</v>
      </c>
      <c r="F638" s="107">
        <v>1</v>
      </c>
      <c r="G638" s="108">
        <v>0.1174</v>
      </c>
      <c r="H638" s="108">
        <v>0.88260000000000005</v>
      </c>
      <c r="W638" s="107">
        <f t="shared" si="324"/>
        <v>1</v>
      </c>
      <c r="X638" s="96" t="str">
        <f t="shared" si="320"/>
        <v>ok</v>
      </c>
    </row>
    <row r="639" spans="1:25" x14ac:dyDescent="0.2">
      <c r="A639" s="16" t="s">
        <v>698</v>
      </c>
      <c r="C639" s="90" t="s">
        <v>637</v>
      </c>
      <c r="D639" s="16"/>
      <c r="F639" s="17">
        <f>SUM(F194:F213)</f>
        <v>6531083</v>
      </c>
      <c r="G639" s="17">
        <f t="shared" ref="G639:V639" si="326">SUM(G194:G213)</f>
        <v>0</v>
      </c>
      <c r="H639" s="17">
        <f t="shared" si="326"/>
        <v>0</v>
      </c>
      <c r="I639" s="17">
        <f t="shared" si="326"/>
        <v>0</v>
      </c>
      <c r="J639" s="17">
        <f t="shared" si="326"/>
        <v>0</v>
      </c>
      <c r="K639" s="17">
        <f t="shared" si="326"/>
        <v>0</v>
      </c>
      <c r="L639" s="17">
        <f t="shared" si="326"/>
        <v>0</v>
      </c>
      <c r="M639" s="17">
        <f t="shared" si="326"/>
        <v>690001</v>
      </c>
      <c r="N639" s="17">
        <f t="shared" si="326"/>
        <v>922123.79190371151</v>
      </c>
      <c r="O639" s="17">
        <f t="shared" si="326"/>
        <v>532287.27719674632</v>
      </c>
      <c r="P639" s="17">
        <f t="shared" si="326"/>
        <v>1048744.1243618445</v>
      </c>
      <c r="Q639" s="17">
        <f>SUM(Q194:Q213)</f>
        <v>90976.869165306503</v>
      </c>
      <c r="R639" s="17">
        <f>SUM(R194:R213)</f>
        <v>77210.517303530651</v>
      </c>
      <c r="S639" s="17">
        <f t="shared" si="326"/>
        <v>1564115.9476533346</v>
      </c>
      <c r="T639" s="17">
        <f t="shared" si="326"/>
        <v>1605623.4724155259</v>
      </c>
      <c r="U639" s="17">
        <f t="shared" si="326"/>
        <v>0</v>
      </c>
      <c r="V639" s="17">
        <f t="shared" si="326"/>
        <v>0</v>
      </c>
      <c r="W639" s="17">
        <f t="shared" si="324"/>
        <v>6531083</v>
      </c>
      <c r="X639" s="96" t="str">
        <f t="shared" si="320"/>
        <v>ok</v>
      </c>
    </row>
    <row r="640" spans="1:25" x14ac:dyDescent="0.2">
      <c r="A640" s="16" t="s">
        <v>699</v>
      </c>
      <c r="C640" s="90" t="s">
        <v>638</v>
      </c>
      <c r="F640" s="17">
        <f>SUM(F234:F242)</f>
        <v>5424885</v>
      </c>
      <c r="G640" s="17">
        <f t="shared" ref="G640:V640" si="327">SUM(G234:G242)</f>
        <v>0</v>
      </c>
      <c r="H640" s="17">
        <f t="shared" si="327"/>
        <v>0</v>
      </c>
      <c r="I640" s="17">
        <f t="shared" si="327"/>
        <v>0</v>
      </c>
      <c r="J640" s="17">
        <f t="shared" si="327"/>
        <v>0</v>
      </c>
      <c r="K640" s="17">
        <f t="shared" si="327"/>
        <v>0</v>
      </c>
      <c r="L640" s="17">
        <f t="shared" si="327"/>
        <v>0</v>
      </c>
      <c r="M640" s="17">
        <f t="shared" si="327"/>
        <v>0</v>
      </c>
      <c r="N640" s="17">
        <f t="shared" si="327"/>
        <v>392942.82156990777</v>
      </c>
      <c r="O640" s="17">
        <f t="shared" si="327"/>
        <v>1282875.2949790279</v>
      </c>
      <c r="P640" s="17">
        <f t="shared" si="327"/>
        <v>2527597.3812181274</v>
      </c>
      <c r="Q640" s="17">
        <f>SUM(Q234:Q242)</f>
        <v>219265.01508990876</v>
      </c>
      <c r="R640" s="17">
        <f>SUM(R234:R242)</f>
        <v>186086.47887076664</v>
      </c>
      <c r="S640" s="17">
        <f t="shared" si="327"/>
        <v>632446.41543155664</v>
      </c>
      <c r="T640" s="17">
        <f t="shared" si="327"/>
        <v>183671.59284070489</v>
      </c>
      <c r="U640" s="17">
        <f t="shared" si="327"/>
        <v>0</v>
      </c>
      <c r="V640" s="17">
        <f t="shared" si="327"/>
        <v>0</v>
      </c>
      <c r="W640" s="17">
        <f t="shared" si="324"/>
        <v>5424884.9999999991</v>
      </c>
      <c r="X640" s="96" t="str">
        <f t="shared" si="320"/>
        <v>ok</v>
      </c>
    </row>
    <row r="641" spans="1:24" x14ac:dyDescent="0.2">
      <c r="A641" s="16" t="s">
        <v>639</v>
      </c>
      <c r="C641" s="90" t="s">
        <v>154</v>
      </c>
      <c r="F641" s="22">
        <f>F144+F179+F246+F256+F259+F262</f>
        <v>22850865.990000002</v>
      </c>
      <c r="G641" s="22">
        <f t="shared" ref="G641:V641" si="328">G144+G179+G246+G256+G259+G262</f>
        <v>78288.307400000005</v>
      </c>
      <c r="H641" s="22">
        <f t="shared" si="328"/>
        <v>588562.69260000007</v>
      </c>
      <c r="I641" s="22">
        <f t="shared" si="328"/>
        <v>1233402.266825014</v>
      </c>
      <c r="J641" s="22">
        <f t="shared" si="328"/>
        <v>2323710.7331749862</v>
      </c>
      <c r="K641" s="22">
        <f t="shared" si="328"/>
        <v>743510.09732000006</v>
      </c>
      <c r="L641" s="22">
        <f t="shared" si="328"/>
        <v>1810699.9026800001</v>
      </c>
      <c r="M641" s="22">
        <f t="shared" si="328"/>
        <v>690001</v>
      </c>
      <c r="N641" s="22">
        <f t="shared" si="328"/>
        <v>1315066.6134736193</v>
      </c>
      <c r="O641" s="22">
        <f t="shared" si="328"/>
        <v>1815162.5721757743</v>
      </c>
      <c r="P641" s="22">
        <f t="shared" si="328"/>
        <v>3576341.5055799717</v>
      </c>
      <c r="Q641" s="22">
        <f>Q144+Q179+Q246+Q256+Q259+Q262</f>
        <v>310241.88425521529</v>
      </c>
      <c r="R641" s="22">
        <f>R144+R179+R246+R256+R259+R262</f>
        <v>263296.9961742973</v>
      </c>
      <c r="S641" s="22">
        <f t="shared" si="328"/>
        <v>2196562.3630848913</v>
      </c>
      <c r="T641" s="22">
        <f t="shared" si="328"/>
        <v>1789295.0652562308</v>
      </c>
      <c r="U641" s="22">
        <f t="shared" si="328"/>
        <v>3871819.5999999996</v>
      </c>
      <c r="V641" s="22">
        <f t="shared" si="328"/>
        <v>244904.38999999996</v>
      </c>
      <c r="W641" s="17">
        <f t="shared" si="324"/>
        <v>22850865.990000002</v>
      </c>
      <c r="X641" s="96" t="str">
        <f t="shared" si="320"/>
        <v>ok</v>
      </c>
    </row>
    <row r="642" spans="1:24" x14ac:dyDescent="0.2">
      <c r="A642" s="16" t="s">
        <v>640</v>
      </c>
      <c r="C642" s="90" t="s">
        <v>159</v>
      </c>
      <c r="F642" s="22">
        <f t="shared" ref="F642:V642" si="329">F316+F351+F418+F428+F431+F434</f>
        <v>68535510.049999997</v>
      </c>
      <c r="G642" s="22">
        <f t="shared" si="329"/>
        <v>38868.439800000386</v>
      </c>
      <c r="H642" s="22">
        <f t="shared" si="329"/>
        <v>292208.56020000292</v>
      </c>
      <c r="I642" s="22">
        <f t="shared" si="329"/>
        <v>3746676.8967220681</v>
      </c>
      <c r="J642" s="22">
        <f t="shared" si="329"/>
        <v>6824472.103277931</v>
      </c>
      <c r="K642" s="22">
        <f t="shared" si="329"/>
        <v>4681455.0698800003</v>
      </c>
      <c r="L642" s="22">
        <f t="shared" si="329"/>
        <v>11400934.930120001</v>
      </c>
      <c r="M642" s="22">
        <f t="shared" si="329"/>
        <v>912658</v>
      </c>
      <c r="N642" s="22">
        <f t="shared" si="329"/>
        <v>2701840.0094630048</v>
      </c>
      <c r="O642" s="22">
        <f t="shared" si="329"/>
        <v>5505416.8649766333</v>
      </c>
      <c r="P642" s="22">
        <f t="shared" si="329"/>
        <v>10847100.497524615</v>
      </c>
      <c r="Q642" s="22">
        <f t="shared" si="329"/>
        <v>940968.55454299937</v>
      </c>
      <c r="R642" s="22">
        <f t="shared" si="329"/>
        <v>798583.96457465854</v>
      </c>
      <c r="S642" s="22">
        <f t="shared" si="329"/>
        <v>5388312.6891382365</v>
      </c>
      <c r="T642" s="22">
        <f t="shared" si="329"/>
        <v>3637605.4197798511</v>
      </c>
      <c r="U642" s="22">
        <f t="shared" si="329"/>
        <v>9857792.0899999961</v>
      </c>
      <c r="V642" s="22">
        <f t="shared" si="329"/>
        <v>960615.95999999763</v>
      </c>
      <c r="W642" s="17">
        <f t="shared" si="324"/>
        <v>68535510.049999997</v>
      </c>
      <c r="X642" s="96" t="str">
        <f t="shared" si="320"/>
        <v>ok</v>
      </c>
    </row>
    <row r="643" spans="1:24" x14ac:dyDescent="0.2">
      <c r="A643" s="16" t="s">
        <v>664</v>
      </c>
      <c r="C643" s="90" t="s">
        <v>665</v>
      </c>
      <c r="F643" s="21">
        <v>239031180.66461393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4247159.6492774887</v>
      </c>
      <c r="O643" s="21">
        <v>42919420.328420348</v>
      </c>
      <c r="P643" s="21">
        <v>71843809.909944624</v>
      </c>
      <c r="Q643" s="21">
        <v>6245560.5172638223</v>
      </c>
      <c r="R643" s="21">
        <v>4501028.838833224</v>
      </c>
      <c r="S643" s="21">
        <v>90460692.585438997</v>
      </c>
      <c r="T643" s="21">
        <v>18813508.835435431</v>
      </c>
      <c r="U643" s="21">
        <v>0</v>
      </c>
      <c r="V643" s="21">
        <v>0</v>
      </c>
      <c r="W643" s="17">
        <f>SUM(G643:V643)</f>
        <v>239031180.66461393</v>
      </c>
      <c r="X643" s="96" t="str">
        <f t="shared" si="320"/>
        <v>ok</v>
      </c>
    </row>
  </sheetData>
  <autoFilter ref="C1:D643"/>
  <phoneticPr fontId="0" type="noConversion"/>
  <printOptions headings="1"/>
  <pageMargins left="0.75" right="0.75" top="1.5" bottom="0.59" header="0.5" footer="0.5"/>
  <pageSetup scale="55" pageOrder="overThenDown" orientation="landscape" r:id="rId1"/>
  <headerFooter alignWithMargins="0">
    <oddHeader>&amp;C&amp;"Times New Roman,Bold"&amp;14LOUISVILLE GAS AND ELECTRIC COMPANY
Cost of Service Study
12 Months Ended April 30, 2020
Functional Assignment and Classification&amp;R&amp;"Arial,Bold"Exhibit WSS-33
Page &amp;P of &amp;N</oddHeader>
  </headerFooter>
  <rowBreaks count="14" manualBreakCount="14">
    <brk id="50" max="21" man="1"/>
    <brk id="93" max="21" man="1"/>
    <brk id="140" max="21" man="1"/>
    <brk id="183" max="21" man="1"/>
    <brk id="226" max="21" man="1"/>
    <brk id="269" max="21" man="1"/>
    <brk id="312" max="21" man="1"/>
    <brk id="355" max="21" man="1"/>
    <brk id="398" max="21" man="1"/>
    <brk id="441" max="21" man="1"/>
    <brk id="484" max="21" man="1"/>
    <brk id="533" max="21" man="1"/>
    <brk id="576" max="21" man="1"/>
    <brk id="618" max="21" man="1"/>
  </rowBreaks>
  <colBreaks count="2" manualBreakCount="2">
    <brk id="12" max="641" man="1"/>
    <brk id="18" max="6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D768"/>
  <sheetViews>
    <sheetView view="pageBreakPreview" zoomScale="90" zoomScaleSheetLayoutView="90" workbookViewId="0">
      <pane xSplit="6" ySplit="4" topLeftCell="G5" activePane="bottomRight" state="frozen"/>
      <selection pane="topRight" activeCell="G1" sqref="G1"/>
      <selection pane="bottomLeft" activeCell="A4" sqref="A4"/>
      <selection pane="bottomRight" activeCell="G5" sqref="G5"/>
    </sheetView>
  </sheetViews>
  <sheetFormatPr defaultColWidth="9.140625" defaultRowHeight="15.75" x14ac:dyDescent="0.25"/>
  <cols>
    <col min="1" max="1" width="40.140625" style="116" customWidth="1"/>
    <col min="2" max="2" width="6" style="116" customWidth="1"/>
    <col min="3" max="3" width="9.140625" style="116"/>
    <col min="4" max="4" width="13.7109375" style="116" customWidth="1"/>
    <col min="5" max="5" width="13.140625" style="116" customWidth="1"/>
    <col min="6" max="6" width="18.140625" style="116" customWidth="1"/>
    <col min="7" max="7" width="19" style="116" customWidth="1"/>
    <col min="8" max="8" width="17.28515625" style="116" customWidth="1"/>
    <col min="9" max="9" width="16.42578125" style="116" customWidth="1"/>
    <col min="10" max="10" width="16.5703125" style="116" customWidth="1"/>
    <col min="11" max="11" width="17.42578125" style="116" customWidth="1"/>
    <col min="12" max="12" width="17.5703125" style="116" hidden="1" customWidth="1"/>
    <col min="13" max="13" width="16.5703125" style="116" hidden="1" customWidth="1"/>
    <col min="14" max="14" width="14.7109375" style="116" hidden="1" customWidth="1"/>
    <col min="15" max="16" width="15.5703125" style="116" hidden="1" customWidth="1"/>
    <col min="17" max="17" width="16.85546875" style="116" hidden="1" customWidth="1"/>
    <col min="18" max="18" width="15.5703125" style="116" hidden="1" customWidth="1"/>
    <col min="19" max="19" width="14.5703125" style="116" hidden="1" customWidth="1"/>
    <col min="20" max="20" width="0.140625" style="116" customWidth="1"/>
    <col min="21" max="21" width="18" style="116" customWidth="1"/>
    <col min="22" max="22" width="9.140625" style="116"/>
    <col min="23" max="23" width="15.5703125" style="116" customWidth="1"/>
    <col min="24" max="24" width="9.140625" style="116"/>
    <col min="25" max="25" width="10.7109375" style="116" bestFit="1" customWidth="1"/>
    <col min="26" max="16384" width="9.140625" style="116"/>
  </cols>
  <sheetData>
    <row r="2" spans="1:24" s="109" customFormat="1" ht="15.75" hidden="1" customHeight="1" x14ac:dyDescent="0.25">
      <c r="D2" s="109">
        <v>1</v>
      </c>
      <c r="E2" s="109">
        <f>+D2+1</f>
        <v>2</v>
      </c>
      <c r="F2" s="109">
        <f t="shared" ref="F2:V2" si="0">+E2+1</f>
        <v>3</v>
      </c>
      <c r="G2" s="109">
        <f t="shared" si="0"/>
        <v>4</v>
      </c>
      <c r="H2" s="109">
        <f t="shared" si="0"/>
        <v>5</v>
      </c>
      <c r="I2" s="109">
        <f t="shared" si="0"/>
        <v>6</v>
      </c>
      <c r="J2" s="109">
        <f t="shared" si="0"/>
        <v>7</v>
      </c>
      <c r="K2" s="109">
        <f t="shared" si="0"/>
        <v>8</v>
      </c>
      <c r="L2" s="109">
        <f t="shared" si="0"/>
        <v>9</v>
      </c>
      <c r="M2" s="109">
        <f t="shared" si="0"/>
        <v>10</v>
      </c>
      <c r="N2" s="109">
        <f t="shared" si="0"/>
        <v>11</v>
      </c>
      <c r="O2" s="109">
        <f t="shared" si="0"/>
        <v>12</v>
      </c>
      <c r="P2" s="109">
        <f t="shared" si="0"/>
        <v>13</v>
      </c>
      <c r="Q2" s="109">
        <f t="shared" si="0"/>
        <v>14</v>
      </c>
      <c r="R2" s="109">
        <f t="shared" si="0"/>
        <v>15</v>
      </c>
      <c r="S2" s="109">
        <f t="shared" si="0"/>
        <v>16</v>
      </c>
      <c r="T2" s="109">
        <f t="shared" si="0"/>
        <v>17</v>
      </c>
      <c r="U2" s="109">
        <f t="shared" si="0"/>
        <v>18</v>
      </c>
      <c r="V2" s="109">
        <f t="shared" si="0"/>
        <v>19</v>
      </c>
    </row>
    <row r="3" spans="1:24" ht="55.5" customHeight="1" x14ac:dyDescent="0.25">
      <c r="A3" s="110"/>
      <c r="B3" s="110"/>
      <c r="C3" s="110"/>
      <c r="D3" s="111"/>
      <c r="E3" s="112" t="s">
        <v>204</v>
      </c>
      <c r="F3" s="113" t="s">
        <v>14</v>
      </c>
      <c r="G3" s="114" t="s">
        <v>301</v>
      </c>
      <c r="H3" s="115" t="s">
        <v>623</v>
      </c>
      <c r="I3" s="115" t="s">
        <v>625</v>
      </c>
      <c r="J3" s="115" t="s">
        <v>709</v>
      </c>
      <c r="K3" s="115" t="s">
        <v>627</v>
      </c>
      <c r="L3" s="115" t="s">
        <v>840</v>
      </c>
      <c r="M3" s="115" t="s">
        <v>840</v>
      </c>
      <c r="N3" s="115" t="s">
        <v>840</v>
      </c>
      <c r="O3" s="115" t="s">
        <v>840</v>
      </c>
      <c r="P3" s="115" t="s">
        <v>840</v>
      </c>
      <c r="Q3" s="115" t="s">
        <v>840</v>
      </c>
      <c r="R3" s="115" t="s">
        <v>840</v>
      </c>
      <c r="S3" s="115" t="s">
        <v>840</v>
      </c>
      <c r="T3" s="115" t="s">
        <v>840</v>
      </c>
      <c r="U3" s="110"/>
      <c r="V3" s="110"/>
    </row>
    <row r="4" spans="1:24" ht="16.5" thickBot="1" x14ac:dyDescent="0.3">
      <c r="A4" s="117" t="s">
        <v>19</v>
      </c>
      <c r="B4" s="117"/>
      <c r="C4" s="117" t="s">
        <v>230</v>
      </c>
      <c r="D4" s="118" t="s">
        <v>17</v>
      </c>
      <c r="E4" s="118" t="s">
        <v>18</v>
      </c>
      <c r="F4" s="119" t="s">
        <v>205</v>
      </c>
      <c r="G4" s="119" t="s">
        <v>626</v>
      </c>
      <c r="H4" s="119" t="s">
        <v>624</v>
      </c>
      <c r="I4" s="119" t="s">
        <v>622</v>
      </c>
      <c r="J4" s="120" t="s">
        <v>669</v>
      </c>
      <c r="K4" s="119" t="s">
        <v>628</v>
      </c>
      <c r="L4" s="119"/>
      <c r="M4" s="119"/>
      <c r="N4" s="119"/>
      <c r="O4" s="119"/>
      <c r="P4" s="119"/>
      <c r="Q4" s="119"/>
      <c r="R4" s="119"/>
      <c r="S4" s="119"/>
      <c r="T4" s="119"/>
      <c r="U4" s="119" t="s">
        <v>206</v>
      </c>
      <c r="V4" s="119" t="s">
        <v>21</v>
      </c>
      <c r="W4" s="119"/>
      <c r="X4" s="119"/>
    </row>
    <row r="6" spans="1:24" x14ac:dyDescent="0.25">
      <c r="A6" s="121" t="s">
        <v>16</v>
      </c>
    </row>
    <row r="8" spans="1:24" x14ac:dyDescent="0.25">
      <c r="A8" s="110" t="s">
        <v>452</v>
      </c>
    </row>
    <row r="9" spans="1:24" x14ac:dyDescent="0.25">
      <c r="A9" s="122" t="s">
        <v>207</v>
      </c>
      <c r="C9" s="116" t="s">
        <v>63</v>
      </c>
      <c r="D9" s="116" t="s">
        <v>231</v>
      </c>
      <c r="E9" s="116" t="s">
        <v>310</v>
      </c>
      <c r="F9" s="123">
        <f>VLOOKUP(C9,'WSS-33'!$C$1:$AR$730,5,)</f>
        <v>0</v>
      </c>
      <c r="G9" s="123">
        <f t="shared" ref="G9:J10" si="1">(VLOOKUP($E9,$D$6:$AI$674,G$2,)/VLOOKUP($E9,$D$6:$AI$674,3,))*$F9</f>
        <v>0</v>
      </c>
      <c r="H9" s="123">
        <f t="shared" si="1"/>
        <v>0</v>
      </c>
      <c r="I9" s="123">
        <f t="shared" si="1"/>
        <v>0</v>
      </c>
      <c r="J9" s="123">
        <f t="shared" si="1"/>
        <v>0</v>
      </c>
      <c r="K9" s="123">
        <f>(VLOOKUP($E9,$D$6:$AI$674,8,)/VLOOKUP($E9,$D$6:$AI$674,3,))*$F9</f>
        <v>0</v>
      </c>
      <c r="L9" s="123">
        <f>(VLOOKUP($E9,$D$6:$AI$674,L$2,)/VLOOKUP($E9,$D$6:$AI$674,3,))*$F9</f>
        <v>0</v>
      </c>
      <c r="M9" s="123">
        <f>(VLOOKUP($E9,$D$6:$AI$674,M$2,)/VLOOKUP($E9,$D$6:$AI$674,3,))*$F9</f>
        <v>0</v>
      </c>
      <c r="N9" s="123">
        <f>(VLOOKUP($E9,$D$6:$AI$674,11,)/VLOOKUP($E9,$D$6:$AI$674,3,))*$F9</f>
        <v>0</v>
      </c>
      <c r="O9" s="123">
        <f t="shared" ref="O9:Q10" si="2">(VLOOKUP($E9,$D$6:$AI$674,O$2,)/VLOOKUP($E9,$D$6:$AI$674,3,))*$F9</f>
        <v>0</v>
      </c>
      <c r="P9" s="123">
        <f t="shared" si="2"/>
        <v>0</v>
      </c>
      <c r="Q9" s="123">
        <f t="shared" si="2"/>
        <v>0</v>
      </c>
      <c r="R9" s="123">
        <f>(VLOOKUP($E9,$D$6:$AI$674,15,)/VLOOKUP($E9,$D$6:$AI$674,3,))*$F9</f>
        <v>0</v>
      </c>
      <c r="S9" s="123">
        <f>(VLOOKUP($E9,$D$6:$AI$674,16,)/VLOOKUP($E9,$D$6:$AI$674,3,))*$F9</f>
        <v>0</v>
      </c>
      <c r="T9" s="123">
        <f>(VLOOKUP($E9,$D$6:$AI$674,17,)/VLOOKUP($E9,$D$6:$AI$674,3,))*$F9</f>
        <v>0</v>
      </c>
      <c r="U9" s="124">
        <f>SUM(G9:M9)</f>
        <v>0</v>
      </c>
      <c r="V9" s="109" t="str">
        <f>IF(ABS(F9-U9)&lt;0.01,"ok","err")</f>
        <v>ok</v>
      </c>
    </row>
    <row r="10" spans="1:24" x14ac:dyDescent="0.25">
      <c r="A10" s="122" t="s">
        <v>226</v>
      </c>
      <c r="C10" s="116" t="s">
        <v>63</v>
      </c>
      <c r="D10" s="116" t="s">
        <v>232</v>
      </c>
      <c r="E10" s="116" t="s">
        <v>311</v>
      </c>
      <c r="F10" s="7">
        <f>VLOOKUP(C10,'WSS-33'!$C$1:$AR$730,6,)</f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>(VLOOKUP($E10,$D$6:$AI$674,8,)/VLOOKUP($E10,$D$6:$AI$674,3,))*$F10</f>
        <v>0</v>
      </c>
      <c r="L10" s="7">
        <f>(VLOOKUP($E10,$D$6:$AI$674,L$2,)/VLOOKUP($E10,$D$6:$AI$674,3,))*$F10</f>
        <v>0</v>
      </c>
      <c r="M10" s="7">
        <f>(VLOOKUP($E10,$D$6:$AI$674,M$2,)/VLOOKUP($E10,$D$6:$AI$674,3,))*$F10</f>
        <v>0</v>
      </c>
      <c r="N10" s="7">
        <f>(VLOOKUP($E10,$D$6:$AI$674,11,)/VLOOKUP($E10,$D$6:$AI$674,3,))*$F10</f>
        <v>0</v>
      </c>
      <c r="O10" s="7">
        <f t="shared" si="2"/>
        <v>0</v>
      </c>
      <c r="P10" s="7">
        <f t="shared" si="2"/>
        <v>0</v>
      </c>
      <c r="Q10" s="7">
        <f t="shared" si="2"/>
        <v>0</v>
      </c>
      <c r="R10" s="7">
        <f>(VLOOKUP($E10,$D$6:$AI$674,15,)/VLOOKUP($E10,$D$6:$AI$674,3,))*$F10</f>
        <v>0</v>
      </c>
      <c r="S10" s="7">
        <f>(VLOOKUP($E10,$D$6:$AI$674,16,)/VLOOKUP($E10,$D$6:$AI$674,3,))*$F10</f>
        <v>0</v>
      </c>
      <c r="T10" s="7">
        <f>(VLOOKUP($E10,$D$6:$AI$674,17,)/VLOOKUP($E10,$D$6:$AI$674,3,))*$F10</f>
        <v>0</v>
      </c>
      <c r="U10" s="124">
        <f>SUM(G10:M10)</f>
        <v>0</v>
      </c>
      <c r="V10" s="109" t="str">
        <f>IF(ABS(F10-U10)&lt;0.01,"ok","err")</f>
        <v>ok</v>
      </c>
    </row>
    <row r="11" spans="1:24" x14ac:dyDescent="0.25">
      <c r="A11" s="116" t="s">
        <v>654</v>
      </c>
      <c r="F11" s="123">
        <f t="shared" ref="F11:T11" si="3">F9+F10</f>
        <v>0</v>
      </c>
      <c r="G11" s="123">
        <f t="shared" si="3"/>
        <v>0</v>
      </c>
      <c r="H11" s="123">
        <f t="shared" si="3"/>
        <v>0</v>
      </c>
      <c r="I11" s="123">
        <f t="shared" si="3"/>
        <v>0</v>
      </c>
      <c r="J11" s="123">
        <f t="shared" si="3"/>
        <v>0</v>
      </c>
      <c r="K11" s="123">
        <f t="shared" si="3"/>
        <v>0</v>
      </c>
      <c r="L11" s="123">
        <f t="shared" si="3"/>
        <v>0</v>
      </c>
      <c r="M11" s="123">
        <f t="shared" si="3"/>
        <v>0</v>
      </c>
      <c r="N11" s="123">
        <f t="shared" si="3"/>
        <v>0</v>
      </c>
      <c r="O11" s="123">
        <f t="shared" si="3"/>
        <v>0</v>
      </c>
      <c r="P11" s="123">
        <f t="shared" si="3"/>
        <v>0</v>
      </c>
      <c r="Q11" s="123">
        <f t="shared" si="3"/>
        <v>0</v>
      </c>
      <c r="R11" s="123">
        <f t="shared" si="3"/>
        <v>0</v>
      </c>
      <c r="S11" s="123">
        <f t="shared" si="3"/>
        <v>0</v>
      </c>
      <c r="T11" s="123">
        <f t="shared" si="3"/>
        <v>0</v>
      </c>
      <c r="U11" s="124">
        <f>SUM(G11:M11)</f>
        <v>0</v>
      </c>
      <c r="V11" s="109" t="str">
        <f>IF(ABS(F11-U11)&lt;0.01,"ok","err")</f>
        <v>ok</v>
      </c>
    </row>
    <row r="12" spans="1:24" x14ac:dyDescent="0.25">
      <c r="F12" s="7"/>
      <c r="G12" s="7"/>
    </row>
    <row r="13" spans="1:24" x14ac:dyDescent="0.25">
      <c r="A13" s="110" t="s">
        <v>3</v>
      </c>
      <c r="F13" s="7"/>
      <c r="G13" s="7"/>
    </row>
    <row r="14" spans="1:24" x14ac:dyDescent="0.25">
      <c r="A14" s="122" t="s">
        <v>207</v>
      </c>
      <c r="C14" s="116" t="s">
        <v>63</v>
      </c>
      <c r="D14" s="116" t="s">
        <v>233</v>
      </c>
      <c r="E14" s="116" t="s">
        <v>312</v>
      </c>
      <c r="F14" s="123">
        <f>VLOOKUP(C14,'WSS-33'!$C$1:$AR$730,7,)</f>
        <v>204582333.13693964</v>
      </c>
      <c r="G14" s="123">
        <f t="shared" ref="G14:J15" si="4">(VLOOKUP($E14,$D$6:$AI$674,G$2,)/VLOOKUP($E14,$D$6:$AI$674,3,))*$F14</f>
        <v>134120133.76002847</v>
      </c>
      <c r="H14" s="123">
        <f t="shared" si="4"/>
        <v>63414769.446168557</v>
      </c>
      <c r="I14" s="123">
        <f t="shared" si="4"/>
        <v>5833275.2529667486</v>
      </c>
      <c r="J14" s="123">
        <f t="shared" si="4"/>
        <v>0</v>
      </c>
      <c r="K14" s="123">
        <f>(VLOOKUP($E14,$D$6:$AI$674,8,)/VLOOKUP($E14,$D$6:$AI$674,3,))*$F14</f>
        <v>1214154.6777758847</v>
      </c>
      <c r="L14" s="123">
        <f>(VLOOKUP($E14,$D$6:$AI$674,L$2,)/VLOOKUP($E14,$D$6:$AI$674,3,))*$F14</f>
        <v>0</v>
      </c>
      <c r="M14" s="123">
        <f>(VLOOKUP($E14,$D$6:$AI$674,M$2,)/VLOOKUP($E14,$D$6:$AI$674,3,))*$F14</f>
        <v>0</v>
      </c>
      <c r="N14" s="123">
        <f>(VLOOKUP($E14,$D$6:$AI$674,11,)/VLOOKUP($E14,$D$6:$AI$674,3,))*$F14</f>
        <v>0</v>
      </c>
      <c r="O14" s="123">
        <f t="shared" ref="O14:Q15" si="5">(VLOOKUP($E14,$D$6:$AI$674,O$2,)/VLOOKUP($E14,$D$6:$AI$674,3,))*$F14</f>
        <v>0</v>
      </c>
      <c r="P14" s="123">
        <f t="shared" si="5"/>
        <v>0</v>
      </c>
      <c r="Q14" s="123">
        <f t="shared" si="5"/>
        <v>0</v>
      </c>
      <c r="R14" s="123">
        <f>(VLOOKUP($E14,$D$6:$AI$674,15,)/VLOOKUP($E14,$D$6:$AI$674,3,))*$F14</f>
        <v>0</v>
      </c>
      <c r="S14" s="123">
        <f>(VLOOKUP($E14,$D$6:$AI$674,16,)/VLOOKUP($E14,$D$6:$AI$674,3,))*$F14</f>
        <v>0</v>
      </c>
      <c r="T14" s="123">
        <f>(VLOOKUP($E14,$D$6:$AI$674,17,)/VLOOKUP($E14,$D$6:$AI$674,3,))*$F14</f>
        <v>0</v>
      </c>
      <c r="U14" s="124">
        <f>SUM(G14:M14)</f>
        <v>204582333.13693967</v>
      </c>
      <c r="V14" s="109" t="str">
        <f>IF(ABS(F14-U14)&lt;0.01,"ok","err")</f>
        <v>ok</v>
      </c>
    </row>
    <row r="15" spans="1:24" x14ac:dyDescent="0.25">
      <c r="A15" s="116" t="s">
        <v>226</v>
      </c>
      <c r="C15" s="116" t="s">
        <v>63</v>
      </c>
      <c r="D15" s="116" t="s">
        <v>234</v>
      </c>
      <c r="E15" s="116" t="s">
        <v>313</v>
      </c>
      <c r="F15" s="7">
        <f>VLOOKUP(C15,'WSS-33'!$C$1:$AR$730,8,)</f>
        <v>0</v>
      </c>
      <c r="G15" s="7">
        <f t="shared" si="4"/>
        <v>0</v>
      </c>
      <c r="H15" s="7">
        <f t="shared" si="4"/>
        <v>0</v>
      </c>
      <c r="I15" s="7">
        <f t="shared" si="4"/>
        <v>0</v>
      </c>
      <c r="J15" s="7">
        <f t="shared" si="4"/>
        <v>0</v>
      </c>
      <c r="K15" s="7">
        <f>(VLOOKUP($E15,$D$6:$AI$674,8,)/VLOOKUP($E15,$D$6:$AI$674,3,))*$F15</f>
        <v>0</v>
      </c>
      <c r="L15" s="7">
        <f>(VLOOKUP($E15,$D$6:$AI$674,L$2,)/VLOOKUP($E15,$D$6:$AI$674,3,))*$F15</f>
        <v>0</v>
      </c>
      <c r="M15" s="7">
        <f>(VLOOKUP($E15,$D$6:$AI$674,M$2,)/VLOOKUP($E15,$D$6:$AI$674,3,))*$F15</f>
        <v>0</v>
      </c>
      <c r="N15" s="7">
        <f>(VLOOKUP($E15,$D$6:$AI$674,11,)/VLOOKUP($E15,$D$6:$AI$674,3,))*$F15</f>
        <v>0</v>
      </c>
      <c r="O15" s="7">
        <f t="shared" si="5"/>
        <v>0</v>
      </c>
      <c r="P15" s="7">
        <f t="shared" si="5"/>
        <v>0</v>
      </c>
      <c r="Q15" s="7">
        <f t="shared" si="5"/>
        <v>0</v>
      </c>
      <c r="R15" s="7">
        <f>(VLOOKUP($E15,$D$6:$AI$674,15,)/VLOOKUP($E15,$D$6:$AI$674,3,))*$F15</f>
        <v>0</v>
      </c>
      <c r="S15" s="7">
        <f>(VLOOKUP($E15,$D$6:$AI$674,16,)/VLOOKUP($E15,$D$6:$AI$674,3,))*$F15</f>
        <v>0</v>
      </c>
      <c r="T15" s="7">
        <f>(VLOOKUP($E15,$D$6:$AI$674,17,)/VLOOKUP($E15,$D$6:$AI$674,3,))*$F15</f>
        <v>0</v>
      </c>
      <c r="U15" s="124">
        <f>SUM(G15:M15)</f>
        <v>0</v>
      </c>
      <c r="V15" s="109" t="str">
        <f>IF(ABS(F15-U15)&lt;0.01,"ok","err")</f>
        <v>ok</v>
      </c>
    </row>
    <row r="16" spans="1:24" x14ac:dyDescent="0.25">
      <c r="A16" s="116" t="s">
        <v>227</v>
      </c>
      <c r="F16" s="123">
        <f>SUM(F14:F15)</f>
        <v>204582333.13693964</v>
      </c>
      <c r="G16" s="123">
        <f t="shared" ref="G16:T16" si="6">G14+G15</f>
        <v>134120133.76002847</v>
      </c>
      <c r="H16" s="123">
        <f t="shared" si="6"/>
        <v>63414769.446168557</v>
      </c>
      <c r="I16" s="123">
        <f t="shared" si="6"/>
        <v>5833275.2529667486</v>
      </c>
      <c r="J16" s="123">
        <f t="shared" si="6"/>
        <v>0</v>
      </c>
      <c r="K16" s="123">
        <f t="shared" si="6"/>
        <v>1214154.6777758847</v>
      </c>
      <c r="L16" s="123">
        <f t="shared" si="6"/>
        <v>0</v>
      </c>
      <c r="M16" s="123">
        <f t="shared" si="6"/>
        <v>0</v>
      </c>
      <c r="N16" s="123">
        <f t="shared" si="6"/>
        <v>0</v>
      </c>
      <c r="O16" s="123">
        <f t="shared" si="6"/>
        <v>0</v>
      </c>
      <c r="P16" s="123">
        <f t="shared" si="6"/>
        <v>0</v>
      </c>
      <c r="Q16" s="123">
        <f t="shared" si="6"/>
        <v>0</v>
      </c>
      <c r="R16" s="123">
        <f t="shared" si="6"/>
        <v>0</v>
      </c>
      <c r="S16" s="123">
        <f t="shared" si="6"/>
        <v>0</v>
      </c>
      <c r="T16" s="123">
        <f t="shared" si="6"/>
        <v>0</v>
      </c>
      <c r="U16" s="124">
        <f>SUM(G16:M16)</f>
        <v>204582333.13693967</v>
      </c>
      <c r="V16" s="109" t="str">
        <f>IF(ABS(F16-U16)&lt;0.01,"ok","err")</f>
        <v>ok</v>
      </c>
    </row>
    <row r="17" spans="1:23" x14ac:dyDescent="0.25">
      <c r="F17" s="7"/>
      <c r="G17" s="7"/>
    </row>
    <row r="18" spans="1:23" x14ac:dyDescent="0.25">
      <c r="A18" s="110" t="s">
        <v>4</v>
      </c>
      <c r="F18" s="7"/>
      <c r="G18" s="7"/>
    </row>
    <row r="19" spans="1:23" x14ac:dyDescent="0.25">
      <c r="A19" s="122" t="s">
        <v>854</v>
      </c>
      <c r="C19" s="116" t="s">
        <v>63</v>
      </c>
      <c r="D19" s="116" t="s">
        <v>235</v>
      </c>
      <c r="E19" s="116" t="s">
        <v>317</v>
      </c>
      <c r="F19" s="123">
        <f>VLOOKUP(C19,'WSS-33'!$C$1:$AR$730,9,)</f>
        <v>17496947.325069126</v>
      </c>
      <c r="G19" s="123">
        <f t="shared" ref="G19:J20" si="7">(VLOOKUP($E19,$D$6:$AI$674,G$2,)/VLOOKUP($E19,$D$6:$AI$674,3,))*$F19</f>
        <v>9308606.2982287463</v>
      </c>
      <c r="H19" s="123">
        <f t="shared" si="7"/>
        <v>4515378.4721471732</v>
      </c>
      <c r="I19" s="123">
        <f t="shared" si="7"/>
        <v>563625.11309088778</v>
      </c>
      <c r="J19" s="123">
        <f t="shared" si="7"/>
        <v>36169.918082399236</v>
      </c>
      <c r="K19" s="123">
        <f>(VLOOKUP($E19,$D$6:$AI$674,8,)/VLOOKUP($E19,$D$6:$AI$674,3,))*$F19</f>
        <v>3073167.5235199207</v>
      </c>
      <c r="L19" s="123">
        <f>(VLOOKUP($E19,$D$6:$AI$674,L$2,)/VLOOKUP($E19,$D$6:$AI$674,3,))*$F19</f>
        <v>0</v>
      </c>
      <c r="M19" s="123">
        <f>(VLOOKUP($E19,$D$6:$AI$674,M$2,)/VLOOKUP($E19,$D$6:$AI$674,3,))*$F19</f>
        <v>0</v>
      </c>
      <c r="N19" s="123">
        <f>(VLOOKUP($E19,$D$6:$AI$674,11,)/VLOOKUP($E19,$D$6:$AI$674,3,))*$F19</f>
        <v>0</v>
      </c>
      <c r="O19" s="123">
        <f t="shared" ref="O19:Q20" si="8">(VLOOKUP($E19,$D$6:$AI$674,O$2,)/VLOOKUP($E19,$D$6:$AI$674,3,))*$F19</f>
        <v>0</v>
      </c>
      <c r="P19" s="123">
        <f t="shared" si="8"/>
        <v>0</v>
      </c>
      <c r="Q19" s="123">
        <f t="shared" si="8"/>
        <v>0</v>
      </c>
      <c r="R19" s="123">
        <f>(VLOOKUP($E19,$D$6:$AI$674,15,)/VLOOKUP($E19,$D$6:$AI$674,3,))*$F19</f>
        <v>0</v>
      </c>
      <c r="S19" s="123">
        <f>(VLOOKUP($E19,$D$6:$AI$674,16,)/VLOOKUP($E19,$D$6:$AI$674,3,))*$F19</f>
        <v>0</v>
      </c>
      <c r="T19" s="123">
        <f>(VLOOKUP($E19,$D$6:$AI$674,17,)/VLOOKUP($E19,$D$6:$AI$674,3,))*$F19</f>
        <v>0</v>
      </c>
      <c r="U19" s="124">
        <f>SUM(G19:M19)</f>
        <v>17496947.325069126</v>
      </c>
      <c r="V19" s="109" t="str">
        <f>IF(ABS(F19-U19)&lt;0.01,"ok","err")</f>
        <v>ok</v>
      </c>
    </row>
    <row r="20" spans="1:23" x14ac:dyDescent="0.25">
      <c r="A20" s="116" t="s">
        <v>850</v>
      </c>
      <c r="C20" s="116" t="s">
        <v>63</v>
      </c>
      <c r="D20" s="116" t="s">
        <v>236</v>
      </c>
      <c r="E20" s="116" t="s">
        <v>314</v>
      </c>
      <c r="F20" s="7">
        <f>VLOOKUP(C20,'WSS-33'!$C$1:$AR$730,10,)</f>
        <v>42611016.222775288</v>
      </c>
      <c r="G20" s="7">
        <f t="shared" si="7"/>
        <v>27934939.971693274</v>
      </c>
      <c r="H20" s="7">
        <f t="shared" si="7"/>
        <v>13208216.605025783</v>
      </c>
      <c r="I20" s="7">
        <f t="shared" si="7"/>
        <v>1214971.9021422144</v>
      </c>
      <c r="J20" s="7">
        <f t="shared" si="7"/>
        <v>0</v>
      </c>
      <c r="K20" s="7">
        <f>(VLOOKUP($E20,$D$6:$AI$674,8,)/VLOOKUP($E20,$D$6:$AI$674,3,))*$F20</f>
        <v>252887.74391401806</v>
      </c>
      <c r="L20" s="7">
        <f>(VLOOKUP($E20,$D$6:$AI$674,L$2,)/VLOOKUP($E20,$D$6:$AI$674,3,))*$F20</f>
        <v>0</v>
      </c>
      <c r="M20" s="7">
        <f>(VLOOKUP($E20,$D$6:$AI$674,M$2,)/VLOOKUP($E20,$D$6:$AI$674,3,))*$F20</f>
        <v>0</v>
      </c>
      <c r="N20" s="7">
        <f>(VLOOKUP($E20,$D$6:$AI$674,11,)/VLOOKUP($E20,$D$6:$AI$674,3,))*$F20</f>
        <v>0</v>
      </c>
      <c r="O20" s="7">
        <f t="shared" si="8"/>
        <v>0</v>
      </c>
      <c r="P20" s="7">
        <f t="shared" si="8"/>
        <v>0</v>
      </c>
      <c r="Q20" s="7">
        <f t="shared" si="8"/>
        <v>0</v>
      </c>
      <c r="R20" s="7">
        <f>(VLOOKUP($E20,$D$6:$AI$674,15,)/VLOOKUP($E20,$D$6:$AI$674,3,))*$F20</f>
        <v>0</v>
      </c>
      <c r="S20" s="7">
        <f>(VLOOKUP($E20,$D$6:$AI$674,16,)/VLOOKUP($E20,$D$6:$AI$674,3,))*$F20</f>
        <v>0</v>
      </c>
      <c r="T20" s="7">
        <f>(VLOOKUP($E20,$D$6:$AI$674,17,)/VLOOKUP($E20,$D$6:$AI$674,3,))*$F20</f>
        <v>0</v>
      </c>
      <c r="U20" s="124">
        <f>SUM(G20:M20)</f>
        <v>42611016.222775288</v>
      </c>
      <c r="V20" s="109" t="str">
        <f>IF(ABS(F20-U20)&lt;0.01,"ok","err")</f>
        <v>ok</v>
      </c>
    </row>
    <row r="21" spans="1:23" x14ac:dyDescent="0.25">
      <c r="A21" s="116" t="s">
        <v>228</v>
      </c>
      <c r="F21" s="123">
        <f>SUM(F19:F20)</f>
        <v>60107963.54784441</v>
      </c>
      <c r="G21" s="123">
        <f t="shared" ref="G21:T21" si="9">G19+G20</f>
        <v>37243546.269922018</v>
      </c>
      <c r="H21" s="123">
        <f t="shared" si="9"/>
        <v>17723595.077172957</v>
      </c>
      <c r="I21" s="123">
        <f t="shared" si="9"/>
        <v>1778597.0152331023</v>
      </c>
      <c r="J21" s="123">
        <f t="shared" si="9"/>
        <v>36169.918082399236</v>
      </c>
      <c r="K21" s="123">
        <f t="shared" si="9"/>
        <v>3326055.2674339386</v>
      </c>
      <c r="L21" s="123">
        <f t="shared" si="9"/>
        <v>0</v>
      </c>
      <c r="M21" s="123">
        <f t="shared" si="9"/>
        <v>0</v>
      </c>
      <c r="N21" s="123">
        <f t="shared" si="9"/>
        <v>0</v>
      </c>
      <c r="O21" s="123">
        <f t="shared" si="9"/>
        <v>0</v>
      </c>
      <c r="P21" s="123">
        <f t="shared" si="9"/>
        <v>0</v>
      </c>
      <c r="Q21" s="123">
        <f t="shared" si="9"/>
        <v>0</v>
      </c>
      <c r="R21" s="123">
        <f t="shared" si="9"/>
        <v>0</v>
      </c>
      <c r="S21" s="123">
        <f t="shared" si="9"/>
        <v>0</v>
      </c>
      <c r="T21" s="123">
        <f t="shared" si="9"/>
        <v>0</v>
      </c>
      <c r="U21" s="124">
        <f>SUM(G21:M21)</f>
        <v>60107963.547844417</v>
      </c>
      <c r="V21" s="109" t="str">
        <f>IF(ABS(F21-U21)&lt;0.01,"ok","err")</f>
        <v>ok</v>
      </c>
    </row>
    <row r="22" spans="1:23" x14ac:dyDescent="0.25">
      <c r="F22" s="7"/>
    </row>
    <row r="23" spans="1:23" x14ac:dyDescent="0.25">
      <c r="A23" s="110" t="s">
        <v>6</v>
      </c>
      <c r="F23" s="7"/>
    </row>
    <row r="24" spans="1:23" x14ac:dyDescent="0.25">
      <c r="A24" s="116" t="s">
        <v>226</v>
      </c>
      <c r="C24" s="116" t="s">
        <v>63</v>
      </c>
      <c r="D24" s="116" t="s">
        <v>237</v>
      </c>
      <c r="E24" s="116" t="s">
        <v>316</v>
      </c>
      <c r="F24" s="123">
        <f>VLOOKUP(C24,'WSS-33'!$C$1:$AR$730,11,)</f>
        <v>0</v>
      </c>
      <c r="G24" s="123">
        <f>(VLOOKUP($E24,$D$6:$AI$674,G$2,)/VLOOKUP($E24,$D$6:$AI$674,3,))*$F24</f>
        <v>0</v>
      </c>
      <c r="H24" s="123">
        <f>(VLOOKUP($E24,$D$6:$AI$674,H$2,)/VLOOKUP($E24,$D$6:$AI$674,3,))*$F24</f>
        <v>0</v>
      </c>
      <c r="I24" s="123">
        <f>(VLOOKUP($E24,$D$6:$AI$674,I$2,)/VLOOKUP($E24,$D$6:$AI$674,3,))*$F24</f>
        <v>0</v>
      </c>
      <c r="J24" s="123">
        <f>(VLOOKUP($E24,$D$6:$AI$674,J$2,)/VLOOKUP($E24,$D$6:$AI$674,3,))*$F24</f>
        <v>0</v>
      </c>
      <c r="K24" s="123">
        <f>(VLOOKUP($E24,$D$6:$AI$674,8,)/VLOOKUP($E24,$D$6:$AI$674,3,))*$F24</f>
        <v>0</v>
      </c>
      <c r="L24" s="123">
        <f>(VLOOKUP($E24,$D$6:$AI$674,L$2,)/VLOOKUP($E24,$D$6:$AI$674,3,))*$F24</f>
        <v>0</v>
      </c>
      <c r="M24" s="123">
        <f>(VLOOKUP($E24,$D$6:$AI$674,M$2,)/VLOOKUP($E24,$D$6:$AI$674,3,))*$F24</f>
        <v>0</v>
      </c>
      <c r="N24" s="123">
        <f>(VLOOKUP($E24,$D$6:$AI$674,11,)/VLOOKUP($E24,$D$6:$AI$674,3,))*$F24</f>
        <v>0</v>
      </c>
      <c r="O24" s="123">
        <f>(VLOOKUP($E24,$D$6:$AI$674,O$2,)/VLOOKUP($E24,$D$6:$AI$674,3,))*$F24</f>
        <v>0</v>
      </c>
      <c r="P24" s="123">
        <f>(VLOOKUP($E24,$D$6:$AI$674,P$2,)/VLOOKUP($E24,$D$6:$AI$674,3,))*$F24</f>
        <v>0</v>
      </c>
      <c r="Q24" s="123">
        <f>(VLOOKUP($E24,$D$6:$AI$674,Q$2,)/VLOOKUP($E24,$D$6:$AI$674,3,))*$F24</f>
        <v>0</v>
      </c>
      <c r="R24" s="123">
        <f>(VLOOKUP($E24,$D$6:$AI$674,15,)/VLOOKUP($E24,$D$6:$AI$674,3,))*$F24</f>
        <v>0</v>
      </c>
      <c r="S24" s="123">
        <f>(VLOOKUP($E24,$D$6:$AI$674,16,)/VLOOKUP($E24,$D$6:$AI$674,3,))*$F24</f>
        <v>0</v>
      </c>
      <c r="T24" s="123">
        <f>(VLOOKUP($E24,$D$6:$AI$674,17,)/VLOOKUP($E24,$D$6:$AI$674,3,))*$F24</f>
        <v>0</v>
      </c>
      <c r="U24" s="124">
        <f>SUM(G24:M24)</f>
        <v>0</v>
      </c>
      <c r="V24" s="109" t="str">
        <f>IF(ABS(F24-U24)&lt;0.01,"ok","err")</f>
        <v>ok</v>
      </c>
    </row>
    <row r="25" spans="1:23" x14ac:dyDescent="0.25">
      <c r="A25" s="12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24">
        <f>SUM(G25:M25)</f>
        <v>0</v>
      </c>
      <c r="V25" s="109"/>
    </row>
    <row r="26" spans="1:23" x14ac:dyDescent="0.25">
      <c r="A26" s="110" t="s">
        <v>7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24">
        <f>SUM(G26:M26)</f>
        <v>0</v>
      </c>
      <c r="V26" s="109"/>
    </row>
    <row r="27" spans="1:23" x14ac:dyDescent="0.25">
      <c r="A27" s="122" t="s">
        <v>207</v>
      </c>
      <c r="C27" s="116" t="s">
        <v>63</v>
      </c>
      <c r="D27" s="116" t="s">
        <v>238</v>
      </c>
      <c r="E27" s="116" t="s">
        <v>317</v>
      </c>
      <c r="F27" s="123">
        <f>VLOOKUP(C27,'WSS-33'!$C$1:$AR$730,12,)</f>
        <v>53780038.596865162</v>
      </c>
      <c r="G27" s="123">
        <f>(VLOOKUP($E27,$D$6:$AI$674,G$2,)/VLOOKUP($E27,$D$6:$AI$674,3,))*$F27</f>
        <v>28611688.467764549</v>
      </c>
      <c r="H27" s="123">
        <f>(VLOOKUP($E27,$D$6:$AI$674,H$2,)/VLOOKUP($E27,$D$6:$AI$674,3,))*$F27</f>
        <v>13878834.061733659</v>
      </c>
      <c r="I27" s="123">
        <f>(VLOOKUP($E27,$D$6:$AI$674,I$2,)/VLOOKUP($E27,$D$6:$AI$674,3,))*$F27</f>
        <v>1732403.9315567112</v>
      </c>
      <c r="J27" s="123">
        <f>(VLOOKUP($E27,$D$6:$AI$674,J$2,)/VLOOKUP($E27,$D$6:$AI$674,3,))*$F27</f>
        <v>111174.79834495626</v>
      </c>
      <c r="K27" s="123">
        <f>(VLOOKUP($E27,$D$6:$AI$674,8,)/VLOOKUP($E27,$D$6:$AI$674,3,))*$F27</f>
        <v>9445937.3374652881</v>
      </c>
      <c r="L27" s="123">
        <f>(VLOOKUP($E27,$D$6:$AI$674,L$2,)/VLOOKUP($E27,$D$6:$AI$674,3,))*$F27</f>
        <v>0</v>
      </c>
      <c r="M27" s="123">
        <f>(VLOOKUP($E27,$D$6:$AI$674,M$2,)/VLOOKUP($E27,$D$6:$AI$674,3,))*$F27</f>
        <v>0</v>
      </c>
      <c r="N27" s="123">
        <f>(VLOOKUP($E27,$D$6:$AI$674,11,)/VLOOKUP($E27,$D$6:$AI$674,3,))*$F27</f>
        <v>0</v>
      </c>
      <c r="O27" s="123">
        <f>(VLOOKUP($E27,$D$6:$AI$674,O$2,)/VLOOKUP($E27,$D$6:$AI$674,3,))*$F27</f>
        <v>0</v>
      </c>
      <c r="P27" s="123">
        <f>(VLOOKUP($E27,$D$6:$AI$674,P$2,)/VLOOKUP($E27,$D$6:$AI$674,3,))*$F27</f>
        <v>0</v>
      </c>
      <c r="Q27" s="123">
        <f>(VLOOKUP($E27,$D$6:$AI$674,Q$2,)/VLOOKUP($E27,$D$6:$AI$674,3,))*$F27</f>
        <v>0</v>
      </c>
      <c r="R27" s="123">
        <f>(VLOOKUP($E27,$D$6:$AI$674,15,)/VLOOKUP($E27,$D$6:$AI$674,3,))*$F27</f>
        <v>0</v>
      </c>
      <c r="S27" s="123">
        <f>(VLOOKUP($E27,$D$6:$AI$674,16,)/VLOOKUP($E27,$D$6:$AI$674,3,))*$F27</f>
        <v>0</v>
      </c>
      <c r="T27" s="123">
        <f>(VLOOKUP($E27,$D$6:$AI$674,17,)/VLOOKUP($E27,$D$6:$AI$674,3,))*$F27</f>
        <v>0</v>
      </c>
      <c r="U27" s="124">
        <f>SUM(G27:M27)</f>
        <v>53780038.596865155</v>
      </c>
      <c r="V27" s="109" t="str">
        <f>IF(ABS(F27-U27)&lt;0.01,"ok","err")</f>
        <v>ok</v>
      </c>
      <c r="W27" s="124"/>
    </row>
    <row r="28" spans="1:23" x14ac:dyDescent="0.25">
      <c r="F28" s="7"/>
      <c r="U28" s="124"/>
      <c r="W28" s="124"/>
    </row>
    <row r="29" spans="1:23" x14ac:dyDescent="0.25">
      <c r="F29" s="7"/>
      <c r="U29" s="124"/>
      <c r="W29" s="124"/>
    </row>
    <row r="30" spans="1:23" x14ac:dyDescent="0.25">
      <c r="A30" s="110" t="s">
        <v>8</v>
      </c>
      <c r="F30" s="7"/>
      <c r="U30" s="124"/>
      <c r="W30" s="124"/>
    </row>
    <row r="31" spans="1:23" x14ac:dyDescent="0.25">
      <c r="A31" s="122" t="s">
        <v>676</v>
      </c>
      <c r="C31" s="116" t="s">
        <v>63</v>
      </c>
      <c r="D31" s="116" t="s">
        <v>239</v>
      </c>
      <c r="E31" s="116" t="s">
        <v>680</v>
      </c>
      <c r="F31" s="123">
        <f>VLOOKUP(C31,'WSS-33'!$C$1:$AR$730,13,)</f>
        <v>143642859.93333143</v>
      </c>
      <c r="G31" s="123">
        <f t="shared" ref="G31:J34" si="10">(VLOOKUP($E31,$D$6:$AI$674,G$2,)/VLOOKUP($E31,$D$6:$AI$674,3,))*$F31</f>
        <v>93129772.839609653</v>
      </c>
      <c r="H31" s="123">
        <f t="shared" si="10"/>
        <v>45174987.309963495</v>
      </c>
      <c r="I31" s="123">
        <f t="shared" si="10"/>
        <v>5338099.7837582808</v>
      </c>
      <c r="J31" s="123">
        <f t="shared" si="10"/>
        <v>0</v>
      </c>
      <c r="K31" s="123">
        <f>(VLOOKUP($E31,$D$6:$AI$674,8,)/VLOOKUP($E31,$D$6:$AI$674,3,))*$F31</f>
        <v>0</v>
      </c>
      <c r="L31" s="123">
        <f t="shared" ref="L31:M34" si="11">(VLOOKUP($E31,$D$6:$AI$674,L$2,)/VLOOKUP($E31,$D$6:$AI$674,3,))*$F31</f>
        <v>0</v>
      </c>
      <c r="M31" s="123">
        <f t="shared" si="11"/>
        <v>0</v>
      </c>
      <c r="N31" s="123">
        <f>(VLOOKUP($E31,$D$6:$AI$674,11,)/VLOOKUP($E31,$D$6:$AI$674,3,))*$F31</f>
        <v>0</v>
      </c>
      <c r="O31" s="123">
        <f t="shared" ref="O31:Q34" si="12">(VLOOKUP($E31,$D$6:$AI$674,O$2,)/VLOOKUP($E31,$D$6:$AI$674,3,))*$F31</f>
        <v>0</v>
      </c>
      <c r="P31" s="123">
        <f t="shared" si="12"/>
        <v>0</v>
      </c>
      <c r="Q31" s="123">
        <f t="shared" si="12"/>
        <v>0</v>
      </c>
      <c r="R31" s="123">
        <f>(VLOOKUP($E31,$D$6:$AI$674,15,)/VLOOKUP($E31,$D$6:$AI$674,3,))*$F31</f>
        <v>0</v>
      </c>
      <c r="S31" s="123">
        <f>(VLOOKUP($E31,$D$6:$AI$674,16,)/VLOOKUP($E31,$D$6:$AI$674,3,))*$F31</f>
        <v>0</v>
      </c>
      <c r="T31" s="123">
        <f>(VLOOKUP($E31,$D$6:$AI$674,17,)/VLOOKUP($E31,$D$6:$AI$674,3,))*$F31</f>
        <v>0</v>
      </c>
      <c r="U31" s="124">
        <f>SUM(G31:M31)</f>
        <v>143642859.93333143</v>
      </c>
      <c r="V31" s="109" t="str">
        <f>IF(ABS(F31-U31)&lt;0.01,"ok","err")</f>
        <v>ok</v>
      </c>
      <c r="W31" s="124"/>
    </row>
    <row r="32" spans="1:23" x14ac:dyDescent="0.25">
      <c r="A32" s="122" t="s">
        <v>675</v>
      </c>
      <c r="C32" s="116" t="s">
        <v>63</v>
      </c>
      <c r="D32" s="116" t="s">
        <v>240</v>
      </c>
      <c r="E32" s="116" t="s">
        <v>868</v>
      </c>
      <c r="F32" s="7">
        <f>VLOOKUP(C32,'WSS-33'!$C$1:$AR$730,14,)</f>
        <v>283013725.51110375</v>
      </c>
      <c r="G32" s="7">
        <f t="shared" si="10"/>
        <v>260897267.68750721</v>
      </c>
      <c r="H32" s="7">
        <f t="shared" si="10"/>
        <v>21902273.207208931</v>
      </c>
      <c r="I32" s="7">
        <f t="shared" si="10"/>
        <v>214184.61638759609</v>
      </c>
      <c r="J32" s="7">
        <f t="shared" si="10"/>
        <v>0</v>
      </c>
      <c r="K32" s="7">
        <f>(VLOOKUP($E32,$D$6:$AI$674,8,)/VLOOKUP($E32,$D$6:$AI$674,3,))*$F32</f>
        <v>0</v>
      </c>
      <c r="L32" s="7">
        <f t="shared" si="11"/>
        <v>0</v>
      </c>
      <c r="M32" s="7">
        <f t="shared" si="11"/>
        <v>0</v>
      </c>
      <c r="N32" s="7">
        <f>(VLOOKUP($E32,$D$6:$AI$674,11,)/VLOOKUP($E32,$D$6:$AI$674,3,))*$F32</f>
        <v>0</v>
      </c>
      <c r="O32" s="7">
        <f t="shared" si="12"/>
        <v>0</v>
      </c>
      <c r="P32" s="7">
        <f t="shared" si="12"/>
        <v>0</v>
      </c>
      <c r="Q32" s="7">
        <f t="shared" si="12"/>
        <v>0</v>
      </c>
      <c r="R32" s="7">
        <f>(VLOOKUP($E32,$D$6:$AI$674,15,)/VLOOKUP($E32,$D$6:$AI$674,3,))*$F32</f>
        <v>0</v>
      </c>
      <c r="S32" s="7">
        <f>(VLOOKUP($E32,$D$6:$AI$674,16,)/VLOOKUP($E32,$D$6:$AI$674,3,))*$F32</f>
        <v>0</v>
      </c>
      <c r="T32" s="7">
        <f>(VLOOKUP($E32,$D$6:$AI$674,17,)/VLOOKUP($E32,$D$6:$AI$674,3,))*$F32</f>
        <v>0</v>
      </c>
      <c r="U32" s="124">
        <f>SUM(G32:M32)</f>
        <v>283013725.51110375</v>
      </c>
      <c r="V32" s="109" t="str">
        <f>IF(ABS(F32-U32)&lt;0.01,"ok","err")</f>
        <v>ok</v>
      </c>
      <c r="W32" s="124"/>
    </row>
    <row r="33" spans="1:23" x14ac:dyDescent="0.25">
      <c r="A33" s="122" t="s">
        <v>677</v>
      </c>
      <c r="C33" s="116" t="s">
        <v>63</v>
      </c>
      <c r="D33" s="116" t="s">
        <v>239</v>
      </c>
      <c r="E33" s="116" t="s">
        <v>318</v>
      </c>
      <c r="F33" s="7">
        <f>VLOOKUP(C33,'WSS-33'!$C$1:$AR$730,15,)</f>
        <v>24550986.346147116</v>
      </c>
      <c r="G33" s="7">
        <f t="shared" si="10"/>
        <v>13061447.913375948</v>
      </c>
      <c r="H33" s="7">
        <f t="shared" si="10"/>
        <v>6335790.6472370261</v>
      </c>
      <c r="I33" s="7">
        <f t="shared" si="10"/>
        <v>790855.23884580482</v>
      </c>
      <c r="J33" s="7">
        <f t="shared" si="10"/>
        <v>50752.119697470429</v>
      </c>
      <c r="K33" s="7">
        <f>(VLOOKUP($E33,$D$6:$AI$674,8,)/VLOOKUP($E33,$D$6:$AI$674,3,))*$F33</f>
        <v>4312140.4269908685</v>
      </c>
      <c r="L33" s="7">
        <f t="shared" si="11"/>
        <v>0</v>
      </c>
      <c r="M33" s="7">
        <f t="shared" si="11"/>
        <v>0</v>
      </c>
      <c r="N33" s="7">
        <f>(VLOOKUP($E33,$D$6:$AI$674,11,)/VLOOKUP($E33,$D$6:$AI$674,3,))*$F33</f>
        <v>0</v>
      </c>
      <c r="O33" s="7">
        <f t="shared" si="12"/>
        <v>0</v>
      </c>
      <c r="P33" s="7">
        <f t="shared" si="12"/>
        <v>0</v>
      </c>
      <c r="Q33" s="7">
        <f t="shared" si="12"/>
        <v>0</v>
      </c>
      <c r="R33" s="7"/>
      <c r="S33" s="7"/>
      <c r="T33" s="7"/>
      <c r="U33" s="124"/>
      <c r="V33" s="109"/>
      <c r="W33" s="124"/>
    </row>
    <row r="34" spans="1:23" x14ac:dyDescent="0.25">
      <c r="A34" s="122" t="s">
        <v>674</v>
      </c>
      <c r="C34" s="116" t="s">
        <v>63</v>
      </c>
      <c r="D34" s="116" t="s">
        <v>240</v>
      </c>
      <c r="E34" s="116" t="s">
        <v>867</v>
      </c>
      <c r="F34" s="7">
        <f>VLOOKUP(C34,'WSS-33'!$C$1:$AR$730,16,)</f>
        <v>20836003.409323853</v>
      </c>
      <c r="G34" s="7">
        <f t="shared" si="10"/>
        <v>19202478.937974665</v>
      </c>
      <c r="H34" s="7">
        <f t="shared" si="10"/>
        <v>1612044.2489989912</v>
      </c>
      <c r="I34" s="7">
        <f t="shared" si="10"/>
        <v>16213.912086785151</v>
      </c>
      <c r="J34" s="7">
        <f t="shared" si="10"/>
        <v>321.11647947624459</v>
      </c>
      <c r="K34" s="7">
        <f>(VLOOKUP($E34,$D$6:$AI$674,8,)/VLOOKUP($E34,$D$6:$AI$674,3,))*$F34</f>
        <v>4945.1937839341672</v>
      </c>
      <c r="L34" s="7">
        <f t="shared" si="11"/>
        <v>0</v>
      </c>
      <c r="M34" s="7">
        <f t="shared" si="11"/>
        <v>0</v>
      </c>
      <c r="N34" s="7">
        <f>(VLOOKUP($E34,$D$6:$AI$674,11,)/VLOOKUP($E34,$D$6:$AI$674,3,))*$F34</f>
        <v>0</v>
      </c>
      <c r="O34" s="7">
        <f t="shared" si="12"/>
        <v>0</v>
      </c>
      <c r="P34" s="7">
        <f t="shared" si="12"/>
        <v>0</v>
      </c>
      <c r="Q34" s="7">
        <f t="shared" si="12"/>
        <v>0</v>
      </c>
      <c r="R34" s="7"/>
      <c r="S34" s="7"/>
      <c r="T34" s="7"/>
      <c r="U34" s="124"/>
      <c r="V34" s="109"/>
      <c r="W34" s="124"/>
    </row>
    <row r="35" spans="1:23" x14ac:dyDescent="0.25">
      <c r="A35" s="116" t="s">
        <v>229</v>
      </c>
      <c r="D35" s="116" t="s">
        <v>762</v>
      </c>
      <c r="F35" s="123">
        <f>SUM(F31:F34)</f>
        <v>472043575.19990617</v>
      </c>
      <c r="G35" s="123">
        <f t="shared" ref="G35:Q35" si="13">SUM(G31:G34)</f>
        <v>386290967.37846756</v>
      </c>
      <c r="H35" s="123">
        <f t="shared" si="13"/>
        <v>75025095.413408443</v>
      </c>
      <c r="I35" s="123">
        <f t="shared" si="13"/>
        <v>6359353.5510784667</v>
      </c>
      <c r="J35" s="123">
        <f t="shared" si="13"/>
        <v>51073.236176946673</v>
      </c>
      <c r="K35" s="123">
        <f t="shared" si="13"/>
        <v>4317085.6207748028</v>
      </c>
      <c r="L35" s="123">
        <f t="shared" si="13"/>
        <v>0</v>
      </c>
      <c r="M35" s="123">
        <f t="shared" si="13"/>
        <v>0</v>
      </c>
      <c r="N35" s="123">
        <f t="shared" si="13"/>
        <v>0</v>
      </c>
      <c r="O35" s="123">
        <f t="shared" si="13"/>
        <v>0</v>
      </c>
      <c r="P35" s="123">
        <f t="shared" si="13"/>
        <v>0</v>
      </c>
      <c r="Q35" s="123">
        <f t="shared" si="13"/>
        <v>0</v>
      </c>
      <c r="R35" s="123">
        <f>R31+R32</f>
        <v>0</v>
      </c>
      <c r="S35" s="123">
        <f>S31+S32</f>
        <v>0</v>
      </c>
      <c r="T35" s="123">
        <f>T31+T32</f>
        <v>0</v>
      </c>
      <c r="U35" s="124">
        <f>SUM(G35:M35)</f>
        <v>472043575.19990623</v>
      </c>
      <c r="V35" s="109" t="str">
        <f>IF(ABS(F35-U35)&lt;0.01,"ok","err")</f>
        <v>ok</v>
      </c>
      <c r="W35" s="124"/>
    </row>
    <row r="36" spans="1:23" x14ac:dyDescent="0.25">
      <c r="F36" s="7"/>
      <c r="U36" s="124"/>
      <c r="W36" s="124"/>
    </row>
    <row r="37" spans="1:23" x14ac:dyDescent="0.25">
      <c r="A37" s="110" t="s">
        <v>10</v>
      </c>
      <c r="F37" s="7"/>
      <c r="U37" s="124"/>
      <c r="W37" s="124"/>
    </row>
    <row r="38" spans="1:23" x14ac:dyDescent="0.25">
      <c r="A38" s="122" t="s">
        <v>208</v>
      </c>
      <c r="C38" s="116" t="s">
        <v>63</v>
      </c>
      <c r="D38" s="116" t="s">
        <v>234</v>
      </c>
      <c r="E38" s="116" t="s">
        <v>319</v>
      </c>
      <c r="F38" s="123">
        <f>VLOOKUP(C38,'WSS-33'!$C$1:$AR$730,17,)</f>
        <v>422091786.92282164</v>
      </c>
      <c r="G38" s="123">
        <f>(VLOOKUP($E38,$D$6:$AI$674,G$2,)/VLOOKUP($E38,$D$6:$AI$674,3,))*$F38</f>
        <v>312316753.93664169</v>
      </c>
      <c r="H38" s="123">
        <f>(VLOOKUP($E38,$D$6:$AI$674,H$2,)/VLOOKUP($E38,$D$6:$AI$674,3,))*$F38</f>
        <v>106895961.92228366</v>
      </c>
      <c r="I38" s="123">
        <f>(VLOOKUP($E38,$D$6:$AI$674,I$2,)/VLOOKUP($E38,$D$6:$AI$674,3,))*$F38</f>
        <v>2173208.6549464976</v>
      </c>
      <c r="J38" s="123">
        <f>(VLOOKUP($E38,$D$6:$AI$674,J$2,)/VLOOKUP($E38,$D$6:$AI$674,3,))*$F38</f>
        <v>43040.390789616802</v>
      </c>
      <c r="K38" s="123">
        <f>(VLOOKUP($E38,$D$6:$AI$674,8,)/VLOOKUP($E38,$D$6:$AI$674,3,))*$F38</f>
        <v>662822.01816009881</v>
      </c>
      <c r="L38" s="123">
        <f>(VLOOKUP($E38,$D$6:$AI$674,L$2,)/VLOOKUP($E38,$D$6:$AI$674,3,))*$F38</f>
        <v>0</v>
      </c>
      <c r="M38" s="123">
        <f>(VLOOKUP($E38,$D$6:$AI$674,M$2,)/VLOOKUP($E38,$D$6:$AI$674,3,))*$F38</f>
        <v>0</v>
      </c>
      <c r="N38" s="123">
        <f>(VLOOKUP($E38,$D$6:$AI$674,11,)/VLOOKUP($E38,$D$6:$AI$674,3,))*$F38</f>
        <v>0</v>
      </c>
      <c r="O38" s="123">
        <f>(VLOOKUP($E38,$D$6:$AI$674,O$2,)/VLOOKUP($E38,$D$6:$AI$674,3,))*$F38</f>
        <v>0</v>
      </c>
      <c r="P38" s="123">
        <f>(VLOOKUP($E38,$D$6:$AI$674,P$2,)/VLOOKUP($E38,$D$6:$AI$674,3,))*$F38</f>
        <v>0</v>
      </c>
      <c r="Q38" s="123">
        <f>(VLOOKUP($E38,$D$6:$AI$674,Q$2,)/VLOOKUP($E38,$D$6:$AI$674,3,))*$F38</f>
        <v>0</v>
      </c>
      <c r="R38" s="123">
        <f>(VLOOKUP($E38,$D$6:$AI$674,15,)/VLOOKUP($E38,$D$6:$AI$674,3,))*$F38</f>
        <v>0</v>
      </c>
      <c r="S38" s="123">
        <f>(VLOOKUP($E38,$D$6:$AI$674,16,)/VLOOKUP($E38,$D$6:$AI$674,3,))*$F38</f>
        <v>0</v>
      </c>
      <c r="T38" s="123">
        <f>(VLOOKUP($E38,$D$6:$AI$674,17,)/VLOOKUP($E38,$D$6:$AI$674,3,))*$F38</f>
        <v>0</v>
      </c>
      <c r="U38" s="124">
        <f>SUM(G38:M38)</f>
        <v>422091786.92282158</v>
      </c>
      <c r="V38" s="109" t="str">
        <f>IF(ABS(F38-U38)&lt;0.01,"ok","err")</f>
        <v>ok</v>
      </c>
      <c r="W38" s="124"/>
    </row>
    <row r="39" spans="1:23" x14ac:dyDescent="0.25">
      <c r="F39" s="7"/>
      <c r="U39" s="124"/>
    </row>
    <row r="40" spans="1:23" x14ac:dyDescent="0.25">
      <c r="A40" s="110" t="s">
        <v>11</v>
      </c>
      <c r="F40" s="7"/>
      <c r="U40" s="124"/>
    </row>
    <row r="41" spans="1:23" x14ac:dyDescent="0.25">
      <c r="A41" s="122" t="s">
        <v>208</v>
      </c>
      <c r="C41" s="116" t="s">
        <v>63</v>
      </c>
      <c r="D41" s="116" t="s">
        <v>241</v>
      </c>
      <c r="E41" s="116" t="s">
        <v>320</v>
      </c>
      <c r="F41" s="123">
        <f>VLOOKUP(C41,'WSS-33'!$C$1:$AR$730,18,)</f>
        <v>101951260.25335179</v>
      </c>
      <c r="G41" s="123">
        <f>(VLOOKUP($E41,$D$6:$AI$674,G$2,)/VLOOKUP($E41,$D$6:$AI$674,3,))*$F41</f>
        <v>67288098.927318677</v>
      </c>
      <c r="H41" s="123">
        <f>(VLOOKUP($E41,$D$6:$AI$674,H$2,)/VLOOKUP($E41,$D$6:$AI$674,3,))*$F41</f>
        <v>29510499.976650622</v>
      </c>
      <c r="I41" s="123">
        <f>(VLOOKUP($E41,$D$6:$AI$674,I$2,)/VLOOKUP($E41,$D$6:$AI$674,3,))*$F41</f>
        <v>2226927.185710731</v>
      </c>
      <c r="J41" s="123">
        <f>(VLOOKUP($E41,$D$6:$AI$674,J$2,)/VLOOKUP($E41,$D$6:$AI$674,3,))*$F41</f>
        <v>12158.551521623533</v>
      </c>
      <c r="K41" s="123">
        <f>(VLOOKUP($E41,$D$6:$AI$674,8,)/VLOOKUP($E41,$D$6:$AI$674,3,))*$F41</f>
        <v>2913575.6121501196</v>
      </c>
      <c r="L41" s="123">
        <f>(VLOOKUP($E41,$D$6:$AI$674,L$2,)/VLOOKUP($E41,$D$6:$AI$674,3,))*$F41</f>
        <v>0</v>
      </c>
      <c r="M41" s="123">
        <f>(VLOOKUP($E41,$D$6:$AI$674,M$2,)/VLOOKUP($E41,$D$6:$AI$674,3,))*$F41</f>
        <v>0</v>
      </c>
      <c r="N41" s="123">
        <f>(VLOOKUP($E41,$D$6:$AI$674,11,)/VLOOKUP($E41,$D$6:$AI$674,3,))*$F41</f>
        <v>0</v>
      </c>
      <c r="O41" s="123">
        <f>(VLOOKUP($E41,$D$6:$AI$674,O$2,)/VLOOKUP($E41,$D$6:$AI$674,3,))*$F41</f>
        <v>0</v>
      </c>
      <c r="P41" s="123">
        <f>(VLOOKUP($E41,$D$6:$AI$674,P$2,)/VLOOKUP($E41,$D$6:$AI$674,3,))*$F41</f>
        <v>0</v>
      </c>
      <c r="Q41" s="123">
        <f>(VLOOKUP($E41,$D$6:$AI$674,Q$2,)/VLOOKUP($E41,$D$6:$AI$674,3,))*$F41</f>
        <v>0</v>
      </c>
      <c r="R41" s="123">
        <f>(VLOOKUP($E41,$D$6:$AI$674,15,)/VLOOKUP($E41,$D$6:$AI$674,3,))*$F41</f>
        <v>0</v>
      </c>
      <c r="S41" s="123">
        <f>(VLOOKUP($E41,$D$6:$AI$674,16,)/VLOOKUP($E41,$D$6:$AI$674,3,))*$F41</f>
        <v>0</v>
      </c>
      <c r="T41" s="123">
        <f>(VLOOKUP($E41,$D$6:$AI$674,17,)/VLOOKUP($E41,$D$6:$AI$674,3,))*$F41</f>
        <v>0</v>
      </c>
      <c r="U41" s="124">
        <f>SUM(G41:M41)</f>
        <v>101951260.25335178</v>
      </c>
      <c r="V41" s="109" t="str">
        <f>IF(ABS(F41-U41)&lt;0.01,"ok","err")</f>
        <v>ok</v>
      </c>
    </row>
    <row r="42" spans="1:23" x14ac:dyDescent="0.25">
      <c r="F42" s="7"/>
      <c r="U42" s="124"/>
    </row>
    <row r="43" spans="1:23" x14ac:dyDescent="0.25">
      <c r="A43" s="110" t="s">
        <v>12</v>
      </c>
      <c r="F43" s="7"/>
      <c r="U43" s="124"/>
    </row>
    <row r="44" spans="1:23" x14ac:dyDescent="0.25">
      <c r="A44" s="122" t="s">
        <v>208</v>
      </c>
      <c r="C44" s="116" t="s">
        <v>63</v>
      </c>
      <c r="D44" s="116" t="s">
        <v>242</v>
      </c>
      <c r="E44" s="116" t="s">
        <v>869</v>
      </c>
      <c r="F44" s="123">
        <f>VLOOKUP(C44,'WSS-33'!$C$1:$AR$730,19,)</f>
        <v>0</v>
      </c>
      <c r="G44" s="123">
        <f>(VLOOKUP($E44,$D$6:$AI$674,G$2,)/VLOOKUP($E44,$D$6:$AI$674,3,))*$F44</f>
        <v>0</v>
      </c>
      <c r="H44" s="123">
        <f>(VLOOKUP($E44,$D$6:$AI$674,H$2,)/VLOOKUP($E44,$D$6:$AI$674,3,))*$F44</f>
        <v>0</v>
      </c>
      <c r="I44" s="123">
        <f>(VLOOKUP($E44,$D$6:$AI$674,I$2,)/VLOOKUP($E44,$D$6:$AI$674,3,))*$F44</f>
        <v>0</v>
      </c>
      <c r="J44" s="123">
        <f>(VLOOKUP($E44,$D$6:$AI$674,J$2,)/VLOOKUP($E44,$D$6:$AI$674,3,))*$F44</f>
        <v>0</v>
      </c>
      <c r="K44" s="123">
        <f>(VLOOKUP($E44,$D$6:$AI$674,8,)/VLOOKUP($E44,$D$6:$AI$674,3,))*$F44</f>
        <v>0</v>
      </c>
      <c r="L44" s="123">
        <f>(VLOOKUP($E44,$D$6:$AI$674,L$2,)/VLOOKUP($E44,$D$6:$AI$674,3,))*$F44</f>
        <v>0</v>
      </c>
      <c r="M44" s="123">
        <f>(VLOOKUP($E44,$D$6:$AI$674,M$2,)/VLOOKUP($E44,$D$6:$AI$674,3,))*$F44</f>
        <v>0</v>
      </c>
      <c r="N44" s="123">
        <f>(VLOOKUP($E44,$D$6:$AI$674,11,)/VLOOKUP($E44,$D$6:$AI$674,3,))*$F44</f>
        <v>0</v>
      </c>
      <c r="O44" s="123">
        <f>(VLOOKUP($E44,$D$6:$AI$674,O$2,)/VLOOKUP($E44,$D$6:$AI$674,3,))*$F44</f>
        <v>0</v>
      </c>
      <c r="P44" s="123">
        <f>(VLOOKUP($E44,$D$6:$AI$674,P$2,)/VLOOKUP($E44,$D$6:$AI$674,3,))*$F44</f>
        <v>0</v>
      </c>
      <c r="Q44" s="123">
        <f>(VLOOKUP($E44,$D$6:$AI$674,Q$2,)/VLOOKUP($E44,$D$6:$AI$674,3,))*$F44</f>
        <v>0</v>
      </c>
      <c r="R44" s="123">
        <f>(VLOOKUP($E44,$D$6:$AI$674,15,)/VLOOKUP($E44,$D$6:$AI$674,3,))*$F44</f>
        <v>0</v>
      </c>
      <c r="S44" s="123">
        <f>(VLOOKUP($E44,$D$6:$AI$674,16,)/VLOOKUP($E44,$D$6:$AI$674,3,))*$F44</f>
        <v>0</v>
      </c>
      <c r="T44" s="123">
        <f>(VLOOKUP($E44,$D$6:$AI$674,17,)/VLOOKUP($E44,$D$6:$AI$674,3,))*$F44</f>
        <v>0</v>
      </c>
      <c r="U44" s="124">
        <f>SUM(G44:M44)</f>
        <v>0</v>
      </c>
      <c r="V44" s="109" t="str">
        <f>IF(ABS(F44-U44)&lt;0.01,"ok","err")</f>
        <v>ok</v>
      </c>
    </row>
    <row r="45" spans="1:23" x14ac:dyDescent="0.25">
      <c r="F45" s="7"/>
      <c r="U45" s="124"/>
    </row>
    <row r="46" spans="1:23" x14ac:dyDescent="0.25">
      <c r="A46" s="110" t="s">
        <v>13</v>
      </c>
      <c r="F46" s="7"/>
      <c r="U46" s="124"/>
    </row>
    <row r="47" spans="1:23" x14ac:dyDescent="0.25">
      <c r="A47" s="122" t="s">
        <v>208</v>
      </c>
      <c r="C47" s="116" t="s">
        <v>63</v>
      </c>
      <c r="D47" s="116" t="s">
        <v>243</v>
      </c>
      <c r="E47" s="116" t="s">
        <v>870</v>
      </c>
      <c r="F47" s="123">
        <f>VLOOKUP(C47,'WSS-33'!$C$1:$AR$730,20,)</f>
        <v>0</v>
      </c>
      <c r="G47" s="123">
        <f>(VLOOKUP($E47,$D$6:$AI$674,G$2,)/VLOOKUP($E47,$D$6:$AI$674,3,))*$F47</f>
        <v>0</v>
      </c>
      <c r="H47" s="123">
        <f>(VLOOKUP($E47,$D$6:$AI$674,H$2,)/VLOOKUP($E47,$D$6:$AI$674,3,))*$F47</f>
        <v>0</v>
      </c>
      <c r="I47" s="123">
        <f>(VLOOKUP($E47,$D$6:$AI$674,I$2,)/VLOOKUP($E47,$D$6:$AI$674,3,))*$F47</f>
        <v>0</v>
      </c>
      <c r="J47" s="123">
        <f>(VLOOKUP($E47,$D$6:$AI$674,J$2,)/VLOOKUP($E47,$D$6:$AI$674,3,))*$F47</f>
        <v>0</v>
      </c>
      <c r="K47" s="123">
        <f>(VLOOKUP($E47,$D$6:$AI$674,8,)/VLOOKUP($E47,$D$6:$AI$674,3,))*$F47</f>
        <v>0</v>
      </c>
      <c r="L47" s="123">
        <f>(VLOOKUP($E47,$D$6:$AI$674,L$2,)/VLOOKUP($E47,$D$6:$AI$674,3,))*$F47</f>
        <v>0</v>
      </c>
      <c r="M47" s="123">
        <f>(VLOOKUP($E47,$D$6:$AI$674,M$2,)/VLOOKUP($E47,$D$6:$AI$674,3,))*$F47</f>
        <v>0</v>
      </c>
      <c r="N47" s="123">
        <f>(VLOOKUP($E47,$D$6:$AI$674,11,)/VLOOKUP($E47,$D$6:$AI$674,3,))*$F47</f>
        <v>0</v>
      </c>
      <c r="O47" s="123">
        <f>(VLOOKUP($E47,$D$6:$AI$674,O$2,)/VLOOKUP($E47,$D$6:$AI$674,3,))*$F47</f>
        <v>0</v>
      </c>
      <c r="P47" s="123">
        <f>(VLOOKUP($E47,$D$6:$AI$674,P$2,)/VLOOKUP($E47,$D$6:$AI$674,3,))*$F47</f>
        <v>0</v>
      </c>
      <c r="Q47" s="123">
        <f>(VLOOKUP($E47,$D$6:$AI$674,Q$2,)/VLOOKUP($E47,$D$6:$AI$674,3,))*$F47</f>
        <v>0</v>
      </c>
      <c r="R47" s="123">
        <f>(VLOOKUP($E47,$D$6:$AI$674,15,)/VLOOKUP($E47,$D$6:$AI$674,3,))*$F47</f>
        <v>0</v>
      </c>
      <c r="S47" s="123">
        <f>(VLOOKUP($E47,$D$6:$AI$674,16,)/VLOOKUP($E47,$D$6:$AI$674,3,))*$F47</f>
        <v>0</v>
      </c>
      <c r="T47" s="123">
        <f>(VLOOKUP($E47,$D$6:$AI$674,17,)/VLOOKUP($E47,$D$6:$AI$674,3,))*$F47</f>
        <v>0</v>
      </c>
      <c r="U47" s="124">
        <f>SUM(G47:M47)</f>
        <v>0</v>
      </c>
      <c r="V47" s="109" t="str">
        <f>IF(ABS(F47-U47)&lt;0.01,"ok","err")</f>
        <v>ok</v>
      </c>
    </row>
    <row r="48" spans="1:23" x14ac:dyDescent="0.25">
      <c r="F48" s="7"/>
      <c r="U48" s="124"/>
    </row>
    <row r="49" spans="1:24" x14ac:dyDescent="0.25">
      <c r="A49" s="116" t="s">
        <v>14</v>
      </c>
      <c r="D49" s="116" t="s">
        <v>209</v>
      </c>
      <c r="F49" s="123">
        <f t="shared" ref="F49:T49" si="14">F11+F16+F21+F24+F27+F35+F38+F41+F44+F47</f>
        <v>1314556957.6577287</v>
      </c>
      <c r="G49" s="123">
        <f t="shared" si="14"/>
        <v>965871188.74014294</v>
      </c>
      <c r="H49" s="123">
        <f t="shared" si="14"/>
        <v>306448755.89741784</v>
      </c>
      <c r="I49" s="123">
        <f t="shared" si="14"/>
        <v>20103765.591492258</v>
      </c>
      <c r="J49" s="123">
        <f t="shared" si="14"/>
        <v>253616.89491554248</v>
      </c>
      <c r="K49" s="123">
        <f t="shared" si="14"/>
        <v>21879630.53376013</v>
      </c>
      <c r="L49" s="123">
        <f t="shared" si="14"/>
        <v>0</v>
      </c>
      <c r="M49" s="123">
        <f t="shared" si="14"/>
        <v>0</v>
      </c>
      <c r="N49" s="123">
        <f t="shared" si="14"/>
        <v>0</v>
      </c>
      <c r="O49" s="123">
        <f t="shared" si="14"/>
        <v>0</v>
      </c>
      <c r="P49" s="123">
        <f t="shared" si="14"/>
        <v>0</v>
      </c>
      <c r="Q49" s="123">
        <f t="shared" si="14"/>
        <v>0</v>
      </c>
      <c r="R49" s="123">
        <f t="shared" si="14"/>
        <v>0</v>
      </c>
      <c r="S49" s="123">
        <f t="shared" si="14"/>
        <v>0</v>
      </c>
      <c r="T49" s="123">
        <f t="shared" si="14"/>
        <v>0</v>
      </c>
      <c r="U49" s="124">
        <f>SUM(G49:M49)</f>
        <v>1314556957.6577287</v>
      </c>
      <c r="V49" s="109" t="str">
        <f>IF(ABS(F49-U49)&lt;0.01,"ok","err")</f>
        <v>ok</v>
      </c>
      <c r="W49" s="124"/>
      <c r="X49" s="109"/>
    </row>
    <row r="50" spans="1:24" x14ac:dyDescent="0.25">
      <c r="U50" s="124"/>
    </row>
    <row r="51" spans="1:24" x14ac:dyDescent="0.25">
      <c r="U51" s="124"/>
    </row>
    <row r="52" spans="1:24" x14ac:dyDescent="0.25">
      <c r="U52" s="124"/>
    </row>
    <row r="53" spans="1:24" x14ac:dyDescent="0.25">
      <c r="U53" s="124"/>
    </row>
    <row r="54" spans="1:24" x14ac:dyDescent="0.25">
      <c r="A54" s="121" t="s">
        <v>245</v>
      </c>
      <c r="U54" s="124"/>
    </row>
    <row r="55" spans="1:24" x14ac:dyDescent="0.25">
      <c r="U55" s="124"/>
    </row>
    <row r="56" spans="1:24" x14ac:dyDescent="0.25">
      <c r="A56" s="110" t="s">
        <v>452</v>
      </c>
      <c r="U56" s="124"/>
    </row>
    <row r="57" spans="1:24" x14ac:dyDescent="0.25">
      <c r="A57" s="122" t="s">
        <v>207</v>
      </c>
      <c r="C57" s="116" t="s">
        <v>92</v>
      </c>
      <c r="D57" s="116" t="s">
        <v>256</v>
      </c>
      <c r="E57" s="116" t="s">
        <v>310</v>
      </c>
      <c r="F57" s="123">
        <f>VLOOKUP(C57,'WSS-33'!$C$1:$AR$730,5,)</f>
        <v>29027.824883064925</v>
      </c>
      <c r="G57" s="123">
        <f t="shared" ref="G57:J58" si="15">(VLOOKUP($E57,$D$6:$AI$674,G$2,)/VLOOKUP($E57,$D$6:$AI$674,3,))*$F57</f>
        <v>18733.549544437523</v>
      </c>
      <c r="H57" s="123">
        <f t="shared" si="15"/>
        <v>9087.1891677222811</v>
      </c>
      <c r="I57" s="123">
        <f t="shared" si="15"/>
        <v>1134.2942909280061</v>
      </c>
      <c r="J57" s="123">
        <f t="shared" si="15"/>
        <v>72.791879977113823</v>
      </c>
      <c r="K57" s="123">
        <f>(VLOOKUP($E57,$D$6:$AI$674,8,)/VLOOKUP($E57,$D$6:$AI$674,3,))*$F57</f>
        <v>0</v>
      </c>
      <c r="L57" s="123">
        <f>(VLOOKUP($E57,$D$6:$AI$674,L$2,)/VLOOKUP($E57,$D$6:$AI$674,3,))*$F57</f>
        <v>0</v>
      </c>
      <c r="M57" s="123">
        <f>(VLOOKUP($E57,$D$6:$AI$674,M$2,)/VLOOKUP($E57,$D$6:$AI$674,3,))*$F57</f>
        <v>0</v>
      </c>
      <c r="N57" s="123">
        <f>(VLOOKUP($E57,$D$6:$AI$674,11,)/VLOOKUP($E57,$D$6:$AI$674,3,))*$F57</f>
        <v>0</v>
      </c>
      <c r="O57" s="123">
        <f t="shared" ref="O57:Q58" si="16">(VLOOKUP($E57,$D$6:$AI$674,O$2,)/VLOOKUP($E57,$D$6:$AI$674,3,))*$F57</f>
        <v>0</v>
      </c>
      <c r="P57" s="123">
        <f t="shared" si="16"/>
        <v>0</v>
      </c>
      <c r="Q57" s="123">
        <f t="shared" si="16"/>
        <v>0</v>
      </c>
      <c r="R57" s="123">
        <f>(VLOOKUP($E57,$D$6:$AI$674,15,)/VLOOKUP($E57,$D$6:$AI$674,3,))*$F57</f>
        <v>0</v>
      </c>
      <c r="S57" s="123">
        <f>(VLOOKUP($E57,$D$6:$AI$674,16,)/VLOOKUP($E57,$D$6:$AI$674,3,))*$F57</f>
        <v>0</v>
      </c>
      <c r="T57" s="123">
        <f>(VLOOKUP($E57,$D$6:$AI$674,17,)/VLOOKUP($E57,$D$6:$AI$674,3,))*$F57</f>
        <v>0</v>
      </c>
      <c r="U57" s="124">
        <f>SUM(G57:M57)</f>
        <v>29027.824883064925</v>
      </c>
      <c r="V57" s="109" t="str">
        <f>IF(ABS(F57-U57)&lt;0.01,"ok","err")</f>
        <v>ok</v>
      </c>
    </row>
    <row r="58" spans="1:24" x14ac:dyDescent="0.25">
      <c r="A58" s="122" t="s">
        <v>226</v>
      </c>
      <c r="C58" s="116" t="s">
        <v>92</v>
      </c>
      <c r="D58" s="116" t="s">
        <v>246</v>
      </c>
      <c r="E58" s="116" t="s">
        <v>311</v>
      </c>
      <c r="F58" s="7">
        <f>VLOOKUP(C58,'WSS-33'!$C$1:$AR$730,6,)</f>
        <v>218227.92369500091</v>
      </c>
      <c r="G58" s="7">
        <f t="shared" si="15"/>
        <v>134842.69372897773</v>
      </c>
      <c r="H58" s="7">
        <f t="shared" si="15"/>
        <v>69377.271698094002</v>
      </c>
      <c r="I58" s="7">
        <f t="shared" si="15"/>
        <v>12502.992470514231</v>
      </c>
      <c r="J58" s="7">
        <f t="shared" si="15"/>
        <v>1504.9657974149266</v>
      </c>
      <c r="K58" s="7">
        <f>(VLOOKUP($E58,$D$6:$AI$674,8,)/VLOOKUP($E58,$D$6:$AI$674,3,))*$F58</f>
        <v>0</v>
      </c>
      <c r="L58" s="7">
        <f>(VLOOKUP($E58,$D$6:$AI$674,L$2,)/VLOOKUP($E58,$D$6:$AI$674,3,))*$F58</f>
        <v>0</v>
      </c>
      <c r="M58" s="7">
        <f>(VLOOKUP($E58,$D$6:$AI$674,M$2,)/VLOOKUP($E58,$D$6:$AI$674,3,))*$F58</f>
        <v>0</v>
      </c>
      <c r="N58" s="7">
        <f>(VLOOKUP($E58,$D$6:$AI$674,11,)/VLOOKUP($E58,$D$6:$AI$674,3,))*$F58</f>
        <v>0</v>
      </c>
      <c r="O58" s="7">
        <f t="shared" si="16"/>
        <v>0</v>
      </c>
      <c r="P58" s="7">
        <f t="shared" si="16"/>
        <v>0</v>
      </c>
      <c r="Q58" s="7">
        <f t="shared" si="16"/>
        <v>0</v>
      </c>
      <c r="R58" s="7">
        <f>(VLOOKUP($E58,$D$6:$AI$674,15,)/VLOOKUP($E58,$D$6:$AI$674,3,))*$F58</f>
        <v>0</v>
      </c>
      <c r="S58" s="7">
        <f>(VLOOKUP($E58,$D$6:$AI$674,16,)/VLOOKUP($E58,$D$6:$AI$674,3,))*$F58</f>
        <v>0</v>
      </c>
      <c r="T58" s="7">
        <f>(VLOOKUP($E58,$D$6:$AI$674,17,)/VLOOKUP($E58,$D$6:$AI$674,3,))*$F58</f>
        <v>0</v>
      </c>
      <c r="U58" s="124">
        <f>SUM(G58:M58)</f>
        <v>218227.92369500088</v>
      </c>
      <c r="V58" s="109" t="str">
        <f>IF(ABS(F58-U58)&lt;0.01,"ok","err")</f>
        <v>ok</v>
      </c>
    </row>
    <row r="59" spans="1:24" x14ac:dyDescent="0.25">
      <c r="A59" s="116" t="s">
        <v>654</v>
      </c>
      <c r="F59" s="123">
        <f t="shared" ref="F59:T59" si="17">F57+F58</f>
        <v>247255.74857806583</v>
      </c>
      <c r="G59" s="123">
        <f t="shared" si="17"/>
        <v>153576.24327341525</v>
      </c>
      <c r="H59" s="123">
        <f t="shared" si="17"/>
        <v>78464.460865816276</v>
      </c>
      <c r="I59" s="123">
        <f t="shared" si="17"/>
        <v>13637.286761442238</v>
      </c>
      <c r="J59" s="123">
        <f t="shared" si="17"/>
        <v>1577.7576773920405</v>
      </c>
      <c r="K59" s="123">
        <f t="shared" si="17"/>
        <v>0</v>
      </c>
      <c r="L59" s="123">
        <f t="shared" si="17"/>
        <v>0</v>
      </c>
      <c r="M59" s="123">
        <f t="shared" si="17"/>
        <v>0</v>
      </c>
      <c r="N59" s="123">
        <f t="shared" si="17"/>
        <v>0</v>
      </c>
      <c r="O59" s="123">
        <f t="shared" si="17"/>
        <v>0</v>
      </c>
      <c r="P59" s="123">
        <f t="shared" si="17"/>
        <v>0</v>
      </c>
      <c r="Q59" s="123">
        <f t="shared" si="17"/>
        <v>0</v>
      </c>
      <c r="R59" s="123">
        <f t="shared" si="17"/>
        <v>0</v>
      </c>
      <c r="S59" s="123">
        <f t="shared" si="17"/>
        <v>0</v>
      </c>
      <c r="T59" s="123">
        <f t="shared" si="17"/>
        <v>0</v>
      </c>
      <c r="U59" s="124">
        <f>SUM(G59:M59)</f>
        <v>247255.7485780658</v>
      </c>
      <c r="V59" s="109" t="str">
        <f>IF(ABS(F59-U59)&lt;0.01,"ok","err")</f>
        <v>ok</v>
      </c>
    </row>
    <row r="60" spans="1:24" x14ac:dyDescent="0.25">
      <c r="F60" s="7"/>
      <c r="G60" s="7"/>
      <c r="U60" s="124"/>
    </row>
    <row r="61" spans="1:24" x14ac:dyDescent="0.25">
      <c r="A61" s="110" t="s">
        <v>3</v>
      </c>
      <c r="F61" s="7"/>
      <c r="G61" s="7"/>
      <c r="U61" s="124"/>
    </row>
    <row r="62" spans="1:24" x14ac:dyDescent="0.25">
      <c r="A62" s="122" t="s">
        <v>207</v>
      </c>
      <c r="C62" s="116" t="s">
        <v>92</v>
      </c>
      <c r="D62" s="116" t="s">
        <v>247</v>
      </c>
      <c r="E62" s="116" t="s">
        <v>312</v>
      </c>
      <c r="F62" s="123">
        <f>VLOOKUP(C62,'WSS-33'!$C$1:$AR$730,7,)</f>
        <v>154280223.85772505</v>
      </c>
      <c r="G62" s="123">
        <f t="shared" ref="G62:J63" si="18">(VLOOKUP($E62,$D$6:$AI$674,G$2,)/VLOOKUP($E62,$D$6:$AI$674,3,))*$F62</f>
        <v>101143065.20531626</v>
      </c>
      <c r="H62" s="123">
        <f t="shared" si="18"/>
        <v>47822530.303690039</v>
      </c>
      <c r="I62" s="123">
        <f t="shared" si="18"/>
        <v>4399006.4931415133</v>
      </c>
      <c r="J62" s="123">
        <f t="shared" si="18"/>
        <v>0</v>
      </c>
      <c r="K62" s="123">
        <f>(VLOOKUP($E62,$D$6:$AI$674,8,)/VLOOKUP($E62,$D$6:$AI$674,3,))*$F62</f>
        <v>915621.85557724861</v>
      </c>
      <c r="L62" s="123">
        <f>(VLOOKUP($E62,$D$6:$AI$674,L$2,)/VLOOKUP($E62,$D$6:$AI$674,3,))*$F62</f>
        <v>0</v>
      </c>
      <c r="M62" s="123">
        <f>(VLOOKUP($E62,$D$6:$AI$674,M$2,)/VLOOKUP($E62,$D$6:$AI$674,3,))*$F62</f>
        <v>0</v>
      </c>
      <c r="N62" s="123">
        <f>(VLOOKUP($E62,$D$6:$AI$674,11,)/VLOOKUP($E62,$D$6:$AI$674,3,))*$F62</f>
        <v>0</v>
      </c>
      <c r="O62" s="123">
        <f t="shared" ref="O62:Q63" si="19">(VLOOKUP($E62,$D$6:$AI$674,O$2,)/VLOOKUP($E62,$D$6:$AI$674,3,))*$F62</f>
        <v>0</v>
      </c>
      <c r="P62" s="123">
        <f t="shared" si="19"/>
        <v>0</v>
      </c>
      <c r="Q62" s="123">
        <f t="shared" si="19"/>
        <v>0</v>
      </c>
      <c r="R62" s="123">
        <f>(VLOOKUP($E62,$D$6:$AI$674,15,)/VLOOKUP($E62,$D$6:$AI$674,3,))*$F62</f>
        <v>0</v>
      </c>
      <c r="S62" s="123">
        <f>(VLOOKUP($E62,$D$6:$AI$674,16,)/VLOOKUP($E62,$D$6:$AI$674,3,))*$F62</f>
        <v>0</v>
      </c>
      <c r="T62" s="123">
        <f>(VLOOKUP($E62,$D$6:$AI$674,17,)/VLOOKUP($E62,$D$6:$AI$674,3,))*$F62</f>
        <v>0</v>
      </c>
      <c r="U62" s="124">
        <f>SUM(G62:M62)</f>
        <v>154280223.85772505</v>
      </c>
      <c r="V62" s="109" t="str">
        <f>IF(ABS(F62-U62)&lt;0.01,"ok","err")</f>
        <v>ok</v>
      </c>
    </row>
    <row r="63" spans="1:24" x14ac:dyDescent="0.25">
      <c r="A63" s="116" t="s">
        <v>226</v>
      </c>
      <c r="C63" s="116" t="s">
        <v>92</v>
      </c>
      <c r="D63" s="116" t="s">
        <v>248</v>
      </c>
      <c r="E63" s="116" t="s">
        <v>313</v>
      </c>
      <c r="F63" s="7">
        <f>VLOOKUP(C63,'WSS-33'!$C$1:$AR$730,8,)</f>
        <v>2237765.2754137209</v>
      </c>
      <c r="G63" s="7">
        <f t="shared" si="18"/>
        <v>1446181.0380576043</v>
      </c>
      <c r="H63" s="7">
        <f t="shared" si="18"/>
        <v>703739.25721153046</v>
      </c>
      <c r="I63" s="7">
        <f t="shared" si="18"/>
        <v>87844.98014458589</v>
      </c>
      <c r="J63" s="7">
        <f t="shared" si="18"/>
        <v>0</v>
      </c>
      <c r="K63" s="7">
        <f>(VLOOKUP($E63,$D$6:$AI$674,8,)/VLOOKUP($E63,$D$6:$AI$674,3,))*$F63</f>
        <v>0</v>
      </c>
      <c r="L63" s="7">
        <f>(VLOOKUP($E63,$D$6:$AI$674,L$2,)/VLOOKUP($E63,$D$6:$AI$674,3,))*$F63</f>
        <v>0</v>
      </c>
      <c r="M63" s="7">
        <f>(VLOOKUP($E63,$D$6:$AI$674,M$2,)/VLOOKUP($E63,$D$6:$AI$674,3,))*$F63</f>
        <v>0</v>
      </c>
      <c r="N63" s="7">
        <f>(VLOOKUP($E63,$D$6:$AI$674,11,)/VLOOKUP($E63,$D$6:$AI$674,3,))*$F63</f>
        <v>0</v>
      </c>
      <c r="O63" s="7">
        <f t="shared" si="19"/>
        <v>0</v>
      </c>
      <c r="P63" s="7">
        <f t="shared" si="19"/>
        <v>0</v>
      </c>
      <c r="Q63" s="7">
        <f t="shared" si="19"/>
        <v>0</v>
      </c>
      <c r="R63" s="7">
        <f>(VLOOKUP($E63,$D$6:$AI$674,15,)/VLOOKUP($E63,$D$6:$AI$674,3,))*$F63</f>
        <v>0</v>
      </c>
      <c r="S63" s="7">
        <f>(VLOOKUP($E63,$D$6:$AI$674,16,)/VLOOKUP($E63,$D$6:$AI$674,3,))*$F63</f>
        <v>0</v>
      </c>
      <c r="T63" s="7">
        <f>(VLOOKUP($E63,$D$6:$AI$674,17,)/VLOOKUP($E63,$D$6:$AI$674,3,))*$F63</f>
        <v>0</v>
      </c>
      <c r="U63" s="124">
        <f>SUM(G63:M63)</f>
        <v>2237765.2754137209</v>
      </c>
      <c r="V63" s="109" t="str">
        <f>IF(ABS(F63-U63)&lt;0.01,"ok","err")</f>
        <v>ok</v>
      </c>
    </row>
    <row r="64" spans="1:24" x14ac:dyDescent="0.25">
      <c r="A64" s="116" t="s">
        <v>227</v>
      </c>
      <c r="F64" s="123">
        <f>SUM(F62:F63)</f>
        <v>156517989.13313878</v>
      </c>
      <c r="G64" s="123">
        <f t="shared" ref="G64:T64" si="20">G62+G63</f>
        <v>102589246.24337387</v>
      </c>
      <c r="H64" s="123">
        <f t="shared" si="20"/>
        <v>48526269.560901567</v>
      </c>
      <c r="I64" s="123">
        <f t="shared" si="20"/>
        <v>4486851.4732860988</v>
      </c>
      <c r="J64" s="123">
        <f t="shared" si="20"/>
        <v>0</v>
      </c>
      <c r="K64" s="123">
        <f t="shared" si="20"/>
        <v>915621.85557724861</v>
      </c>
      <c r="L64" s="123">
        <f t="shared" si="20"/>
        <v>0</v>
      </c>
      <c r="M64" s="123">
        <f t="shared" si="20"/>
        <v>0</v>
      </c>
      <c r="N64" s="123">
        <f t="shared" si="20"/>
        <v>0</v>
      </c>
      <c r="O64" s="123">
        <f t="shared" si="20"/>
        <v>0</v>
      </c>
      <c r="P64" s="123">
        <f t="shared" si="20"/>
        <v>0</v>
      </c>
      <c r="Q64" s="123">
        <f t="shared" si="20"/>
        <v>0</v>
      </c>
      <c r="R64" s="123">
        <f t="shared" si="20"/>
        <v>0</v>
      </c>
      <c r="S64" s="123">
        <f t="shared" si="20"/>
        <v>0</v>
      </c>
      <c r="T64" s="123">
        <f t="shared" si="20"/>
        <v>0</v>
      </c>
      <c r="U64" s="124">
        <f>SUM(G64:M64)</f>
        <v>156517989.13313881</v>
      </c>
      <c r="V64" s="109" t="str">
        <f>IF(ABS(F64-U64)&lt;0.01,"ok","err")</f>
        <v>ok</v>
      </c>
    </row>
    <row r="65" spans="1:22" x14ac:dyDescent="0.25">
      <c r="F65" s="7"/>
      <c r="G65" s="7"/>
      <c r="U65" s="124"/>
    </row>
    <row r="66" spans="1:22" x14ac:dyDescent="0.25">
      <c r="A66" s="110" t="s">
        <v>4</v>
      </c>
      <c r="F66" s="7"/>
      <c r="G66" s="7"/>
      <c r="U66" s="124"/>
    </row>
    <row r="67" spans="1:22" x14ac:dyDescent="0.25">
      <c r="A67" s="122" t="s">
        <v>854</v>
      </c>
      <c r="C67" s="116" t="s">
        <v>92</v>
      </c>
      <c r="D67" s="116" t="s">
        <v>249</v>
      </c>
      <c r="E67" s="116" t="s">
        <v>317</v>
      </c>
      <c r="F67" s="123">
        <f>VLOOKUP(C67,'WSS-33'!$C$1:$AR$730,9,)</f>
        <v>19852899.639422301</v>
      </c>
      <c r="G67" s="123">
        <f t="shared" ref="G67:J68" si="21">(VLOOKUP($E67,$D$6:$AI$674,G$2,)/VLOOKUP($E67,$D$6:$AI$674,3,))*$F67</f>
        <v>10562003.942073338</v>
      </c>
      <c r="H67" s="123">
        <f t="shared" si="21"/>
        <v>5123371.1787602743</v>
      </c>
      <c r="I67" s="123">
        <f t="shared" si="21"/>
        <v>639516.85951636324</v>
      </c>
      <c r="J67" s="123">
        <f t="shared" si="21"/>
        <v>41040.173483700019</v>
      </c>
      <c r="K67" s="123">
        <f>(VLOOKUP($E67,$D$6:$AI$674,8,)/VLOOKUP($E67,$D$6:$AI$674,3,))*$F67</f>
        <v>3486967.4855886283</v>
      </c>
      <c r="L67" s="123">
        <f>(VLOOKUP($E67,$D$6:$AI$674,L$2,)/VLOOKUP($E67,$D$6:$AI$674,3,))*$F67</f>
        <v>0</v>
      </c>
      <c r="M67" s="123">
        <f>(VLOOKUP($E67,$D$6:$AI$674,M$2,)/VLOOKUP($E67,$D$6:$AI$674,3,))*$F67</f>
        <v>0</v>
      </c>
      <c r="N67" s="123">
        <f>(VLOOKUP($E67,$D$6:$AI$674,11,)/VLOOKUP($E67,$D$6:$AI$674,3,))*$F67</f>
        <v>0</v>
      </c>
      <c r="O67" s="123">
        <f t="shared" ref="O67:Q68" si="22">(VLOOKUP($E67,$D$6:$AI$674,O$2,)/VLOOKUP($E67,$D$6:$AI$674,3,))*$F67</f>
        <v>0</v>
      </c>
      <c r="P67" s="123">
        <f t="shared" si="22"/>
        <v>0</v>
      </c>
      <c r="Q67" s="123">
        <f t="shared" si="22"/>
        <v>0</v>
      </c>
      <c r="R67" s="123">
        <f>(VLOOKUP($E67,$D$6:$AI$674,15,)/VLOOKUP($E67,$D$6:$AI$674,3,))*$F67</f>
        <v>0</v>
      </c>
      <c r="S67" s="123">
        <f>(VLOOKUP($E67,$D$6:$AI$674,16,)/VLOOKUP($E67,$D$6:$AI$674,3,))*$F67</f>
        <v>0</v>
      </c>
      <c r="T67" s="123">
        <f>(VLOOKUP($E67,$D$6:$AI$674,17,)/VLOOKUP($E67,$D$6:$AI$674,3,))*$F67</f>
        <v>0</v>
      </c>
      <c r="U67" s="124">
        <f>SUM(G67:M67)</f>
        <v>19852899.639422305</v>
      </c>
      <c r="V67" s="109" t="str">
        <f>IF(ABS(F67-U67)&lt;0.01,"ok","err")</f>
        <v>ok</v>
      </c>
    </row>
    <row r="68" spans="1:22" x14ac:dyDescent="0.25">
      <c r="A68" s="116" t="s">
        <v>850</v>
      </c>
      <c r="C68" s="116" t="s">
        <v>92</v>
      </c>
      <c r="D68" s="116" t="s">
        <v>250</v>
      </c>
      <c r="E68" s="116" t="s">
        <v>314</v>
      </c>
      <c r="F68" s="7">
        <f>VLOOKUP(C68,'WSS-33'!$C$1:$AR$730,10,)</f>
        <v>48348561.202587448</v>
      </c>
      <c r="G68" s="7">
        <f t="shared" si="21"/>
        <v>31696361.050176617</v>
      </c>
      <c r="H68" s="7">
        <f t="shared" si="21"/>
        <v>14986694.181768766</v>
      </c>
      <c r="I68" s="7">
        <f t="shared" si="21"/>
        <v>1378567.0602887352</v>
      </c>
      <c r="J68" s="7">
        <f t="shared" si="21"/>
        <v>0</v>
      </c>
      <c r="K68" s="7">
        <f>(VLOOKUP($E68,$D$6:$AI$674,8,)/VLOOKUP($E68,$D$6:$AI$674,3,))*$F68</f>
        <v>286938.91035332897</v>
      </c>
      <c r="L68" s="7">
        <f>(VLOOKUP($E68,$D$6:$AI$674,L$2,)/VLOOKUP($E68,$D$6:$AI$674,3,))*$F68</f>
        <v>0</v>
      </c>
      <c r="M68" s="7">
        <f>(VLOOKUP($E68,$D$6:$AI$674,M$2,)/VLOOKUP($E68,$D$6:$AI$674,3,))*$F68</f>
        <v>0</v>
      </c>
      <c r="N68" s="7">
        <f>(VLOOKUP($E68,$D$6:$AI$674,11,)/VLOOKUP($E68,$D$6:$AI$674,3,))*$F68</f>
        <v>0</v>
      </c>
      <c r="O68" s="7">
        <f t="shared" si="22"/>
        <v>0</v>
      </c>
      <c r="P68" s="7">
        <f t="shared" si="22"/>
        <v>0</v>
      </c>
      <c r="Q68" s="7">
        <f t="shared" si="22"/>
        <v>0</v>
      </c>
      <c r="R68" s="7">
        <f>(VLOOKUP($E68,$D$6:$AI$674,15,)/VLOOKUP($E68,$D$6:$AI$674,3,))*$F68</f>
        <v>0</v>
      </c>
      <c r="S68" s="7">
        <f>(VLOOKUP($E68,$D$6:$AI$674,16,)/VLOOKUP($E68,$D$6:$AI$674,3,))*$F68</f>
        <v>0</v>
      </c>
      <c r="T68" s="7">
        <f>(VLOOKUP($E68,$D$6:$AI$674,17,)/VLOOKUP($E68,$D$6:$AI$674,3,))*$F68</f>
        <v>0</v>
      </c>
      <c r="U68" s="124">
        <f>SUM(G68:M68)</f>
        <v>48348561.202587441</v>
      </c>
      <c r="V68" s="109" t="str">
        <f>IF(ABS(F68-U68)&lt;0.01,"ok","err")</f>
        <v>ok</v>
      </c>
    </row>
    <row r="69" spans="1:22" x14ac:dyDescent="0.25">
      <c r="A69" s="116" t="s">
        <v>228</v>
      </c>
      <c r="F69" s="123">
        <f>SUM(F67:F68)</f>
        <v>68201460.842009753</v>
      </c>
      <c r="G69" s="123">
        <f t="shared" ref="G69:T69" si="23">G67+G68</f>
        <v>42258364.992249951</v>
      </c>
      <c r="H69" s="123">
        <f t="shared" si="23"/>
        <v>20110065.360529039</v>
      </c>
      <c r="I69" s="123">
        <f t="shared" si="23"/>
        <v>2018083.9198050983</v>
      </c>
      <c r="J69" s="123">
        <f t="shared" si="23"/>
        <v>41040.173483700019</v>
      </c>
      <c r="K69" s="123">
        <f t="shared" si="23"/>
        <v>3773906.3959419574</v>
      </c>
      <c r="L69" s="123">
        <f t="shared" si="23"/>
        <v>0</v>
      </c>
      <c r="M69" s="123">
        <f t="shared" si="23"/>
        <v>0</v>
      </c>
      <c r="N69" s="123">
        <f t="shared" si="23"/>
        <v>0</v>
      </c>
      <c r="O69" s="123">
        <f t="shared" si="23"/>
        <v>0</v>
      </c>
      <c r="P69" s="123">
        <f t="shared" si="23"/>
        <v>0</v>
      </c>
      <c r="Q69" s="123">
        <f t="shared" si="23"/>
        <v>0</v>
      </c>
      <c r="R69" s="123">
        <f t="shared" si="23"/>
        <v>0</v>
      </c>
      <c r="S69" s="123">
        <f t="shared" si="23"/>
        <v>0</v>
      </c>
      <c r="T69" s="123">
        <f t="shared" si="23"/>
        <v>0</v>
      </c>
      <c r="U69" s="124">
        <f>SUM(G69:M69)</f>
        <v>68201460.842009738</v>
      </c>
      <c r="V69" s="109" t="str">
        <f>IF(ABS(F69-U69)&lt;0.01,"ok","err")</f>
        <v>ok</v>
      </c>
    </row>
    <row r="70" spans="1:22" x14ac:dyDescent="0.25">
      <c r="F70" s="7"/>
      <c r="U70" s="124"/>
    </row>
    <row r="71" spans="1:22" x14ac:dyDescent="0.25">
      <c r="A71" s="110" t="s">
        <v>6</v>
      </c>
      <c r="F71" s="7"/>
      <c r="U71" s="124"/>
    </row>
    <row r="72" spans="1:22" x14ac:dyDescent="0.25">
      <c r="A72" s="116" t="s">
        <v>226</v>
      </c>
      <c r="C72" s="116" t="s">
        <v>92</v>
      </c>
      <c r="D72" s="116" t="s">
        <v>251</v>
      </c>
      <c r="E72" s="116" t="s">
        <v>316</v>
      </c>
      <c r="F72" s="123">
        <f>VLOOKUP(C72,'WSS-33'!$C$1:$AR$730,11,)</f>
        <v>394186.90860467363</v>
      </c>
      <c r="G72" s="123">
        <f>(VLOOKUP($E72,$D$6:$AI$674,G$2,)/VLOOKUP($E72,$D$6:$AI$674,3,))*$F72</f>
        <v>170977.01988817999</v>
      </c>
      <c r="H72" s="123">
        <f>(VLOOKUP($E72,$D$6:$AI$674,H$2,)/VLOOKUP($E72,$D$6:$AI$674,3,))*$F72</f>
        <v>87968.57163617725</v>
      </c>
      <c r="I72" s="123">
        <f>(VLOOKUP($E72,$D$6:$AI$674,I$2,)/VLOOKUP($E72,$D$6:$AI$674,3,))*$F72</f>
        <v>15853.468461476448</v>
      </c>
      <c r="J72" s="123">
        <f>(VLOOKUP($E72,$D$6:$AI$674,J$2,)/VLOOKUP($E72,$D$6:$AI$674,3,))*$F72</f>
        <v>1908.2573920751156</v>
      </c>
      <c r="K72" s="123">
        <f>(VLOOKUP($E72,$D$6:$AI$674,8,)/VLOOKUP($E72,$D$6:$AI$674,3,))*$F72</f>
        <v>117479.59122676481</v>
      </c>
      <c r="L72" s="123">
        <f>(VLOOKUP($E72,$D$6:$AI$674,L$2,)/VLOOKUP($E72,$D$6:$AI$674,3,))*$F72</f>
        <v>0</v>
      </c>
      <c r="M72" s="123">
        <f>(VLOOKUP($E72,$D$6:$AI$674,M$2,)/VLOOKUP($E72,$D$6:$AI$674,3,))*$F72</f>
        <v>0</v>
      </c>
      <c r="N72" s="123">
        <f>(VLOOKUP($E72,$D$6:$AI$674,11,)/VLOOKUP($E72,$D$6:$AI$674,3,))*$F72</f>
        <v>0</v>
      </c>
      <c r="O72" s="123">
        <f>(VLOOKUP($E72,$D$6:$AI$674,O$2,)/VLOOKUP($E72,$D$6:$AI$674,3,))*$F72</f>
        <v>0</v>
      </c>
      <c r="P72" s="123">
        <f>(VLOOKUP($E72,$D$6:$AI$674,P$2,)/VLOOKUP($E72,$D$6:$AI$674,3,))*$F72</f>
        <v>0</v>
      </c>
      <c r="Q72" s="123">
        <f>(VLOOKUP($E72,$D$6:$AI$674,Q$2,)/VLOOKUP($E72,$D$6:$AI$674,3,))*$F72</f>
        <v>0</v>
      </c>
      <c r="R72" s="123">
        <f>(VLOOKUP($E72,$D$6:$AI$674,15,)/VLOOKUP($E72,$D$6:$AI$674,3,))*$F72</f>
        <v>0</v>
      </c>
      <c r="S72" s="123">
        <f>(VLOOKUP($E72,$D$6:$AI$674,16,)/VLOOKUP($E72,$D$6:$AI$674,3,))*$F72</f>
        <v>0</v>
      </c>
      <c r="T72" s="123">
        <f>(VLOOKUP($E72,$D$6:$AI$674,17,)/VLOOKUP($E72,$D$6:$AI$674,3,))*$F72</f>
        <v>0</v>
      </c>
      <c r="U72" s="124">
        <f>SUM(G72:M72)</f>
        <v>394186.90860467358</v>
      </c>
      <c r="V72" s="109" t="str">
        <f>IF(ABS(F72-U72)&lt;0.01,"ok","err")</f>
        <v>ok</v>
      </c>
    </row>
    <row r="73" spans="1:22" x14ac:dyDescent="0.25">
      <c r="A73" s="122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124"/>
      <c r="V73" s="109"/>
    </row>
    <row r="74" spans="1:22" x14ac:dyDescent="0.25">
      <c r="A74" s="110" t="s">
        <v>7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124"/>
      <c r="V74" s="109"/>
    </row>
    <row r="75" spans="1:22" x14ac:dyDescent="0.25">
      <c r="A75" s="122" t="s">
        <v>207</v>
      </c>
      <c r="C75" s="116" t="s">
        <v>92</v>
      </c>
      <c r="D75" s="116" t="s">
        <v>252</v>
      </c>
      <c r="E75" s="116" t="s">
        <v>317</v>
      </c>
      <c r="F75" s="123">
        <f>VLOOKUP(C75,'WSS-33'!$C$1:$AR$730,12,)</f>
        <v>38718058.918324642</v>
      </c>
      <c r="G75" s="123">
        <f>(VLOOKUP($E75,$D$6:$AI$674,G$2,)/VLOOKUP($E75,$D$6:$AI$674,3,))*$F75</f>
        <v>20598517.010217071</v>
      </c>
      <c r="H75" s="123">
        <f>(VLOOKUP($E75,$D$6:$AI$674,H$2,)/VLOOKUP($E75,$D$6:$AI$674,3,))*$F75</f>
        <v>9991839.5177793261</v>
      </c>
      <c r="I75" s="123">
        <f>(VLOOKUP($E75,$D$6:$AI$674,I$2,)/VLOOKUP($E75,$D$6:$AI$674,3,))*$F75</f>
        <v>1247215.8674921407</v>
      </c>
      <c r="J75" s="123">
        <f>(VLOOKUP($E75,$D$6:$AI$674,J$2,)/VLOOKUP($E75,$D$6:$AI$674,3,))*$F75</f>
        <v>80038.477190750564</v>
      </c>
      <c r="K75" s="123">
        <f>(VLOOKUP($E75,$D$6:$AI$674,8,)/VLOOKUP($E75,$D$6:$AI$674,3,))*$F75</f>
        <v>6800448.045645359</v>
      </c>
      <c r="L75" s="123">
        <f>(VLOOKUP($E75,$D$6:$AI$674,L$2,)/VLOOKUP($E75,$D$6:$AI$674,3,))*$F75</f>
        <v>0</v>
      </c>
      <c r="M75" s="123">
        <f>(VLOOKUP($E75,$D$6:$AI$674,M$2,)/VLOOKUP($E75,$D$6:$AI$674,3,))*$F75</f>
        <v>0</v>
      </c>
      <c r="N75" s="123">
        <f>(VLOOKUP($E75,$D$6:$AI$674,11,)/VLOOKUP($E75,$D$6:$AI$674,3,))*$F75</f>
        <v>0</v>
      </c>
      <c r="O75" s="123">
        <f>(VLOOKUP($E75,$D$6:$AI$674,O$2,)/VLOOKUP($E75,$D$6:$AI$674,3,))*$F75</f>
        <v>0</v>
      </c>
      <c r="P75" s="123">
        <f>(VLOOKUP($E75,$D$6:$AI$674,P$2,)/VLOOKUP($E75,$D$6:$AI$674,3,))*$F75</f>
        <v>0</v>
      </c>
      <c r="Q75" s="123">
        <f>(VLOOKUP($E75,$D$6:$AI$674,Q$2,)/VLOOKUP($E75,$D$6:$AI$674,3,))*$F75</f>
        <v>0</v>
      </c>
      <c r="R75" s="123">
        <f>(VLOOKUP($E75,$D$6:$AI$674,15,)/VLOOKUP($E75,$D$6:$AI$674,3,))*$F75</f>
        <v>0</v>
      </c>
      <c r="S75" s="123">
        <f>(VLOOKUP($E75,$D$6:$AI$674,16,)/VLOOKUP($E75,$D$6:$AI$674,3,))*$F75</f>
        <v>0</v>
      </c>
      <c r="T75" s="123">
        <f>(VLOOKUP($E75,$D$6:$AI$674,17,)/VLOOKUP($E75,$D$6:$AI$674,3,))*$F75</f>
        <v>0</v>
      </c>
      <c r="U75" s="124">
        <f>SUM(G75:M75)</f>
        <v>38718058.918324649</v>
      </c>
      <c r="V75" s="109" t="str">
        <f>IF(ABS(F75-U75)&lt;0.01,"ok","err")</f>
        <v>ok</v>
      </c>
    </row>
    <row r="76" spans="1:22" x14ac:dyDescent="0.25">
      <c r="F76" s="7"/>
      <c r="U76" s="124"/>
    </row>
    <row r="77" spans="1:22" x14ac:dyDescent="0.25">
      <c r="F77" s="7"/>
      <c r="U77" s="124"/>
    </row>
    <row r="78" spans="1:22" x14ac:dyDescent="0.25">
      <c r="A78" s="110" t="s">
        <v>8</v>
      </c>
      <c r="F78" s="7"/>
      <c r="U78" s="124"/>
    </row>
    <row r="79" spans="1:22" x14ac:dyDescent="0.25">
      <c r="A79" s="122" t="s">
        <v>676</v>
      </c>
      <c r="C79" s="116" t="s">
        <v>92</v>
      </c>
      <c r="D79" s="116" t="s">
        <v>253</v>
      </c>
      <c r="E79" s="116" t="s">
        <v>680</v>
      </c>
      <c r="F79" s="123">
        <f>VLOOKUP(C79,'WSS-33'!$C$1:$AR$730,13,)</f>
        <v>62364319.885210954</v>
      </c>
      <c r="G79" s="123">
        <f t="shared" ref="G79:J82" si="24">(VLOOKUP($E79,$D$6:$AI$674,G$2,)/VLOOKUP($E79,$D$6:$AI$674,3,))*$F79</f>
        <v>40433439.900194734</v>
      </c>
      <c r="H79" s="123">
        <f t="shared" si="24"/>
        <v>19613278.10318242</v>
      </c>
      <c r="I79" s="123">
        <f t="shared" si="24"/>
        <v>2317601.8818337931</v>
      </c>
      <c r="J79" s="123">
        <f t="shared" si="24"/>
        <v>0</v>
      </c>
      <c r="K79" s="123">
        <f>(VLOOKUP($E79,$D$6:$AI$674,8,)/VLOOKUP($E79,$D$6:$AI$674,3,))*$F79</f>
        <v>0</v>
      </c>
      <c r="L79" s="123">
        <f t="shared" ref="L79:M82" si="25">(VLOOKUP($E79,$D$6:$AI$674,L$2,)/VLOOKUP($E79,$D$6:$AI$674,3,))*$F79</f>
        <v>0</v>
      </c>
      <c r="M79" s="123">
        <f t="shared" si="25"/>
        <v>0</v>
      </c>
      <c r="N79" s="123">
        <f>(VLOOKUP($E79,$D$6:$AI$674,11,)/VLOOKUP($E79,$D$6:$AI$674,3,))*$F79</f>
        <v>0</v>
      </c>
      <c r="O79" s="123">
        <f t="shared" ref="O79:Q82" si="26">(VLOOKUP($E79,$D$6:$AI$674,O$2,)/VLOOKUP($E79,$D$6:$AI$674,3,))*$F79</f>
        <v>0</v>
      </c>
      <c r="P79" s="123">
        <f t="shared" si="26"/>
        <v>0</v>
      </c>
      <c r="Q79" s="123">
        <f t="shared" si="26"/>
        <v>0</v>
      </c>
      <c r="R79" s="123">
        <f>(VLOOKUP($E79,$D$6:$AI$674,15,)/VLOOKUP($E79,$D$6:$AI$674,3,))*$F79</f>
        <v>0</v>
      </c>
      <c r="S79" s="123">
        <f>(VLOOKUP($E79,$D$6:$AI$674,16,)/VLOOKUP($E79,$D$6:$AI$674,3,))*$F79</f>
        <v>0</v>
      </c>
      <c r="T79" s="123">
        <f>(VLOOKUP($E79,$D$6:$AI$674,17,)/VLOOKUP($E79,$D$6:$AI$674,3,))*$F79</f>
        <v>0</v>
      </c>
      <c r="U79" s="124">
        <f>SUM(G79:M79)</f>
        <v>62364319.885210946</v>
      </c>
      <c r="V79" s="109" t="str">
        <f>IF(ABS(F79-U79)&lt;0.01,"ok","err")</f>
        <v>ok</v>
      </c>
    </row>
    <row r="80" spans="1:22" x14ac:dyDescent="0.25">
      <c r="A80" s="122" t="s">
        <v>675</v>
      </c>
      <c r="C80" s="116" t="s">
        <v>92</v>
      </c>
      <c r="D80" s="116" t="s">
        <v>254</v>
      </c>
      <c r="E80" s="116" t="s">
        <v>868</v>
      </c>
      <c r="F80" s="7">
        <f>VLOOKUP(C80,'WSS-33'!$C$1:$AR$730,14,)</f>
        <v>139326011.155595</v>
      </c>
      <c r="G80" s="7">
        <f t="shared" si="24"/>
        <v>128438207.59098746</v>
      </c>
      <c r="H80" s="7">
        <f t="shared" si="24"/>
        <v>10782361.723586287</v>
      </c>
      <c r="I80" s="7">
        <f t="shared" si="24"/>
        <v>105441.84102125553</v>
      </c>
      <c r="J80" s="7">
        <f t="shared" si="24"/>
        <v>0</v>
      </c>
      <c r="K80" s="7">
        <f>(VLOOKUP($E80,$D$6:$AI$674,8,)/VLOOKUP($E80,$D$6:$AI$674,3,))*$F80</f>
        <v>0</v>
      </c>
      <c r="L80" s="7">
        <f t="shared" si="25"/>
        <v>0</v>
      </c>
      <c r="M80" s="7">
        <f t="shared" si="25"/>
        <v>0</v>
      </c>
      <c r="N80" s="7">
        <f>(VLOOKUP($E80,$D$6:$AI$674,11,)/VLOOKUP($E80,$D$6:$AI$674,3,))*$F80</f>
        <v>0</v>
      </c>
      <c r="O80" s="7">
        <f t="shared" si="26"/>
        <v>0</v>
      </c>
      <c r="P80" s="7">
        <f t="shared" si="26"/>
        <v>0</v>
      </c>
      <c r="Q80" s="7">
        <f t="shared" si="26"/>
        <v>0</v>
      </c>
      <c r="R80" s="7">
        <f>(VLOOKUP($E80,$D$6:$AI$674,15,)/VLOOKUP($E80,$D$6:$AI$674,3,))*$F80</f>
        <v>0</v>
      </c>
      <c r="S80" s="7">
        <f>(VLOOKUP($E80,$D$6:$AI$674,16,)/VLOOKUP($E80,$D$6:$AI$674,3,))*$F80</f>
        <v>0</v>
      </c>
      <c r="T80" s="7">
        <f>(VLOOKUP($E80,$D$6:$AI$674,17,)/VLOOKUP($E80,$D$6:$AI$674,3,))*$F80</f>
        <v>0</v>
      </c>
      <c r="U80" s="124">
        <f>SUM(G80:M80)</f>
        <v>139326011.155595</v>
      </c>
      <c r="V80" s="109" t="str">
        <f>IF(ABS(F80-U80)&lt;0.01,"ok","err")</f>
        <v>ok</v>
      </c>
    </row>
    <row r="81" spans="1:22" x14ac:dyDescent="0.25">
      <c r="A81" s="122" t="s">
        <v>677</v>
      </c>
      <c r="C81" s="116" t="s">
        <v>92</v>
      </c>
      <c r="D81" s="116" t="s">
        <v>253</v>
      </c>
      <c r="E81" s="116" t="s">
        <v>318</v>
      </c>
      <c r="F81" s="7">
        <f>VLOOKUP(C81,'WSS-33'!$C$1:$AR$730,15,)</f>
        <v>12069200.177984202</v>
      </c>
      <c r="G81" s="7">
        <f t="shared" si="24"/>
        <v>6420973.3677599328</v>
      </c>
      <c r="H81" s="7">
        <f t="shared" si="24"/>
        <v>3114657.9827455357</v>
      </c>
      <c r="I81" s="7">
        <f t="shared" si="24"/>
        <v>388782.35093538143</v>
      </c>
      <c r="J81" s="7">
        <f t="shared" si="24"/>
        <v>24949.608274370352</v>
      </c>
      <c r="K81" s="7">
        <f>(VLOOKUP($E81,$D$6:$AI$674,8,)/VLOOKUP($E81,$D$6:$AI$674,3,))*$F81</f>
        <v>2119836.8682689834</v>
      </c>
      <c r="L81" s="7">
        <f t="shared" si="25"/>
        <v>0</v>
      </c>
      <c r="M81" s="7">
        <f t="shared" si="25"/>
        <v>0</v>
      </c>
      <c r="N81" s="7">
        <f>(VLOOKUP($E81,$D$6:$AI$674,11,)/VLOOKUP($E81,$D$6:$AI$674,3,))*$F81</f>
        <v>0</v>
      </c>
      <c r="O81" s="7">
        <f t="shared" si="26"/>
        <v>0</v>
      </c>
      <c r="P81" s="7">
        <f t="shared" si="26"/>
        <v>0</v>
      </c>
      <c r="Q81" s="7">
        <f t="shared" si="26"/>
        <v>0</v>
      </c>
      <c r="R81" s="7"/>
      <c r="S81" s="7"/>
      <c r="T81" s="7"/>
      <c r="U81" s="124"/>
      <c r="V81" s="109"/>
    </row>
    <row r="82" spans="1:22" x14ac:dyDescent="0.25">
      <c r="A82" s="122" t="s">
        <v>674</v>
      </c>
      <c r="C82" s="116" t="s">
        <v>92</v>
      </c>
      <c r="D82" s="116" t="s">
        <v>254</v>
      </c>
      <c r="E82" s="116" t="s">
        <v>867</v>
      </c>
      <c r="F82" s="7">
        <f>VLOOKUP(C82,'WSS-33'!$C$1:$AR$730,16,)</f>
        <v>11277079.774373911</v>
      </c>
      <c r="G82" s="7">
        <f t="shared" si="24"/>
        <v>10392966.568261005</v>
      </c>
      <c r="H82" s="7">
        <f t="shared" si="24"/>
        <v>872487.45542282658</v>
      </c>
      <c r="I82" s="7">
        <f t="shared" si="24"/>
        <v>8775.4631473874888</v>
      </c>
      <c r="J82" s="7">
        <f t="shared" si="24"/>
        <v>173.79802089585215</v>
      </c>
      <c r="K82" s="7">
        <f>(VLOOKUP($E82,$D$6:$AI$674,8,)/VLOOKUP($E82,$D$6:$AI$674,3,))*$F82</f>
        <v>2676.489521796123</v>
      </c>
      <c r="L82" s="7">
        <f t="shared" si="25"/>
        <v>0</v>
      </c>
      <c r="M82" s="7">
        <f t="shared" si="25"/>
        <v>0</v>
      </c>
      <c r="N82" s="7">
        <f>(VLOOKUP($E82,$D$6:$AI$674,11,)/VLOOKUP($E82,$D$6:$AI$674,3,))*$F82</f>
        <v>0</v>
      </c>
      <c r="O82" s="7">
        <f t="shared" si="26"/>
        <v>0</v>
      </c>
      <c r="P82" s="7">
        <f t="shared" si="26"/>
        <v>0</v>
      </c>
      <c r="Q82" s="7">
        <f t="shared" si="26"/>
        <v>0</v>
      </c>
      <c r="R82" s="7"/>
      <c r="S82" s="7"/>
      <c r="T82" s="7"/>
      <c r="U82" s="124"/>
      <c r="V82" s="109"/>
    </row>
    <row r="83" spans="1:22" x14ac:dyDescent="0.25">
      <c r="A83" s="116" t="s">
        <v>229</v>
      </c>
      <c r="F83" s="123">
        <f>SUM(F79:F82)</f>
        <v>225036610.99316409</v>
      </c>
      <c r="G83" s="123">
        <f t="shared" ref="G83:Q83" si="27">SUM(G79:G82)</f>
        <v>185685587.42720315</v>
      </c>
      <c r="H83" s="123">
        <f t="shared" si="27"/>
        <v>34382785.264937073</v>
      </c>
      <c r="I83" s="123">
        <f t="shared" si="27"/>
        <v>2820601.5369378175</v>
      </c>
      <c r="J83" s="123">
        <f t="shared" si="27"/>
        <v>25123.406295266203</v>
      </c>
      <c r="K83" s="123">
        <f t="shared" si="27"/>
        <v>2122513.3577907798</v>
      </c>
      <c r="L83" s="123">
        <f t="shared" si="27"/>
        <v>0</v>
      </c>
      <c r="M83" s="123">
        <f t="shared" si="27"/>
        <v>0</v>
      </c>
      <c r="N83" s="123">
        <f t="shared" si="27"/>
        <v>0</v>
      </c>
      <c r="O83" s="123">
        <f t="shared" si="27"/>
        <v>0</v>
      </c>
      <c r="P83" s="123">
        <f t="shared" si="27"/>
        <v>0</v>
      </c>
      <c r="Q83" s="123">
        <f t="shared" si="27"/>
        <v>0</v>
      </c>
      <c r="R83" s="123">
        <f>R79+R80</f>
        <v>0</v>
      </c>
      <c r="S83" s="123">
        <f>S79+S80</f>
        <v>0</v>
      </c>
      <c r="T83" s="123">
        <f>T79+T80</f>
        <v>0</v>
      </c>
      <c r="U83" s="124">
        <f>SUM(G83:M83)</f>
        <v>225036610.99316406</v>
      </c>
      <c r="V83" s="109" t="str">
        <f>IF(ABS(F83-U83)&lt;0.01,"ok","err")</f>
        <v>ok</v>
      </c>
    </row>
    <row r="84" spans="1:22" x14ac:dyDescent="0.25">
      <c r="F84" s="7"/>
      <c r="U84" s="124"/>
    </row>
    <row r="85" spans="1:22" x14ac:dyDescent="0.25">
      <c r="A85" s="110" t="s">
        <v>10</v>
      </c>
      <c r="F85" s="7"/>
      <c r="U85" s="124"/>
    </row>
    <row r="86" spans="1:22" x14ac:dyDescent="0.25">
      <c r="A86" s="122" t="s">
        <v>208</v>
      </c>
      <c r="C86" s="116" t="s">
        <v>92</v>
      </c>
      <c r="D86" s="116" t="s">
        <v>248</v>
      </c>
      <c r="E86" s="116" t="s">
        <v>319</v>
      </c>
      <c r="F86" s="123">
        <f>VLOOKUP(C86,'WSS-33'!$C$1:$AR$730,17,)</f>
        <v>220490310.90330812</v>
      </c>
      <c r="G86" s="123">
        <f>(VLOOKUP($E86,$D$6:$AI$674,G$2,)/VLOOKUP($E86,$D$6:$AI$674,3,))*$F86</f>
        <v>163146548.47428599</v>
      </c>
      <c r="H86" s="123">
        <f>(VLOOKUP($E86,$D$6:$AI$674,H$2,)/VLOOKUP($E86,$D$6:$AI$674,3,))*$F86</f>
        <v>55839806.906411417</v>
      </c>
      <c r="I86" s="123">
        <f>(VLOOKUP($E86,$D$6:$AI$674,I$2,)/VLOOKUP($E86,$D$6:$AI$674,3,))*$F86</f>
        <v>1135230.4565796456</v>
      </c>
      <c r="J86" s="123">
        <f>(VLOOKUP($E86,$D$6:$AI$674,J$2,)/VLOOKUP($E86,$D$6:$AI$674,3,))*$F86</f>
        <v>22483.235733600537</v>
      </c>
      <c r="K86" s="123">
        <f>(VLOOKUP($E86,$D$6:$AI$674,8,)/VLOOKUP($E86,$D$6:$AI$674,3,))*$F86</f>
        <v>346241.83029744832</v>
      </c>
      <c r="L86" s="123">
        <f>(VLOOKUP($E86,$D$6:$AI$674,L$2,)/VLOOKUP($E86,$D$6:$AI$674,3,))*$F86</f>
        <v>0</v>
      </c>
      <c r="M86" s="123">
        <f>(VLOOKUP($E86,$D$6:$AI$674,M$2,)/VLOOKUP($E86,$D$6:$AI$674,3,))*$F86</f>
        <v>0</v>
      </c>
      <c r="N86" s="123">
        <f>(VLOOKUP($E86,$D$6:$AI$674,11,)/VLOOKUP($E86,$D$6:$AI$674,3,))*$F86</f>
        <v>0</v>
      </c>
      <c r="O86" s="123">
        <f>(VLOOKUP($E86,$D$6:$AI$674,O$2,)/VLOOKUP($E86,$D$6:$AI$674,3,))*$F86</f>
        <v>0</v>
      </c>
      <c r="P86" s="123">
        <f>(VLOOKUP($E86,$D$6:$AI$674,P$2,)/VLOOKUP($E86,$D$6:$AI$674,3,))*$F86</f>
        <v>0</v>
      </c>
      <c r="Q86" s="123">
        <f>(VLOOKUP($E86,$D$6:$AI$674,Q$2,)/VLOOKUP($E86,$D$6:$AI$674,3,))*$F86</f>
        <v>0</v>
      </c>
      <c r="R86" s="123">
        <f>(VLOOKUP($E86,$D$6:$AI$674,15,)/VLOOKUP($E86,$D$6:$AI$674,3,))*$F86</f>
        <v>0</v>
      </c>
      <c r="S86" s="123">
        <f>(VLOOKUP($E86,$D$6:$AI$674,16,)/VLOOKUP($E86,$D$6:$AI$674,3,))*$F86</f>
        <v>0</v>
      </c>
      <c r="T86" s="123">
        <f>(VLOOKUP($E86,$D$6:$AI$674,17,)/VLOOKUP($E86,$D$6:$AI$674,3,))*$F86</f>
        <v>0</v>
      </c>
      <c r="U86" s="124">
        <f>SUM(G86:M86)</f>
        <v>220490310.90330809</v>
      </c>
      <c r="V86" s="109" t="str">
        <f>IF(ABS(F86-U86)&lt;0.01,"ok","err")</f>
        <v>ok</v>
      </c>
    </row>
    <row r="87" spans="1:22" x14ac:dyDescent="0.25">
      <c r="F87" s="7"/>
      <c r="U87" s="124"/>
    </row>
    <row r="88" spans="1:22" x14ac:dyDescent="0.25">
      <c r="A88" s="110" t="s">
        <v>11</v>
      </c>
      <c r="F88" s="7"/>
      <c r="U88" s="124"/>
    </row>
    <row r="89" spans="1:22" x14ac:dyDescent="0.25">
      <c r="A89" s="122" t="s">
        <v>208</v>
      </c>
      <c r="C89" s="116" t="s">
        <v>92</v>
      </c>
      <c r="D89" s="116" t="s">
        <v>211</v>
      </c>
      <c r="E89" s="116" t="s">
        <v>320</v>
      </c>
      <c r="F89" s="123">
        <f>VLOOKUP(C89,'WSS-33'!$C$1:$AR$730,18,)</f>
        <v>58940466.87109194</v>
      </c>
      <c r="G89" s="123">
        <f>(VLOOKUP($E89,$D$6:$AI$674,G$2,)/VLOOKUP($E89,$D$6:$AI$674,3,))*$F89</f>
        <v>38900862.586580887</v>
      </c>
      <c r="H89" s="123">
        <f>(VLOOKUP($E89,$D$6:$AI$674,H$2,)/VLOOKUP($E89,$D$6:$AI$674,3,))*$F89</f>
        <v>17060727.272039302</v>
      </c>
      <c r="I89" s="123">
        <f>(VLOOKUP($E89,$D$6:$AI$674,I$2,)/VLOOKUP($E89,$D$6:$AI$674,3,))*$F89</f>
        <v>1287439.9756073847</v>
      </c>
      <c r="J89" s="123">
        <f>(VLOOKUP($E89,$D$6:$AI$674,J$2,)/VLOOKUP($E89,$D$6:$AI$674,3,))*$F89</f>
        <v>7029.150021097028</v>
      </c>
      <c r="K89" s="123">
        <f>(VLOOKUP($E89,$D$6:$AI$674,8,)/VLOOKUP($E89,$D$6:$AI$674,3,))*$F89</f>
        <v>1684407.8868432601</v>
      </c>
      <c r="L89" s="123">
        <f>(VLOOKUP($E89,$D$6:$AI$674,L$2,)/VLOOKUP($E89,$D$6:$AI$674,3,))*$F89</f>
        <v>0</v>
      </c>
      <c r="M89" s="123">
        <f>(VLOOKUP($E89,$D$6:$AI$674,M$2,)/VLOOKUP($E89,$D$6:$AI$674,3,))*$F89</f>
        <v>0</v>
      </c>
      <c r="N89" s="123">
        <f>(VLOOKUP($E89,$D$6:$AI$674,11,)/VLOOKUP($E89,$D$6:$AI$674,3,))*$F89</f>
        <v>0</v>
      </c>
      <c r="O89" s="123">
        <f>(VLOOKUP($E89,$D$6:$AI$674,O$2,)/VLOOKUP($E89,$D$6:$AI$674,3,))*$F89</f>
        <v>0</v>
      </c>
      <c r="P89" s="123">
        <f>(VLOOKUP($E89,$D$6:$AI$674,P$2,)/VLOOKUP($E89,$D$6:$AI$674,3,))*$F89</f>
        <v>0</v>
      </c>
      <c r="Q89" s="123">
        <f>(VLOOKUP($E89,$D$6:$AI$674,Q$2,)/VLOOKUP($E89,$D$6:$AI$674,3,))*$F89</f>
        <v>0</v>
      </c>
      <c r="R89" s="123">
        <f>(VLOOKUP($E89,$D$6:$AI$674,15,)/VLOOKUP($E89,$D$6:$AI$674,3,))*$F89</f>
        <v>0</v>
      </c>
      <c r="S89" s="123">
        <f>(VLOOKUP($E89,$D$6:$AI$674,16,)/VLOOKUP($E89,$D$6:$AI$674,3,))*$F89</f>
        <v>0</v>
      </c>
      <c r="T89" s="123">
        <f>(VLOOKUP($E89,$D$6:$AI$674,17,)/VLOOKUP($E89,$D$6:$AI$674,3,))*$F89</f>
        <v>0</v>
      </c>
      <c r="U89" s="124">
        <f>SUM(G89:M89)</f>
        <v>58940466.871091932</v>
      </c>
      <c r="V89" s="109" t="str">
        <f>IF(ABS(F89-U89)&lt;0.01,"ok","err")</f>
        <v>ok</v>
      </c>
    </row>
    <row r="90" spans="1:22" x14ac:dyDescent="0.25">
      <c r="F90" s="7"/>
      <c r="U90" s="124"/>
    </row>
    <row r="91" spans="1:22" x14ac:dyDescent="0.25">
      <c r="A91" s="110" t="s">
        <v>12</v>
      </c>
      <c r="F91" s="7"/>
      <c r="U91" s="124"/>
    </row>
    <row r="92" spans="1:22" x14ac:dyDescent="0.25">
      <c r="A92" s="122" t="s">
        <v>208</v>
      </c>
      <c r="C92" s="116" t="s">
        <v>92</v>
      </c>
      <c r="D92" s="116" t="s">
        <v>255</v>
      </c>
      <c r="E92" s="116" t="s">
        <v>869</v>
      </c>
      <c r="F92" s="123">
        <f>VLOOKUP(C92,'WSS-33'!$C$1:$AR$730,19,)</f>
        <v>3361371.443778438</v>
      </c>
      <c r="G92" s="123">
        <f>(VLOOKUP($E92,$D$6:$AI$674,G$2,)/VLOOKUP($E92,$D$6:$AI$674,3,))*$F92</f>
        <v>2867582.2071740059</v>
      </c>
      <c r="H92" s="123">
        <f>(VLOOKUP($E92,$D$6:$AI$674,H$2,)/VLOOKUP($E92,$D$6:$AI$674,3,))*$F92</f>
        <v>481465.90037028363</v>
      </c>
      <c r="I92" s="123">
        <f>(VLOOKUP($E92,$D$6:$AI$674,I$2,)/VLOOKUP($E92,$D$6:$AI$674,3,))*$F92</f>
        <v>4842.5753736202323</v>
      </c>
      <c r="J92" s="123">
        <f>(VLOOKUP($E92,$D$6:$AI$674,J$2,)/VLOOKUP($E92,$D$6:$AI$674,3,))*$F92</f>
        <v>95.907190519596327</v>
      </c>
      <c r="K92" s="123">
        <f>(VLOOKUP($E92,$D$6:$AI$674,8,)/VLOOKUP($E92,$D$6:$AI$674,3,))*$F92</f>
        <v>7384.853670008918</v>
      </c>
      <c r="L92" s="123">
        <f>(VLOOKUP($E92,$D$6:$AI$674,L$2,)/VLOOKUP($E92,$D$6:$AI$674,3,))*$F92</f>
        <v>0</v>
      </c>
      <c r="M92" s="123">
        <f>(VLOOKUP($E92,$D$6:$AI$674,M$2,)/VLOOKUP($E92,$D$6:$AI$674,3,))*$F92</f>
        <v>0</v>
      </c>
      <c r="N92" s="123">
        <f>(VLOOKUP($E92,$D$6:$AI$674,11,)/VLOOKUP($E92,$D$6:$AI$674,3,))*$F92</f>
        <v>0</v>
      </c>
      <c r="O92" s="123">
        <f>(VLOOKUP($E92,$D$6:$AI$674,O$2,)/VLOOKUP($E92,$D$6:$AI$674,3,))*$F92</f>
        <v>0</v>
      </c>
      <c r="P92" s="123">
        <f>(VLOOKUP($E92,$D$6:$AI$674,P$2,)/VLOOKUP($E92,$D$6:$AI$674,3,))*$F92</f>
        <v>0</v>
      </c>
      <c r="Q92" s="123">
        <f>(VLOOKUP($E92,$D$6:$AI$674,Q$2,)/VLOOKUP($E92,$D$6:$AI$674,3,))*$F92</f>
        <v>0</v>
      </c>
      <c r="R92" s="123">
        <f>(VLOOKUP($E92,$D$6:$AI$674,15,)/VLOOKUP($E92,$D$6:$AI$674,3,))*$F92</f>
        <v>0</v>
      </c>
      <c r="S92" s="123">
        <f>(VLOOKUP($E92,$D$6:$AI$674,16,)/VLOOKUP($E92,$D$6:$AI$674,3,))*$F92</f>
        <v>0</v>
      </c>
      <c r="T92" s="123">
        <f>(VLOOKUP($E92,$D$6:$AI$674,17,)/VLOOKUP($E92,$D$6:$AI$674,3,))*$F92</f>
        <v>0</v>
      </c>
      <c r="U92" s="124">
        <f>SUM(G92:M92)</f>
        <v>3361371.443778438</v>
      </c>
      <c r="V92" s="109" t="str">
        <f>IF(ABS(F92-U92)&lt;0.1,"ok","err")</f>
        <v>ok</v>
      </c>
    </row>
    <row r="93" spans="1:22" x14ac:dyDescent="0.25">
      <c r="F93" s="7"/>
      <c r="U93" s="124"/>
    </row>
    <row r="94" spans="1:22" x14ac:dyDescent="0.25">
      <c r="A94" s="110" t="s">
        <v>13</v>
      </c>
      <c r="F94" s="7"/>
      <c r="U94" s="124"/>
    </row>
    <row r="95" spans="1:22" x14ac:dyDescent="0.25">
      <c r="A95" s="122" t="s">
        <v>208</v>
      </c>
      <c r="C95" s="116" t="s">
        <v>92</v>
      </c>
      <c r="D95" s="116" t="s">
        <v>210</v>
      </c>
      <c r="E95" s="116" t="s">
        <v>870</v>
      </c>
      <c r="F95" s="123">
        <f>VLOOKUP(C95,'WSS-33'!$C$1:$AR$730,20,)</f>
        <v>294418.95283479022</v>
      </c>
      <c r="G95" s="123">
        <f>(VLOOKUP($E95,$D$6:$AI$674,G$2,)/VLOOKUP($E95,$D$6:$AI$674,3,))*$F95</f>
        <v>251168.47832051039</v>
      </c>
      <c r="H95" s="123">
        <f>(VLOOKUP($E95,$D$6:$AI$674,H$2,)/VLOOKUP($E95,$D$6:$AI$674,3,))*$F95</f>
        <v>42171.086588793507</v>
      </c>
      <c r="I95" s="123">
        <f>(VLOOKUP($E95,$D$6:$AI$674,I$2,)/VLOOKUP($E95,$D$6:$AI$674,3,))*$F95</f>
        <v>424.15603106396497</v>
      </c>
      <c r="J95" s="123">
        <f>(VLOOKUP($E95,$D$6:$AI$674,J$2,)/VLOOKUP($E95,$D$6:$AI$674,3,))*$F95</f>
        <v>8.4004089028512254</v>
      </c>
      <c r="K95" s="123">
        <f>(VLOOKUP($E95,$D$6:$AI$674,8,)/VLOOKUP($E95,$D$6:$AI$674,3,))*$F95</f>
        <v>646.83148551954446</v>
      </c>
      <c r="L95" s="123">
        <f>(VLOOKUP($E95,$D$6:$AI$674,L$2,)/VLOOKUP($E95,$D$6:$AI$674,3,))*$F95</f>
        <v>0</v>
      </c>
      <c r="M95" s="123">
        <f>(VLOOKUP($E95,$D$6:$AI$674,M$2,)/VLOOKUP($E95,$D$6:$AI$674,3,))*$F95</f>
        <v>0</v>
      </c>
      <c r="N95" s="123">
        <f>(VLOOKUP($E95,$D$6:$AI$674,11,)/VLOOKUP($E95,$D$6:$AI$674,3,))*$F95</f>
        <v>0</v>
      </c>
      <c r="O95" s="123">
        <f>(VLOOKUP($E95,$D$6:$AI$674,O$2,)/VLOOKUP($E95,$D$6:$AI$674,3,))*$F95</f>
        <v>0</v>
      </c>
      <c r="P95" s="123">
        <f>(VLOOKUP($E95,$D$6:$AI$674,P$2,)/VLOOKUP($E95,$D$6:$AI$674,3,))*$F95</f>
        <v>0</v>
      </c>
      <c r="Q95" s="123">
        <f>(VLOOKUP($E95,$D$6:$AI$674,Q$2,)/VLOOKUP($E95,$D$6:$AI$674,3,))*$F95</f>
        <v>0</v>
      </c>
      <c r="R95" s="123">
        <f>(VLOOKUP($E95,$D$6:$AI$674,15,)/VLOOKUP($E95,$D$6:$AI$674,3,))*$F95</f>
        <v>0</v>
      </c>
      <c r="S95" s="123">
        <f>(VLOOKUP($E95,$D$6:$AI$674,16,)/VLOOKUP($E95,$D$6:$AI$674,3,))*$F95</f>
        <v>0</v>
      </c>
      <c r="T95" s="123">
        <f>(VLOOKUP($E95,$D$6:$AI$674,17,)/VLOOKUP($E95,$D$6:$AI$674,3,))*$F95</f>
        <v>0</v>
      </c>
      <c r="U95" s="124">
        <f>SUM(G95:M95)</f>
        <v>294418.95283479028</v>
      </c>
      <c r="V95" s="109" t="str">
        <f>IF(ABS(F95-U95)&lt;0.01,"ok","err")</f>
        <v>ok</v>
      </c>
    </row>
    <row r="96" spans="1:22" x14ac:dyDescent="0.25">
      <c r="F96" s="7"/>
      <c r="U96" s="124"/>
    </row>
    <row r="97" spans="1:24" x14ac:dyDescent="0.25">
      <c r="A97" s="116" t="s">
        <v>14</v>
      </c>
      <c r="D97" s="116" t="s">
        <v>212</v>
      </c>
      <c r="F97" s="123">
        <f t="shared" ref="F97:T97" si="28">F59+F64+F69+F72+F75+F83+F86+F89+F92+F95</f>
        <v>772202130.71483338</v>
      </c>
      <c r="G97" s="123">
        <f t="shared" si="28"/>
        <v>556622430.682567</v>
      </c>
      <c r="H97" s="123">
        <f t="shared" si="28"/>
        <v>186601563.90205878</v>
      </c>
      <c r="I97" s="123">
        <f t="shared" si="28"/>
        <v>13030180.716335788</v>
      </c>
      <c r="J97" s="123">
        <f t="shared" si="28"/>
        <v>179304.76539330394</v>
      </c>
      <c r="K97" s="123">
        <f t="shared" si="28"/>
        <v>15768650.648478346</v>
      </c>
      <c r="L97" s="123">
        <f t="shared" si="28"/>
        <v>0</v>
      </c>
      <c r="M97" s="123">
        <f t="shared" si="28"/>
        <v>0</v>
      </c>
      <c r="N97" s="123">
        <f t="shared" si="28"/>
        <v>0</v>
      </c>
      <c r="O97" s="123">
        <f t="shared" si="28"/>
        <v>0</v>
      </c>
      <c r="P97" s="123">
        <f t="shared" si="28"/>
        <v>0</v>
      </c>
      <c r="Q97" s="123">
        <f t="shared" si="28"/>
        <v>0</v>
      </c>
      <c r="R97" s="123">
        <f t="shared" si="28"/>
        <v>0</v>
      </c>
      <c r="S97" s="123">
        <f t="shared" si="28"/>
        <v>0</v>
      </c>
      <c r="T97" s="123">
        <f t="shared" si="28"/>
        <v>0</v>
      </c>
      <c r="U97" s="124">
        <f>SUM(G97:M97)</f>
        <v>772202130.71483314</v>
      </c>
      <c r="V97" s="109" t="str">
        <f>IF(ABS(F97-U97)&lt;0.01,"ok","err")</f>
        <v>ok</v>
      </c>
      <c r="W97" s="124"/>
      <c r="X97" s="109"/>
    </row>
    <row r="98" spans="1:24" x14ac:dyDescent="0.25"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4"/>
      <c r="V98" s="109"/>
    </row>
    <row r="99" spans="1:24" x14ac:dyDescent="0.25"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4"/>
      <c r="V99" s="109"/>
    </row>
    <row r="100" spans="1:24" x14ac:dyDescent="0.25"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4"/>
      <c r="V100" s="109"/>
    </row>
    <row r="101" spans="1:24" x14ac:dyDescent="0.25">
      <c r="A101" s="121" t="s">
        <v>171</v>
      </c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4"/>
      <c r="V101" s="109"/>
    </row>
    <row r="102" spans="1:24" x14ac:dyDescent="0.25"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4"/>
      <c r="V102" s="109"/>
    </row>
    <row r="103" spans="1:24" x14ac:dyDescent="0.25">
      <c r="A103" s="110" t="s">
        <v>452</v>
      </c>
      <c r="U103" s="124"/>
    </row>
    <row r="104" spans="1:24" x14ac:dyDescent="0.25">
      <c r="A104" s="122" t="s">
        <v>207</v>
      </c>
      <c r="C104" s="116" t="s">
        <v>90</v>
      </c>
      <c r="D104" s="116" t="s">
        <v>257</v>
      </c>
      <c r="E104" s="116" t="s">
        <v>310</v>
      </c>
      <c r="F104" s="123">
        <f>VLOOKUP(C104,'WSS-33'!$C$1:$AR$730,5,)</f>
        <v>119614.67819107101</v>
      </c>
      <c r="G104" s="123">
        <f t="shared" ref="G104:J105" si="29">(VLOOKUP($E104,$D$6:$AI$674,G$2,)/VLOOKUP($E104,$D$6:$AI$674,3,))*$F104</f>
        <v>77195.157031613664</v>
      </c>
      <c r="H104" s="123">
        <f t="shared" si="29"/>
        <v>37445.492810335556</v>
      </c>
      <c r="I104" s="123">
        <f t="shared" si="29"/>
        <v>4674.0755509545033</v>
      </c>
      <c r="J104" s="123">
        <f t="shared" si="29"/>
        <v>299.95279816729425</v>
      </c>
      <c r="K104" s="123">
        <f>(VLOOKUP($E104,$D$6:$AI$674,8,)/VLOOKUP($E104,$D$6:$AI$674,3,))*$F104</f>
        <v>0</v>
      </c>
      <c r="L104" s="123">
        <f>(VLOOKUP($E104,$D$6:$AI$674,L$2,)/VLOOKUP($E104,$D$6:$AI$674,3,))*$F104</f>
        <v>0</v>
      </c>
      <c r="M104" s="123">
        <f>(VLOOKUP($E104,$D$6:$AI$674,M$2,)/VLOOKUP($E104,$D$6:$AI$674,3,))*$F104</f>
        <v>0</v>
      </c>
      <c r="N104" s="123">
        <f>(VLOOKUP($E104,$D$6:$AI$674,11,)/VLOOKUP($E104,$D$6:$AI$674,3,))*$F104</f>
        <v>0</v>
      </c>
      <c r="O104" s="123">
        <f t="shared" ref="O104:Q105" si="30">(VLOOKUP($E104,$D$6:$AI$674,O$2,)/VLOOKUP($E104,$D$6:$AI$674,3,))*$F104</f>
        <v>0</v>
      </c>
      <c r="P104" s="123">
        <f t="shared" si="30"/>
        <v>0</v>
      </c>
      <c r="Q104" s="123">
        <f t="shared" si="30"/>
        <v>0</v>
      </c>
      <c r="R104" s="123">
        <f>(VLOOKUP($E104,$D$6:$AI$674,15,)/VLOOKUP($E104,$D$6:$AI$674,3,))*$F104</f>
        <v>0</v>
      </c>
      <c r="S104" s="123">
        <f>(VLOOKUP($E104,$D$6:$AI$674,16,)/VLOOKUP($E104,$D$6:$AI$674,3,))*$F104</f>
        <v>0</v>
      </c>
      <c r="T104" s="123">
        <f>(VLOOKUP($E104,$D$6:$AI$674,17,)/VLOOKUP($E104,$D$6:$AI$674,3,))*$F104</f>
        <v>0</v>
      </c>
      <c r="U104" s="124">
        <f>SUM(G104:M104)</f>
        <v>119614.67819107101</v>
      </c>
      <c r="V104" s="109" t="str">
        <f>IF(ABS(F104-U104)&lt;0.01,"ok","err")</f>
        <v>ok</v>
      </c>
    </row>
    <row r="105" spans="1:24" x14ac:dyDescent="0.25">
      <c r="A105" s="122" t="s">
        <v>226</v>
      </c>
      <c r="C105" s="116" t="s">
        <v>90</v>
      </c>
      <c r="D105" s="116" t="s">
        <v>267</v>
      </c>
      <c r="E105" s="116" t="s">
        <v>311</v>
      </c>
      <c r="F105" s="7">
        <f>VLOOKUP(C105,'WSS-33'!$C$1:$AR$730,6,)</f>
        <v>899249.70163065824</v>
      </c>
      <c r="G105" s="7">
        <f t="shared" si="29"/>
        <v>555644.98827532562</v>
      </c>
      <c r="H105" s="7">
        <f t="shared" si="29"/>
        <v>285882.25474597822</v>
      </c>
      <c r="I105" s="7">
        <f t="shared" si="29"/>
        <v>51520.960554590325</v>
      </c>
      <c r="J105" s="7">
        <f t="shared" si="29"/>
        <v>6201.4980547639252</v>
      </c>
      <c r="K105" s="7">
        <f>(VLOOKUP($E105,$D$6:$AI$674,8,)/VLOOKUP($E105,$D$6:$AI$674,3,))*$F105</f>
        <v>0</v>
      </c>
      <c r="L105" s="7">
        <f>(VLOOKUP($E105,$D$6:$AI$674,L$2,)/VLOOKUP($E105,$D$6:$AI$674,3,))*$F105</f>
        <v>0</v>
      </c>
      <c r="M105" s="7">
        <f>(VLOOKUP($E105,$D$6:$AI$674,M$2,)/VLOOKUP($E105,$D$6:$AI$674,3,))*$F105</f>
        <v>0</v>
      </c>
      <c r="N105" s="7">
        <f>(VLOOKUP($E105,$D$6:$AI$674,11,)/VLOOKUP($E105,$D$6:$AI$674,3,))*$F105</f>
        <v>0</v>
      </c>
      <c r="O105" s="7">
        <f t="shared" si="30"/>
        <v>0</v>
      </c>
      <c r="P105" s="7">
        <f t="shared" si="30"/>
        <v>0</v>
      </c>
      <c r="Q105" s="7">
        <f t="shared" si="30"/>
        <v>0</v>
      </c>
      <c r="R105" s="7">
        <f>(VLOOKUP($E105,$D$6:$AI$674,15,)/VLOOKUP($E105,$D$6:$AI$674,3,))*$F105</f>
        <v>0</v>
      </c>
      <c r="S105" s="7">
        <f>(VLOOKUP($E105,$D$6:$AI$674,16,)/VLOOKUP($E105,$D$6:$AI$674,3,))*$F105</f>
        <v>0</v>
      </c>
      <c r="T105" s="7">
        <f>(VLOOKUP($E105,$D$6:$AI$674,17,)/VLOOKUP($E105,$D$6:$AI$674,3,))*$F105</f>
        <v>0</v>
      </c>
      <c r="U105" s="124">
        <f>SUM(G105:M105)</f>
        <v>899249.701630658</v>
      </c>
      <c r="V105" s="109" t="str">
        <f>IF(ABS(F105-U105)&lt;0.01,"ok","err")</f>
        <v>ok</v>
      </c>
    </row>
    <row r="106" spans="1:24" x14ac:dyDescent="0.25">
      <c r="A106" s="116" t="s">
        <v>654</v>
      </c>
      <c r="D106" s="116" t="s">
        <v>333</v>
      </c>
      <c r="F106" s="123">
        <f t="shared" ref="F106:T106" si="31">F104+F105</f>
        <v>1018864.3798217293</v>
      </c>
      <c r="G106" s="123">
        <f t="shared" si="31"/>
        <v>632840.14530693926</v>
      </c>
      <c r="H106" s="123">
        <f t="shared" si="31"/>
        <v>323327.74755631376</v>
      </c>
      <c r="I106" s="123">
        <f t="shared" si="31"/>
        <v>56195.03610554483</v>
      </c>
      <c r="J106" s="123">
        <f t="shared" si="31"/>
        <v>6501.4508529312197</v>
      </c>
      <c r="K106" s="123">
        <f t="shared" si="31"/>
        <v>0</v>
      </c>
      <c r="L106" s="123">
        <f t="shared" si="31"/>
        <v>0</v>
      </c>
      <c r="M106" s="123">
        <f t="shared" si="31"/>
        <v>0</v>
      </c>
      <c r="N106" s="123">
        <f t="shared" si="31"/>
        <v>0</v>
      </c>
      <c r="O106" s="123">
        <f t="shared" si="31"/>
        <v>0</v>
      </c>
      <c r="P106" s="123">
        <f t="shared" si="31"/>
        <v>0</v>
      </c>
      <c r="Q106" s="123">
        <f t="shared" si="31"/>
        <v>0</v>
      </c>
      <c r="R106" s="123">
        <f t="shared" si="31"/>
        <v>0</v>
      </c>
      <c r="S106" s="123">
        <f t="shared" si="31"/>
        <v>0</v>
      </c>
      <c r="T106" s="123">
        <f t="shared" si="31"/>
        <v>0</v>
      </c>
      <c r="U106" s="124">
        <f>SUM(G106:M106)</f>
        <v>1018864.3798217291</v>
      </c>
      <c r="V106" s="109" t="str">
        <f>IF(ABS(F106-U106)&lt;0.01,"ok","err")</f>
        <v>ok</v>
      </c>
    </row>
    <row r="107" spans="1:24" x14ac:dyDescent="0.25">
      <c r="F107" s="7"/>
      <c r="G107" s="7"/>
      <c r="U107" s="124"/>
    </row>
    <row r="108" spans="1:24" x14ac:dyDescent="0.25">
      <c r="A108" s="110" t="s">
        <v>3</v>
      </c>
      <c r="F108" s="7"/>
      <c r="G108" s="7"/>
      <c r="U108" s="124"/>
    </row>
    <row r="109" spans="1:24" x14ac:dyDescent="0.25">
      <c r="A109" s="122" t="s">
        <v>207</v>
      </c>
      <c r="C109" s="116" t="s">
        <v>90</v>
      </c>
      <c r="D109" s="116" t="s">
        <v>258</v>
      </c>
      <c r="E109" s="116" t="s">
        <v>312</v>
      </c>
      <c r="F109" s="123">
        <f>VLOOKUP(C109,'WSS-33'!$C$1:$AR$730,7,)</f>
        <v>5252400.3008670649</v>
      </c>
      <c r="G109" s="123">
        <f t="shared" ref="G109:J110" si="32">(VLOOKUP($E109,$D$6:$AI$674,G$2,)/VLOOKUP($E109,$D$6:$AI$674,3,))*$F109</f>
        <v>3443369.8165030242</v>
      </c>
      <c r="H109" s="123">
        <f t="shared" si="32"/>
        <v>1628096.370841173</v>
      </c>
      <c r="I109" s="123">
        <f t="shared" si="32"/>
        <v>149762.18241295827</v>
      </c>
      <c r="J109" s="123">
        <f t="shared" si="32"/>
        <v>0</v>
      </c>
      <c r="K109" s="123">
        <f>(VLOOKUP($E109,$D$6:$AI$674,8,)/VLOOKUP($E109,$D$6:$AI$674,3,))*$F109</f>
        <v>31171.931109909368</v>
      </c>
      <c r="L109" s="123">
        <f>(VLOOKUP($E109,$D$6:$AI$674,L$2,)/VLOOKUP($E109,$D$6:$AI$674,3,))*$F109</f>
        <v>0</v>
      </c>
      <c r="M109" s="123">
        <f>(VLOOKUP($E109,$D$6:$AI$674,M$2,)/VLOOKUP($E109,$D$6:$AI$674,3,))*$F109</f>
        <v>0</v>
      </c>
      <c r="N109" s="123">
        <f>(VLOOKUP($E109,$D$6:$AI$674,11,)/VLOOKUP($E109,$D$6:$AI$674,3,))*$F109</f>
        <v>0</v>
      </c>
      <c r="O109" s="123">
        <f t="shared" ref="O109:Q110" si="33">(VLOOKUP($E109,$D$6:$AI$674,O$2,)/VLOOKUP($E109,$D$6:$AI$674,3,))*$F109</f>
        <v>0</v>
      </c>
      <c r="P109" s="123">
        <f t="shared" si="33"/>
        <v>0</v>
      </c>
      <c r="Q109" s="123">
        <f t="shared" si="33"/>
        <v>0</v>
      </c>
      <c r="R109" s="123">
        <f>(VLOOKUP($E109,$D$6:$AI$674,15,)/VLOOKUP($E109,$D$6:$AI$674,3,))*$F109</f>
        <v>0</v>
      </c>
      <c r="S109" s="123">
        <f>(VLOOKUP($E109,$D$6:$AI$674,16,)/VLOOKUP($E109,$D$6:$AI$674,3,))*$F109</f>
        <v>0</v>
      </c>
      <c r="T109" s="123">
        <f>(VLOOKUP($E109,$D$6:$AI$674,17,)/VLOOKUP($E109,$D$6:$AI$674,3,))*$F109</f>
        <v>0</v>
      </c>
      <c r="U109" s="124">
        <f>SUM(G109:M109)</f>
        <v>5252400.3008670649</v>
      </c>
      <c r="V109" s="109" t="str">
        <f>IF(ABS(F109-U109)&lt;0.01,"ok","err")</f>
        <v>ok</v>
      </c>
    </row>
    <row r="110" spans="1:24" x14ac:dyDescent="0.25">
      <c r="A110" s="116" t="s">
        <v>226</v>
      </c>
      <c r="C110" s="116" t="s">
        <v>90</v>
      </c>
      <c r="D110" s="116" t="s">
        <v>259</v>
      </c>
      <c r="E110" s="116" t="s">
        <v>313</v>
      </c>
      <c r="F110" s="7">
        <f>VLOOKUP(C110,'WSS-33'!$C$1:$AR$730,8,)</f>
        <v>9221137.8001638092</v>
      </c>
      <c r="G110" s="7">
        <f t="shared" si="32"/>
        <v>5959264.2635173788</v>
      </c>
      <c r="H110" s="7">
        <f t="shared" si="32"/>
        <v>2899891.5737186512</v>
      </c>
      <c r="I110" s="7">
        <f t="shared" si="32"/>
        <v>361981.96292777883</v>
      </c>
      <c r="J110" s="7">
        <f t="shared" si="32"/>
        <v>0</v>
      </c>
      <c r="K110" s="7">
        <f>(VLOOKUP($E110,$D$6:$AI$674,8,)/VLOOKUP($E110,$D$6:$AI$674,3,))*$F110</f>
        <v>0</v>
      </c>
      <c r="L110" s="7">
        <f>(VLOOKUP($E110,$D$6:$AI$674,L$2,)/VLOOKUP($E110,$D$6:$AI$674,3,))*$F110</f>
        <v>0</v>
      </c>
      <c r="M110" s="7">
        <f>(VLOOKUP($E110,$D$6:$AI$674,M$2,)/VLOOKUP($E110,$D$6:$AI$674,3,))*$F110</f>
        <v>0</v>
      </c>
      <c r="N110" s="7">
        <f>(VLOOKUP($E110,$D$6:$AI$674,11,)/VLOOKUP($E110,$D$6:$AI$674,3,))*$F110</f>
        <v>0</v>
      </c>
      <c r="O110" s="7">
        <f t="shared" si="33"/>
        <v>0</v>
      </c>
      <c r="P110" s="7">
        <f t="shared" si="33"/>
        <v>0</v>
      </c>
      <c r="Q110" s="7">
        <f t="shared" si="33"/>
        <v>0</v>
      </c>
      <c r="R110" s="7">
        <f>(VLOOKUP($E110,$D$6:$AI$674,15,)/VLOOKUP($E110,$D$6:$AI$674,3,))*$F110</f>
        <v>0</v>
      </c>
      <c r="S110" s="7">
        <f>(VLOOKUP($E110,$D$6:$AI$674,16,)/VLOOKUP($E110,$D$6:$AI$674,3,))*$F110</f>
        <v>0</v>
      </c>
      <c r="T110" s="7">
        <f>(VLOOKUP($E110,$D$6:$AI$674,17,)/VLOOKUP($E110,$D$6:$AI$674,3,))*$F110</f>
        <v>0</v>
      </c>
      <c r="U110" s="124">
        <f>SUM(G110:M110)</f>
        <v>9221137.8001638092</v>
      </c>
      <c r="V110" s="109" t="str">
        <f>IF(ABS(F110-U110)&lt;0.01,"ok","err")</f>
        <v>ok</v>
      </c>
    </row>
    <row r="111" spans="1:24" x14ac:dyDescent="0.25">
      <c r="A111" s="116" t="s">
        <v>227</v>
      </c>
      <c r="D111" s="116" t="s">
        <v>334</v>
      </c>
      <c r="F111" s="123">
        <f>SUM(F109:F110)</f>
        <v>14473538.101030875</v>
      </c>
      <c r="G111" s="123">
        <f t="shared" ref="G111:T111" si="34">G109+G110</f>
        <v>9402634.0800204035</v>
      </c>
      <c r="H111" s="123">
        <f t="shared" si="34"/>
        <v>4527987.9445598237</v>
      </c>
      <c r="I111" s="123">
        <f t="shared" si="34"/>
        <v>511744.14534073707</v>
      </c>
      <c r="J111" s="123">
        <f t="shared" si="34"/>
        <v>0</v>
      </c>
      <c r="K111" s="123">
        <f t="shared" si="34"/>
        <v>31171.931109909368</v>
      </c>
      <c r="L111" s="123">
        <f t="shared" si="34"/>
        <v>0</v>
      </c>
      <c r="M111" s="123">
        <f t="shared" si="34"/>
        <v>0</v>
      </c>
      <c r="N111" s="123">
        <f t="shared" si="34"/>
        <v>0</v>
      </c>
      <c r="O111" s="123">
        <f t="shared" si="34"/>
        <v>0</v>
      </c>
      <c r="P111" s="123">
        <f t="shared" si="34"/>
        <v>0</v>
      </c>
      <c r="Q111" s="123">
        <f t="shared" si="34"/>
        <v>0</v>
      </c>
      <c r="R111" s="123">
        <f t="shared" si="34"/>
        <v>0</v>
      </c>
      <c r="S111" s="123">
        <f t="shared" si="34"/>
        <v>0</v>
      </c>
      <c r="T111" s="123">
        <f t="shared" si="34"/>
        <v>0</v>
      </c>
      <c r="U111" s="124">
        <f>SUM(G111:M111)</f>
        <v>14473538.101030873</v>
      </c>
      <c r="V111" s="109" t="str">
        <f>IF(ABS(F111-U111)&lt;0.01,"ok","err")</f>
        <v>ok</v>
      </c>
    </row>
    <row r="112" spans="1:24" x14ac:dyDescent="0.25">
      <c r="F112" s="7"/>
      <c r="G112" s="7"/>
      <c r="U112" s="124"/>
    </row>
    <row r="113" spans="1:22" x14ac:dyDescent="0.25">
      <c r="A113" s="110" t="s">
        <v>4</v>
      </c>
      <c r="F113" s="7"/>
      <c r="G113" s="7"/>
      <c r="U113" s="124"/>
    </row>
    <row r="114" spans="1:22" x14ac:dyDescent="0.25">
      <c r="A114" s="122" t="s">
        <v>854</v>
      </c>
      <c r="C114" s="116" t="s">
        <v>90</v>
      </c>
      <c r="D114" s="116" t="s">
        <v>260</v>
      </c>
      <c r="E114" s="116" t="s">
        <v>317</v>
      </c>
      <c r="F114" s="123">
        <f>VLOOKUP(C114,'WSS-33'!$C$1:$AR$730,9,)</f>
        <v>5474944.0006003492</v>
      </c>
      <c r="G114" s="123">
        <f t="shared" ref="G114:J115" si="35">(VLOOKUP($E114,$D$6:$AI$674,G$2,)/VLOOKUP($E114,$D$6:$AI$674,3,))*$F114</f>
        <v>2912742.2778154104</v>
      </c>
      <c r="H114" s="123">
        <f t="shared" si="35"/>
        <v>1412900.4229841828</v>
      </c>
      <c r="I114" s="123">
        <f t="shared" si="35"/>
        <v>176363.10347024823</v>
      </c>
      <c r="J114" s="123">
        <f t="shared" si="35"/>
        <v>11317.875760173807</v>
      </c>
      <c r="K114" s="123">
        <f>(VLOOKUP($E114,$D$6:$AI$674,8,)/VLOOKUP($E114,$D$6:$AI$674,3,))*$F114</f>
        <v>961620.32057033409</v>
      </c>
      <c r="L114" s="123">
        <f>(VLOOKUP($E114,$D$6:$AI$674,L$2,)/VLOOKUP($E114,$D$6:$AI$674,3,))*$F114</f>
        <v>0</v>
      </c>
      <c r="M114" s="123">
        <f>(VLOOKUP($E114,$D$6:$AI$674,M$2,)/VLOOKUP($E114,$D$6:$AI$674,3,))*$F114</f>
        <v>0</v>
      </c>
      <c r="N114" s="123">
        <f>(VLOOKUP($E114,$D$6:$AI$674,11,)/VLOOKUP($E114,$D$6:$AI$674,3,))*$F114</f>
        <v>0</v>
      </c>
      <c r="O114" s="123">
        <f t="shared" ref="O114:Q115" si="36">(VLOOKUP($E114,$D$6:$AI$674,O$2,)/VLOOKUP($E114,$D$6:$AI$674,3,))*$F114</f>
        <v>0</v>
      </c>
      <c r="P114" s="123">
        <f t="shared" si="36"/>
        <v>0</v>
      </c>
      <c r="Q114" s="123">
        <f t="shared" si="36"/>
        <v>0</v>
      </c>
      <c r="R114" s="123">
        <f>(VLOOKUP($E114,$D$6:$AI$674,15,)/VLOOKUP($E114,$D$6:$AI$674,3,))*$F114</f>
        <v>0</v>
      </c>
      <c r="S114" s="123">
        <f>(VLOOKUP($E114,$D$6:$AI$674,16,)/VLOOKUP($E114,$D$6:$AI$674,3,))*$F114</f>
        <v>0</v>
      </c>
      <c r="T114" s="123">
        <f>(VLOOKUP($E114,$D$6:$AI$674,17,)/VLOOKUP($E114,$D$6:$AI$674,3,))*$F114</f>
        <v>0</v>
      </c>
      <c r="U114" s="124">
        <f>SUM(G114:M114)</f>
        <v>5474944.0006003492</v>
      </c>
      <c r="V114" s="109" t="str">
        <f>IF(ABS(F114-U114)&lt;0.01,"ok","err")</f>
        <v>ok</v>
      </c>
    </row>
    <row r="115" spans="1:22" x14ac:dyDescent="0.25">
      <c r="A115" s="116" t="s">
        <v>850</v>
      </c>
      <c r="C115" s="116" t="s">
        <v>90</v>
      </c>
      <c r="D115" s="116" t="s">
        <v>261</v>
      </c>
      <c r="E115" s="116" t="s">
        <v>314</v>
      </c>
      <c r="F115" s="7">
        <f>VLOOKUP(C115,'WSS-33'!$C$1:$AR$730,10,)</f>
        <v>13333350.286430379</v>
      </c>
      <c r="G115" s="7">
        <f t="shared" si="35"/>
        <v>8741080.896209918</v>
      </c>
      <c r="H115" s="7">
        <f t="shared" si="35"/>
        <v>4132963.5916949944</v>
      </c>
      <c r="I115" s="7">
        <f t="shared" si="35"/>
        <v>380175.06728164252</v>
      </c>
      <c r="J115" s="7">
        <f t="shared" si="35"/>
        <v>0</v>
      </c>
      <c r="K115" s="7">
        <f>(VLOOKUP($E115,$D$6:$AI$674,8,)/VLOOKUP($E115,$D$6:$AI$674,3,))*$F115</f>
        <v>79130.731243825168</v>
      </c>
      <c r="L115" s="7">
        <f>(VLOOKUP($E115,$D$6:$AI$674,L$2,)/VLOOKUP($E115,$D$6:$AI$674,3,))*$F115</f>
        <v>0</v>
      </c>
      <c r="M115" s="7">
        <f>(VLOOKUP($E115,$D$6:$AI$674,M$2,)/VLOOKUP($E115,$D$6:$AI$674,3,))*$F115</f>
        <v>0</v>
      </c>
      <c r="N115" s="7">
        <f>(VLOOKUP($E115,$D$6:$AI$674,11,)/VLOOKUP($E115,$D$6:$AI$674,3,))*$F115</f>
        <v>0</v>
      </c>
      <c r="O115" s="7">
        <f t="shared" si="36"/>
        <v>0</v>
      </c>
      <c r="P115" s="7">
        <f t="shared" si="36"/>
        <v>0</v>
      </c>
      <c r="Q115" s="7">
        <f t="shared" si="36"/>
        <v>0</v>
      </c>
      <c r="R115" s="7">
        <f>(VLOOKUP($E115,$D$6:$AI$674,15,)/VLOOKUP($E115,$D$6:$AI$674,3,))*$F115</f>
        <v>0</v>
      </c>
      <c r="S115" s="7">
        <f>(VLOOKUP($E115,$D$6:$AI$674,16,)/VLOOKUP($E115,$D$6:$AI$674,3,))*$F115</f>
        <v>0</v>
      </c>
      <c r="T115" s="7">
        <f>(VLOOKUP($E115,$D$6:$AI$674,17,)/VLOOKUP($E115,$D$6:$AI$674,3,))*$F115</f>
        <v>0</v>
      </c>
      <c r="U115" s="124">
        <f>SUM(G115:M115)</f>
        <v>13333350.286430379</v>
      </c>
      <c r="V115" s="109" t="str">
        <f>IF(ABS(F115-U115)&lt;0.01,"ok","err")</f>
        <v>ok</v>
      </c>
    </row>
    <row r="116" spans="1:22" x14ac:dyDescent="0.25">
      <c r="A116" s="116" t="s">
        <v>228</v>
      </c>
      <c r="D116" s="116" t="s">
        <v>660</v>
      </c>
      <c r="F116" s="123">
        <f>SUM(F114:F115)</f>
        <v>18808294.287030727</v>
      </c>
      <c r="G116" s="123">
        <f t="shared" ref="G116:T116" si="37">G114+G115</f>
        <v>11653823.174025329</v>
      </c>
      <c r="H116" s="123">
        <f t="shared" si="37"/>
        <v>5545864.0146791767</v>
      </c>
      <c r="I116" s="123">
        <f t="shared" si="37"/>
        <v>556538.17075189075</v>
      </c>
      <c r="J116" s="123">
        <f t="shared" si="37"/>
        <v>11317.875760173807</v>
      </c>
      <c r="K116" s="123">
        <f t="shared" si="37"/>
        <v>1040751.0518141593</v>
      </c>
      <c r="L116" s="123">
        <f t="shared" si="37"/>
        <v>0</v>
      </c>
      <c r="M116" s="123">
        <f t="shared" si="37"/>
        <v>0</v>
      </c>
      <c r="N116" s="123">
        <f t="shared" si="37"/>
        <v>0</v>
      </c>
      <c r="O116" s="123">
        <f t="shared" si="37"/>
        <v>0</v>
      </c>
      <c r="P116" s="123">
        <f t="shared" si="37"/>
        <v>0</v>
      </c>
      <c r="Q116" s="123">
        <f t="shared" si="37"/>
        <v>0</v>
      </c>
      <c r="R116" s="123">
        <f t="shared" si="37"/>
        <v>0</v>
      </c>
      <c r="S116" s="123">
        <f t="shared" si="37"/>
        <v>0</v>
      </c>
      <c r="T116" s="123">
        <f t="shared" si="37"/>
        <v>0</v>
      </c>
      <c r="U116" s="124">
        <f>SUM(G116:M116)</f>
        <v>18808294.28703073</v>
      </c>
      <c r="V116" s="109" t="str">
        <f>IF(ABS(F116-U116)&lt;0.01,"ok","err")</f>
        <v>ok</v>
      </c>
    </row>
    <row r="117" spans="1:22" x14ac:dyDescent="0.25">
      <c r="F117" s="7"/>
      <c r="U117" s="124"/>
    </row>
    <row r="118" spans="1:22" x14ac:dyDescent="0.25">
      <c r="A118" s="110" t="s">
        <v>6</v>
      </c>
      <c r="F118" s="7"/>
      <c r="U118" s="124"/>
    </row>
    <row r="119" spans="1:22" x14ac:dyDescent="0.25">
      <c r="A119" s="116" t="s">
        <v>226</v>
      </c>
      <c r="C119" s="116" t="s">
        <v>90</v>
      </c>
      <c r="D119" s="116" t="s">
        <v>262</v>
      </c>
      <c r="E119" s="116" t="s">
        <v>316</v>
      </c>
      <c r="F119" s="123">
        <f>VLOOKUP(C119,'WSS-33'!$C$1:$AR$730,11,)</f>
        <v>1624322.1946467361</v>
      </c>
      <c r="G119" s="123">
        <f>(VLOOKUP($E119,$D$6:$AI$674,G$2,)/VLOOKUP($E119,$D$6:$AI$674,3,))*$F119</f>
        <v>704543.35777409526</v>
      </c>
      <c r="H119" s="123">
        <f>(VLOOKUP($E119,$D$6:$AI$674,H$2,)/VLOOKUP($E119,$D$6:$AI$674,3,))*$F119</f>
        <v>362491.24519585812</v>
      </c>
      <c r="I119" s="123">
        <f>(VLOOKUP($E119,$D$6:$AI$674,I$2,)/VLOOKUP($E119,$D$6:$AI$674,3,))*$F119</f>
        <v>65327.234674690371</v>
      </c>
      <c r="J119" s="123">
        <f>(VLOOKUP($E119,$D$6:$AI$674,J$2,)/VLOOKUP($E119,$D$6:$AI$674,3,))*$F119</f>
        <v>7863.3378414778708</v>
      </c>
      <c r="K119" s="123">
        <f>(VLOOKUP($E119,$D$6:$AI$674,8,)/VLOOKUP($E119,$D$6:$AI$674,3,))*$F119</f>
        <v>484097.01916061441</v>
      </c>
      <c r="L119" s="123">
        <f>(VLOOKUP($E119,$D$6:$AI$674,L$2,)/VLOOKUP($E119,$D$6:$AI$674,3,))*$F119</f>
        <v>0</v>
      </c>
      <c r="M119" s="123">
        <f>(VLOOKUP($E119,$D$6:$AI$674,M$2,)/VLOOKUP($E119,$D$6:$AI$674,3,))*$F119</f>
        <v>0</v>
      </c>
      <c r="N119" s="123">
        <f>(VLOOKUP($E119,$D$6:$AI$674,11,)/VLOOKUP($E119,$D$6:$AI$674,3,))*$F119</f>
        <v>0</v>
      </c>
      <c r="O119" s="123">
        <f>(VLOOKUP($E119,$D$6:$AI$674,O$2,)/VLOOKUP($E119,$D$6:$AI$674,3,))*$F119</f>
        <v>0</v>
      </c>
      <c r="P119" s="123">
        <f>(VLOOKUP($E119,$D$6:$AI$674,P$2,)/VLOOKUP($E119,$D$6:$AI$674,3,))*$F119</f>
        <v>0</v>
      </c>
      <c r="Q119" s="123">
        <f>(VLOOKUP($E119,$D$6:$AI$674,Q$2,)/VLOOKUP($E119,$D$6:$AI$674,3,))*$F119</f>
        <v>0</v>
      </c>
      <c r="R119" s="123">
        <f>(VLOOKUP($E119,$D$6:$AI$674,15,)/VLOOKUP($E119,$D$6:$AI$674,3,))*$F119</f>
        <v>0</v>
      </c>
      <c r="S119" s="123">
        <f>(VLOOKUP($E119,$D$6:$AI$674,16,)/VLOOKUP($E119,$D$6:$AI$674,3,))*$F119</f>
        <v>0</v>
      </c>
      <c r="T119" s="123">
        <f>(VLOOKUP($E119,$D$6:$AI$674,17,)/VLOOKUP($E119,$D$6:$AI$674,3,))*$F119</f>
        <v>0</v>
      </c>
      <c r="U119" s="124">
        <f>SUM(G119:M119)</f>
        <v>1624322.1946467359</v>
      </c>
      <c r="V119" s="109" t="str">
        <f>IF(ABS(F119-U119)&lt;0.01,"ok","err")</f>
        <v>ok</v>
      </c>
    </row>
    <row r="120" spans="1:22" x14ac:dyDescent="0.25">
      <c r="A120" s="122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124"/>
      <c r="V120" s="109"/>
    </row>
    <row r="121" spans="1:22" x14ac:dyDescent="0.25">
      <c r="A121" s="110" t="s">
        <v>7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124"/>
      <c r="V121" s="109"/>
    </row>
    <row r="122" spans="1:22" x14ac:dyDescent="0.25">
      <c r="A122" s="122" t="s">
        <v>207</v>
      </c>
      <c r="C122" s="116" t="s">
        <v>90</v>
      </c>
      <c r="D122" s="116" t="s">
        <v>263</v>
      </c>
      <c r="E122" s="116" t="s">
        <v>317</v>
      </c>
      <c r="F122" s="123">
        <f>VLOOKUP(C122,'WSS-33'!$C$1:$AR$730,12,)</f>
        <v>4118775.1060361955</v>
      </c>
      <c r="G122" s="123">
        <f>(VLOOKUP($E122,$D$6:$AI$674,G$2,)/VLOOKUP($E122,$D$6:$AI$674,3,))*$F122</f>
        <v>2191242.573960531</v>
      </c>
      <c r="H122" s="123">
        <f>(VLOOKUP($E122,$D$6:$AI$674,H$2,)/VLOOKUP($E122,$D$6:$AI$674,3,))*$F122</f>
        <v>1062918.4679984199</v>
      </c>
      <c r="I122" s="123">
        <f>(VLOOKUP($E122,$D$6:$AI$674,I$2,)/VLOOKUP($E122,$D$6:$AI$674,3,))*$F122</f>
        <v>132677.14886524712</v>
      </c>
      <c r="J122" s="123">
        <f>(VLOOKUP($E122,$D$6:$AI$674,J$2,)/VLOOKUP($E122,$D$6:$AI$674,3,))*$F122</f>
        <v>8514.385704968443</v>
      </c>
      <c r="K122" s="123">
        <f>(VLOOKUP($E122,$D$6:$AI$674,8,)/VLOOKUP($E122,$D$6:$AI$674,3,))*$F122</f>
        <v>723422.5295070291</v>
      </c>
      <c r="L122" s="123">
        <f>(VLOOKUP($E122,$D$6:$AI$674,L$2,)/VLOOKUP($E122,$D$6:$AI$674,3,))*$F122</f>
        <v>0</v>
      </c>
      <c r="M122" s="123">
        <f>(VLOOKUP($E122,$D$6:$AI$674,M$2,)/VLOOKUP($E122,$D$6:$AI$674,3,))*$F122</f>
        <v>0</v>
      </c>
      <c r="N122" s="123">
        <f>(VLOOKUP($E122,$D$6:$AI$674,11,)/VLOOKUP($E122,$D$6:$AI$674,3,))*$F122</f>
        <v>0</v>
      </c>
      <c r="O122" s="123">
        <f>(VLOOKUP($E122,$D$6:$AI$674,O$2,)/VLOOKUP($E122,$D$6:$AI$674,3,))*$F122</f>
        <v>0</v>
      </c>
      <c r="P122" s="123">
        <f>(VLOOKUP($E122,$D$6:$AI$674,P$2,)/VLOOKUP($E122,$D$6:$AI$674,3,))*$F122</f>
        <v>0</v>
      </c>
      <c r="Q122" s="123">
        <f>(VLOOKUP($E122,$D$6:$AI$674,Q$2,)/VLOOKUP($E122,$D$6:$AI$674,3,))*$F122</f>
        <v>0</v>
      </c>
      <c r="R122" s="123">
        <f>(VLOOKUP($E122,$D$6:$AI$674,15,)/VLOOKUP($E122,$D$6:$AI$674,3,))*$F122</f>
        <v>0</v>
      </c>
      <c r="S122" s="123">
        <f>(VLOOKUP($E122,$D$6:$AI$674,16,)/VLOOKUP($E122,$D$6:$AI$674,3,))*$F122</f>
        <v>0</v>
      </c>
      <c r="T122" s="123">
        <f>(VLOOKUP($E122,$D$6:$AI$674,17,)/VLOOKUP($E122,$D$6:$AI$674,3,))*$F122</f>
        <v>0</v>
      </c>
      <c r="U122" s="124">
        <f>SUM(G122:M122)</f>
        <v>4118775.1060361955</v>
      </c>
      <c r="V122" s="109" t="str">
        <f>IF(ABS(F122-U122)&lt;0.01,"ok","err")</f>
        <v>ok</v>
      </c>
    </row>
    <row r="123" spans="1:22" x14ac:dyDescent="0.25">
      <c r="F123" s="7"/>
      <c r="U123" s="124"/>
    </row>
    <row r="124" spans="1:22" x14ac:dyDescent="0.25">
      <c r="A124" s="110" t="s">
        <v>8</v>
      </c>
      <c r="F124" s="7"/>
      <c r="U124" s="124"/>
    </row>
    <row r="125" spans="1:22" x14ac:dyDescent="0.25">
      <c r="A125" s="122" t="s">
        <v>676</v>
      </c>
      <c r="C125" s="116" t="s">
        <v>90</v>
      </c>
      <c r="D125" s="116" t="s">
        <v>264</v>
      </c>
      <c r="E125" s="116" t="s">
        <v>680</v>
      </c>
      <c r="F125" s="123">
        <f>VLOOKUP(C125,'WSS-33'!$C$1:$AR$730,13,)</f>
        <v>7540963.9227079134</v>
      </c>
      <c r="G125" s="123">
        <f t="shared" ref="G125:J128" si="38">(VLOOKUP($E125,$D$6:$AI$674,G$2,)/VLOOKUP($E125,$D$6:$AI$674,3,))*$F125</f>
        <v>4889127.5030268179</v>
      </c>
      <c r="H125" s="123">
        <f t="shared" si="38"/>
        <v>2371596.8177696648</v>
      </c>
      <c r="I125" s="123">
        <f t="shared" si="38"/>
        <v>280239.60191143007</v>
      </c>
      <c r="J125" s="123">
        <f t="shared" si="38"/>
        <v>0</v>
      </c>
      <c r="K125" s="123">
        <f>(VLOOKUP($E125,$D$6:$AI$674,8,)/VLOOKUP($E125,$D$6:$AI$674,3,))*$F125</f>
        <v>0</v>
      </c>
      <c r="L125" s="123">
        <f t="shared" ref="L125:M128" si="39">(VLOOKUP($E125,$D$6:$AI$674,L$2,)/VLOOKUP($E125,$D$6:$AI$674,3,))*$F125</f>
        <v>0</v>
      </c>
      <c r="M125" s="123">
        <f t="shared" si="39"/>
        <v>0</v>
      </c>
      <c r="N125" s="123">
        <f>(VLOOKUP($E125,$D$6:$AI$674,11,)/VLOOKUP($E125,$D$6:$AI$674,3,))*$F125</f>
        <v>0</v>
      </c>
      <c r="O125" s="123">
        <f t="shared" ref="O125:Q128" si="40">(VLOOKUP($E125,$D$6:$AI$674,O$2,)/VLOOKUP($E125,$D$6:$AI$674,3,))*$F125</f>
        <v>0</v>
      </c>
      <c r="P125" s="123">
        <f t="shared" si="40"/>
        <v>0</v>
      </c>
      <c r="Q125" s="123">
        <f t="shared" si="40"/>
        <v>0</v>
      </c>
      <c r="R125" s="123">
        <f>(VLOOKUP($E125,$D$6:$AI$674,15,)/VLOOKUP($E125,$D$6:$AI$674,3,))*$F125</f>
        <v>0</v>
      </c>
      <c r="S125" s="123">
        <f>(VLOOKUP($E125,$D$6:$AI$674,16,)/VLOOKUP($E125,$D$6:$AI$674,3,))*$F125</f>
        <v>0</v>
      </c>
      <c r="T125" s="123">
        <f>(VLOOKUP($E125,$D$6:$AI$674,17,)/VLOOKUP($E125,$D$6:$AI$674,3,))*$F125</f>
        <v>0</v>
      </c>
      <c r="U125" s="124">
        <f>SUM(G125:M125)</f>
        <v>7540963.9227079125</v>
      </c>
      <c r="V125" s="109" t="str">
        <f>IF(ABS(F125-U125)&lt;0.01,"ok","err")</f>
        <v>ok</v>
      </c>
    </row>
    <row r="126" spans="1:22" x14ac:dyDescent="0.25">
      <c r="A126" s="122" t="s">
        <v>675</v>
      </c>
      <c r="C126" s="116" t="s">
        <v>90</v>
      </c>
      <c r="D126" s="116" t="s">
        <v>265</v>
      </c>
      <c r="E126" s="116" t="s">
        <v>873</v>
      </c>
      <c r="F126" s="7">
        <f>VLOOKUP(C126,'WSS-33'!$C$1:$AR$730,14,)</f>
        <v>14857656.654155537</v>
      </c>
      <c r="G126" s="7">
        <f t="shared" si="38"/>
        <v>13697439.109512692</v>
      </c>
      <c r="H126" s="7">
        <f t="shared" si="38"/>
        <v>1148970.235912798</v>
      </c>
      <c r="I126" s="7">
        <f t="shared" si="38"/>
        <v>11247.308730047624</v>
      </c>
      <c r="J126" s="7">
        <f t="shared" si="38"/>
        <v>0</v>
      </c>
      <c r="K126" s="7">
        <f>(VLOOKUP($E126,$D$6:$AI$674,8,)/VLOOKUP($E126,$D$6:$AI$674,3,))*$F126</f>
        <v>0</v>
      </c>
      <c r="L126" s="7">
        <f t="shared" si="39"/>
        <v>0</v>
      </c>
      <c r="M126" s="7">
        <f t="shared" si="39"/>
        <v>0</v>
      </c>
      <c r="N126" s="7">
        <f>(VLOOKUP($E126,$D$6:$AI$674,11,)/VLOOKUP($E126,$D$6:$AI$674,3,))*$F126</f>
        <v>0</v>
      </c>
      <c r="O126" s="7">
        <f t="shared" si="40"/>
        <v>0</v>
      </c>
      <c r="P126" s="7">
        <f t="shared" si="40"/>
        <v>0</v>
      </c>
      <c r="Q126" s="7">
        <f t="shared" si="40"/>
        <v>0</v>
      </c>
      <c r="R126" s="7">
        <f>(VLOOKUP($E126,$D$6:$AI$674,15,)/VLOOKUP($E126,$D$6:$AI$674,3,))*$F126</f>
        <v>0</v>
      </c>
      <c r="S126" s="7">
        <f>(VLOOKUP($E126,$D$6:$AI$674,16,)/VLOOKUP($E126,$D$6:$AI$674,3,))*$F126</f>
        <v>0</v>
      </c>
      <c r="T126" s="7">
        <f>(VLOOKUP($E126,$D$6:$AI$674,17,)/VLOOKUP($E126,$D$6:$AI$674,3,))*$F126</f>
        <v>0</v>
      </c>
      <c r="U126" s="124">
        <f>SUM(G126:M126)</f>
        <v>14857656.654155537</v>
      </c>
      <c r="V126" s="109" t="str">
        <f>IF(ABS(F126-U126)&lt;0.01,"ok","err")</f>
        <v>ok</v>
      </c>
    </row>
    <row r="127" spans="1:22" x14ac:dyDescent="0.25">
      <c r="A127" s="122" t="s">
        <v>677</v>
      </c>
      <c r="C127" s="116" t="s">
        <v>90</v>
      </c>
      <c r="D127" s="116" t="s">
        <v>264</v>
      </c>
      <c r="E127" s="116" t="s">
        <v>318</v>
      </c>
      <c r="F127" s="7">
        <f>VLOOKUP(C127,'WSS-33'!$C$1:$AR$730,15,)</f>
        <v>1288877.8627014086</v>
      </c>
      <c r="G127" s="7">
        <f t="shared" si="38"/>
        <v>685699.98911753239</v>
      </c>
      <c r="H127" s="7">
        <f t="shared" si="38"/>
        <v>332616.38423810067</v>
      </c>
      <c r="I127" s="7">
        <f t="shared" si="38"/>
        <v>41518.324175588903</v>
      </c>
      <c r="J127" s="7">
        <f t="shared" si="38"/>
        <v>2664.3851550798208</v>
      </c>
      <c r="K127" s="7">
        <f>(VLOOKUP($E127,$D$6:$AI$674,8,)/VLOOKUP($E127,$D$6:$AI$674,3,))*$F127</f>
        <v>226378.78001510687</v>
      </c>
      <c r="L127" s="7">
        <f t="shared" si="39"/>
        <v>0</v>
      </c>
      <c r="M127" s="7">
        <f t="shared" si="39"/>
        <v>0</v>
      </c>
      <c r="N127" s="7">
        <f>(VLOOKUP($E127,$D$6:$AI$674,11,)/VLOOKUP($E127,$D$6:$AI$674,3,))*$F127</f>
        <v>0</v>
      </c>
      <c r="O127" s="7">
        <f t="shared" si="40"/>
        <v>0</v>
      </c>
      <c r="P127" s="7">
        <f t="shared" si="40"/>
        <v>0</v>
      </c>
      <c r="Q127" s="7">
        <f t="shared" si="40"/>
        <v>0</v>
      </c>
      <c r="R127" s="7"/>
      <c r="S127" s="7"/>
      <c r="T127" s="7"/>
      <c r="U127" s="124"/>
      <c r="V127" s="109"/>
    </row>
    <row r="128" spans="1:22" x14ac:dyDescent="0.25">
      <c r="A128" s="122" t="s">
        <v>674</v>
      </c>
      <c r="C128" s="116" t="s">
        <v>90</v>
      </c>
      <c r="D128" s="116" t="s">
        <v>264</v>
      </c>
      <c r="E128" s="116" t="s">
        <v>872</v>
      </c>
      <c r="F128" s="7">
        <f>VLOOKUP(C128,'WSS-33'!$C$1:$AR$730,16,)</f>
        <v>1093848.6610198072</v>
      </c>
      <c r="G128" s="7">
        <f t="shared" si="38"/>
        <v>1008154.5894106762</v>
      </c>
      <c r="H128" s="7">
        <f t="shared" si="38"/>
        <v>84566.144603431938</v>
      </c>
      <c r="I128" s="7">
        <f t="shared" si="38"/>
        <v>851.42472029612577</v>
      </c>
      <c r="J128" s="7">
        <f t="shared" si="38"/>
        <v>16.859895451408434</v>
      </c>
      <c r="K128" s="7">
        <f>(VLOOKUP($E128,$D$6:$AI$674,8,)/VLOOKUP($E128,$D$6:$AI$674,3,))*$F128</f>
        <v>259.64238995168984</v>
      </c>
      <c r="L128" s="7">
        <f t="shared" si="39"/>
        <v>0</v>
      </c>
      <c r="M128" s="7">
        <f t="shared" si="39"/>
        <v>0</v>
      </c>
      <c r="N128" s="7">
        <f>(VLOOKUP($E128,$D$6:$AI$674,11,)/VLOOKUP($E128,$D$6:$AI$674,3,))*$F128</f>
        <v>0</v>
      </c>
      <c r="O128" s="7">
        <f t="shared" si="40"/>
        <v>0</v>
      </c>
      <c r="P128" s="7">
        <f t="shared" si="40"/>
        <v>0</v>
      </c>
      <c r="Q128" s="7">
        <f t="shared" si="40"/>
        <v>0</v>
      </c>
      <c r="R128" s="7"/>
      <c r="S128" s="7"/>
      <c r="T128" s="7"/>
      <c r="U128" s="124"/>
      <c r="V128" s="109"/>
    </row>
    <row r="129" spans="1:24" x14ac:dyDescent="0.25">
      <c r="A129" s="116" t="s">
        <v>229</v>
      </c>
      <c r="F129" s="123">
        <f>SUM(F125:F128)</f>
        <v>24781347.100584667</v>
      </c>
      <c r="G129" s="123">
        <f t="shared" ref="G129:Q129" si="41">SUM(G125:G128)</f>
        <v>20280421.191067722</v>
      </c>
      <c r="H129" s="123">
        <f t="shared" si="41"/>
        <v>3937749.5825239955</v>
      </c>
      <c r="I129" s="123">
        <f t="shared" si="41"/>
        <v>333856.65953736269</v>
      </c>
      <c r="J129" s="123">
        <f t="shared" si="41"/>
        <v>2681.2450505312295</v>
      </c>
      <c r="K129" s="123">
        <f t="shared" si="41"/>
        <v>226638.42240505855</v>
      </c>
      <c r="L129" s="123">
        <f t="shared" si="41"/>
        <v>0</v>
      </c>
      <c r="M129" s="123">
        <f t="shared" si="41"/>
        <v>0</v>
      </c>
      <c r="N129" s="123">
        <f t="shared" si="41"/>
        <v>0</v>
      </c>
      <c r="O129" s="123">
        <f t="shared" si="41"/>
        <v>0</v>
      </c>
      <c r="P129" s="123">
        <f t="shared" si="41"/>
        <v>0</v>
      </c>
      <c r="Q129" s="123">
        <f t="shared" si="41"/>
        <v>0</v>
      </c>
      <c r="R129" s="123">
        <f>R125+R126</f>
        <v>0</v>
      </c>
      <c r="S129" s="123">
        <f>S125+S126</f>
        <v>0</v>
      </c>
      <c r="T129" s="123">
        <f>T125+T126</f>
        <v>0</v>
      </c>
      <c r="U129" s="124">
        <f>SUM(G129:M129)</f>
        <v>24781347.100584671</v>
      </c>
      <c r="V129" s="109" t="str">
        <f>IF(ABS(F129-U129)&lt;0.01,"ok","err")</f>
        <v>ok</v>
      </c>
    </row>
    <row r="130" spans="1:24" x14ac:dyDescent="0.25">
      <c r="F130" s="7"/>
      <c r="U130" s="124"/>
    </row>
    <row r="131" spans="1:24" x14ac:dyDescent="0.25">
      <c r="A131" s="110" t="s">
        <v>10</v>
      </c>
      <c r="F131" s="7"/>
      <c r="U131" s="124"/>
    </row>
    <row r="132" spans="1:24" x14ac:dyDescent="0.25">
      <c r="A132" s="122" t="s">
        <v>208</v>
      </c>
      <c r="C132" s="116" t="s">
        <v>90</v>
      </c>
      <c r="D132" s="116" t="s">
        <v>259</v>
      </c>
      <c r="E132" s="116" t="s">
        <v>319</v>
      </c>
      <c r="F132" s="123">
        <f>VLOOKUP(C132,'WSS-33'!$C$1:$AR$730,17,)</f>
        <v>8129305.5197988376</v>
      </c>
      <c r="G132" s="123">
        <f>(VLOOKUP($E132,$D$6:$AI$674,G$2,)/VLOOKUP($E132,$D$6:$AI$674,3,))*$F132</f>
        <v>6015085.7949932851</v>
      </c>
      <c r="H132" s="123">
        <f>(VLOOKUP($E132,$D$6:$AI$674,H$2,)/VLOOKUP($E132,$D$6:$AI$674,3,))*$F132</f>
        <v>2058770.0595508614</v>
      </c>
      <c r="I132" s="123">
        <f>(VLOOKUP($E132,$D$6:$AI$674,I$2,)/VLOOKUP($E132,$D$6:$AI$674,3,))*$F132</f>
        <v>41855.060111751176</v>
      </c>
      <c r="J132" s="123">
        <f>(VLOOKUP($E132,$D$6:$AI$674,J$2,)/VLOOKUP($E132,$D$6:$AI$674,3,))*$F132</f>
        <v>828.93933798410319</v>
      </c>
      <c r="K132" s="123">
        <f>(VLOOKUP($E132,$D$6:$AI$674,8,)/VLOOKUP($E132,$D$6:$AI$674,3,))*$F132</f>
        <v>12765.665804955192</v>
      </c>
      <c r="L132" s="123">
        <f>(VLOOKUP($E132,$D$6:$AI$674,L$2,)/VLOOKUP($E132,$D$6:$AI$674,3,))*$F132</f>
        <v>0</v>
      </c>
      <c r="M132" s="123">
        <f>(VLOOKUP($E132,$D$6:$AI$674,M$2,)/VLOOKUP($E132,$D$6:$AI$674,3,))*$F132</f>
        <v>0</v>
      </c>
      <c r="N132" s="123">
        <f>(VLOOKUP($E132,$D$6:$AI$674,11,)/VLOOKUP($E132,$D$6:$AI$674,3,))*$F132</f>
        <v>0</v>
      </c>
      <c r="O132" s="123">
        <f>(VLOOKUP($E132,$D$6:$AI$674,O$2,)/VLOOKUP($E132,$D$6:$AI$674,3,))*$F132</f>
        <v>0</v>
      </c>
      <c r="P132" s="123">
        <f>(VLOOKUP($E132,$D$6:$AI$674,P$2,)/VLOOKUP($E132,$D$6:$AI$674,3,))*$F132</f>
        <v>0</v>
      </c>
      <c r="Q132" s="123">
        <f>(VLOOKUP($E132,$D$6:$AI$674,Q$2,)/VLOOKUP($E132,$D$6:$AI$674,3,))*$F132</f>
        <v>0</v>
      </c>
      <c r="R132" s="123">
        <f>(VLOOKUP($E132,$D$6:$AI$674,15,)/VLOOKUP($E132,$D$6:$AI$674,3,))*$F132</f>
        <v>0</v>
      </c>
      <c r="S132" s="123">
        <f>(VLOOKUP($E132,$D$6:$AI$674,16,)/VLOOKUP($E132,$D$6:$AI$674,3,))*$F132</f>
        <v>0</v>
      </c>
      <c r="T132" s="123">
        <f>(VLOOKUP($E132,$D$6:$AI$674,17,)/VLOOKUP($E132,$D$6:$AI$674,3,))*$F132</f>
        <v>0</v>
      </c>
      <c r="U132" s="124">
        <f>SUM(G132:M132)</f>
        <v>8129305.5197988357</v>
      </c>
      <c r="V132" s="109" t="str">
        <f>IF(ABS(F132-U132)&lt;0.01,"ok","err")</f>
        <v>ok</v>
      </c>
    </row>
    <row r="133" spans="1:24" x14ac:dyDescent="0.25">
      <c r="F133" s="7"/>
      <c r="U133" s="124"/>
    </row>
    <row r="134" spans="1:24" x14ac:dyDescent="0.25">
      <c r="A134" s="110" t="s">
        <v>11</v>
      </c>
      <c r="F134" s="7"/>
      <c r="U134" s="124"/>
    </row>
    <row r="135" spans="1:24" x14ac:dyDescent="0.25">
      <c r="A135" s="122" t="s">
        <v>208</v>
      </c>
      <c r="C135" s="116" t="s">
        <v>90</v>
      </c>
      <c r="D135" s="116" t="s">
        <v>214</v>
      </c>
      <c r="E135" s="116" t="s">
        <v>320</v>
      </c>
      <c r="F135" s="123">
        <f>VLOOKUP(C135,'WSS-33'!$C$1:$AR$730,18,)</f>
        <v>5597920.509471328</v>
      </c>
      <c r="G135" s="123">
        <f>(VLOOKUP($E135,$D$6:$AI$674,G$2,)/VLOOKUP($E135,$D$6:$AI$674,3,))*$F135</f>
        <v>3694642.2054276587</v>
      </c>
      <c r="H135" s="123">
        <f>(VLOOKUP($E135,$D$6:$AI$674,H$2,)/VLOOKUP($E135,$D$6:$AI$674,3,))*$F135</f>
        <v>1620356.9495220101</v>
      </c>
      <c r="I135" s="123">
        <f>(VLOOKUP($E135,$D$6:$AI$674,I$2,)/VLOOKUP($E135,$D$6:$AI$674,3,))*$F135</f>
        <v>122275.69659276991</v>
      </c>
      <c r="J135" s="123">
        <f>(VLOOKUP($E135,$D$6:$AI$674,J$2,)/VLOOKUP($E135,$D$6:$AI$674,3,))*$F135</f>
        <v>667.59944662991586</v>
      </c>
      <c r="K135" s="123">
        <f>(VLOOKUP($E135,$D$6:$AI$674,8,)/VLOOKUP($E135,$D$6:$AI$674,3,))*$F135</f>
        <v>159978.05848225814</v>
      </c>
      <c r="L135" s="123">
        <f>(VLOOKUP($E135,$D$6:$AI$674,L$2,)/VLOOKUP($E135,$D$6:$AI$674,3,))*$F135</f>
        <v>0</v>
      </c>
      <c r="M135" s="123">
        <f>(VLOOKUP($E135,$D$6:$AI$674,M$2,)/VLOOKUP($E135,$D$6:$AI$674,3,))*$F135</f>
        <v>0</v>
      </c>
      <c r="N135" s="123">
        <f>(VLOOKUP($E135,$D$6:$AI$674,11,)/VLOOKUP($E135,$D$6:$AI$674,3,))*$F135</f>
        <v>0</v>
      </c>
      <c r="O135" s="123">
        <f>(VLOOKUP($E135,$D$6:$AI$674,O$2,)/VLOOKUP($E135,$D$6:$AI$674,3,))*$F135</f>
        <v>0</v>
      </c>
      <c r="P135" s="123">
        <f>(VLOOKUP($E135,$D$6:$AI$674,P$2,)/VLOOKUP($E135,$D$6:$AI$674,3,))*$F135</f>
        <v>0</v>
      </c>
      <c r="Q135" s="123">
        <f>(VLOOKUP($E135,$D$6:$AI$674,Q$2,)/VLOOKUP($E135,$D$6:$AI$674,3,))*$F135</f>
        <v>0</v>
      </c>
      <c r="R135" s="123">
        <f>(VLOOKUP($E135,$D$6:$AI$674,15,)/VLOOKUP($E135,$D$6:$AI$674,3,))*$F135</f>
        <v>0</v>
      </c>
      <c r="S135" s="123">
        <f>(VLOOKUP($E135,$D$6:$AI$674,16,)/VLOOKUP($E135,$D$6:$AI$674,3,))*$F135</f>
        <v>0</v>
      </c>
      <c r="T135" s="123">
        <f>(VLOOKUP($E135,$D$6:$AI$674,17,)/VLOOKUP($E135,$D$6:$AI$674,3,))*$F135</f>
        <v>0</v>
      </c>
      <c r="U135" s="124">
        <f>SUM(G135:M135)</f>
        <v>5597920.5094713271</v>
      </c>
      <c r="V135" s="109" t="str">
        <f>IF(ABS(F135-U135)&lt;0.01,"ok","err")</f>
        <v>ok</v>
      </c>
    </row>
    <row r="136" spans="1:24" x14ac:dyDescent="0.25">
      <c r="F136" s="7"/>
      <c r="U136" s="124"/>
    </row>
    <row r="137" spans="1:24" x14ac:dyDescent="0.25">
      <c r="A137" s="110" t="s">
        <v>12</v>
      </c>
      <c r="F137" s="7"/>
      <c r="U137" s="124"/>
    </row>
    <row r="138" spans="1:24" x14ac:dyDescent="0.25">
      <c r="A138" s="122" t="s">
        <v>208</v>
      </c>
      <c r="C138" s="116" t="s">
        <v>90</v>
      </c>
      <c r="D138" s="116" t="s">
        <v>266</v>
      </c>
      <c r="E138" s="116" t="s">
        <v>874</v>
      </c>
      <c r="F138" s="123">
        <f>VLOOKUP(C138,'WSS-33'!$C$1:$AR$730,19,)</f>
        <v>13851170.90749656</v>
      </c>
      <c r="G138" s="123">
        <f>(VLOOKUP($E138,$D$6:$AI$674,G$2,)/VLOOKUP($E138,$D$6:$AI$674,3,))*$F138</f>
        <v>11817778.164512668</v>
      </c>
      <c r="H138" s="123">
        <f>(VLOOKUP($E138,$D$6:$AI$674,H$2,)/VLOOKUP($E138,$D$6:$AI$674,3,))*$F138</f>
        <v>1982600.5806027341</v>
      </c>
      <c r="I138" s="123">
        <f>(VLOOKUP($E138,$D$6:$AI$674,I$2,)/VLOOKUP($E138,$D$6:$AI$674,3,))*$F138</f>
        <v>19961.122180921964</v>
      </c>
      <c r="J138" s="123">
        <f>(VLOOKUP($E138,$D$6:$AI$674,J$2,)/VLOOKUP($E138,$D$6:$AI$674,3,))*$F138</f>
        <v>395.26974615687061</v>
      </c>
      <c r="K138" s="123">
        <f>(VLOOKUP($E138,$D$6:$AI$674,8,)/VLOOKUP($E138,$D$6:$AI$674,3,))*$F138</f>
        <v>30435.770454079036</v>
      </c>
      <c r="L138" s="123">
        <f>(VLOOKUP($E138,$D$6:$AI$674,L$2,)/VLOOKUP($E138,$D$6:$AI$674,3,))*$F138</f>
        <v>0</v>
      </c>
      <c r="M138" s="123">
        <f>(VLOOKUP($E138,$D$6:$AI$674,M$2,)/VLOOKUP($E138,$D$6:$AI$674,3,))*$F138</f>
        <v>0</v>
      </c>
      <c r="N138" s="123">
        <f>(VLOOKUP($E138,$D$6:$AI$674,11,)/VLOOKUP($E138,$D$6:$AI$674,3,))*$F138</f>
        <v>0</v>
      </c>
      <c r="O138" s="123">
        <f>(VLOOKUP($E138,$D$6:$AI$674,O$2,)/VLOOKUP($E138,$D$6:$AI$674,3,))*$F138</f>
        <v>0</v>
      </c>
      <c r="P138" s="123">
        <f>(VLOOKUP($E138,$D$6:$AI$674,P$2,)/VLOOKUP($E138,$D$6:$AI$674,3,))*$F138</f>
        <v>0</v>
      </c>
      <c r="Q138" s="123">
        <f>(VLOOKUP($E138,$D$6:$AI$674,Q$2,)/VLOOKUP($E138,$D$6:$AI$674,3,))*$F138</f>
        <v>0</v>
      </c>
      <c r="R138" s="123">
        <f>(VLOOKUP($E138,$D$6:$AI$674,15,)/VLOOKUP($E138,$D$6:$AI$674,3,))*$F138</f>
        <v>0</v>
      </c>
      <c r="S138" s="123">
        <f>(VLOOKUP($E138,$D$6:$AI$674,16,)/VLOOKUP($E138,$D$6:$AI$674,3,))*$F138</f>
        <v>0</v>
      </c>
      <c r="T138" s="123">
        <f>(VLOOKUP($E138,$D$6:$AI$674,17,)/VLOOKUP($E138,$D$6:$AI$674,3,))*$F138</f>
        <v>0</v>
      </c>
      <c r="U138" s="124">
        <f>SUM(G138:M138)</f>
        <v>13851170.907496559</v>
      </c>
      <c r="V138" s="109" t="str">
        <f>IF(ABS(F138-U138)&lt;0.01,"ok","err")</f>
        <v>ok</v>
      </c>
    </row>
    <row r="139" spans="1:24" x14ac:dyDescent="0.25">
      <c r="F139" s="7"/>
      <c r="U139" s="124"/>
    </row>
    <row r="140" spans="1:24" x14ac:dyDescent="0.25">
      <c r="A140" s="110" t="s">
        <v>13</v>
      </c>
      <c r="F140" s="7"/>
      <c r="U140" s="124"/>
    </row>
    <row r="141" spans="1:24" x14ac:dyDescent="0.25">
      <c r="A141" s="122" t="s">
        <v>208</v>
      </c>
      <c r="C141" s="116" t="s">
        <v>90</v>
      </c>
      <c r="D141" s="116" t="s">
        <v>213</v>
      </c>
      <c r="E141" s="116" t="s">
        <v>875</v>
      </c>
      <c r="F141" s="123">
        <f>VLOOKUP(C141,'WSS-33'!$C$1:$AR$730,20,)</f>
        <v>1213209.3409875617</v>
      </c>
      <c r="G141" s="123">
        <f>(VLOOKUP($E141,$D$6:$AI$674,G$2,)/VLOOKUP($E141,$D$6:$AI$674,3,))*$F141</f>
        <v>1035106.6313928645</v>
      </c>
      <c r="H141" s="123">
        <f>(VLOOKUP($E141,$D$6:$AI$674,H$2,)/VLOOKUP($E141,$D$6:$AI$674,3,))*$F141</f>
        <v>173653.87806548495</v>
      </c>
      <c r="I141" s="123">
        <f>(VLOOKUP($E141,$D$6:$AI$674,I$2,)/VLOOKUP($E141,$D$6:$AI$674,3,))*$F141</f>
        <v>1748.3734803518851</v>
      </c>
      <c r="J141" s="123">
        <f>(VLOOKUP($E141,$D$6:$AI$674,J$2,)/VLOOKUP($E141,$D$6:$AI$674,3,))*$F141</f>
        <v>34.62125703667099</v>
      </c>
      <c r="K141" s="123">
        <f>(VLOOKUP($E141,$D$6:$AI$674,8,)/VLOOKUP($E141,$D$6:$AI$674,3,))*$F141</f>
        <v>2665.8367918236663</v>
      </c>
      <c r="L141" s="123">
        <f>(VLOOKUP($E141,$D$6:$AI$674,L$2,)/VLOOKUP($E141,$D$6:$AI$674,3,))*$F141</f>
        <v>0</v>
      </c>
      <c r="M141" s="123">
        <f>(VLOOKUP($E141,$D$6:$AI$674,M$2,)/VLOOKUP($E141,$D$6:$AI$674,3,))*$F141</f>
        <v>0</v>
      </c>
      <c r="N141" s="123">
        <f>(VLOOKUP($E141,$D$6:$AI$674,11,)/VLOOKUP($E141,$D$6:$AI$674,3,))*$F141</f>
        <v>0</v>
      </c>
      <c r="O141" s="123">
        <f>(VLOOKUP($E141,$D$6:$AI$674,O$2,)/VLOOKUP($E141,$D$6:$AI$674,3,))*$F141</f>
        <v>0</v>
      </c>
      <c r="P141" s="123">
        <f>(VLOOKUP($E141,$D$6:$AI$674,P$2,)/VLOOKUP($E141,$D$6:$AI$674,3,))*$F141</f>
        <v>0</v>
      </c>
      <c r="Q141" s="123">
        <f>(VLOOKUP($E141,$D$6:$AI$674,Q$2,)/VLOOKUP($E141,$D$6:$AI$674,3,))*$F141</f>
        <v>0</v>
      </c>
      <c r="R141" s="123">
        <f>(VLOOKUP($E141,$D$6:$AI$674,15,)/VLOOKUP($E141,$D$6:$AI$674,3,))*$F141</f>
        <v>0</v>
      </c>
      <c r="S141" s="123">
        <f>(VLOOKUP($E141,$D$6:$AI$674,16,)/VLOOKUP($E141,$D$6:$AI$674,3,))*$F141</f>
        <v>0</v>
      </c>
      <c r="T141" s="123">
        <f>(VLOOKUP($E141,$D$6:$AI$674,17,)/VLOOKUP($E141,$D$6:$AI$674,3,))*$F141</f>
        <v>0</v>
      </c>
      <c r="U141" s="124">
        <f>SUM(G141:M141)</f>
        <v>1213209.3409875617</v>
      </c>
      <c r="V141" s="109" t="str">
        <f>IF(ABS(F141-U141)&lt;0.01,"ok","err")</f>
        <v>ok</v>
      </c>
    </row>
    <row r="142" spans="1:24" x14ac:dyDescent="0.25">
      <c r="F142" s="7"/>
      <c r="U142" s="124"/>
    </row>
    <row r="143" spans="1:24" x14ac:dyDescent="0.25">
      <c r="A143" s="116" t="s">
        <v>14</v>
      </c>
      <c r="D143" s="116" t="s">
        <v>296</v>
      </c>
      <c r="F143" s="123">
        <f>F106+F111+F116+F119+F122+F129+F132+F135+F138+F141</f>
        <v>93616747.446905211</v>
      </c>
      <c r="G143" s="123">
        <f t="shared" ref="G143:T143" si="42">G106+G111+G116+G119+G122+G129+G132+G135+G138+G141</f>
        <v>67428117.31848149</v>
      </c>
      <c r="H143" s="123">
        <f t="shared" si="42"/>
        <v>21595720.470254682</v>
      </c>
      <c r="I143" s="123">
        <f t="shared" si="42"/>
        <v>1842178.6476412676</v>
      </c>
      <c r="J143" s="123">
        <f t="shared" si="42"/>
        <v>38804.724997890131</v>
      </c>
      <c r="K143" s="123">
        <f t="shared" si="42"/>
        <v>2711926.2855298864</v>
      </c>
      <c r="L143" s="123">
        <f t="shared" si="42"/>
        <v>0</v>
      </c>
      <c r="M143" s="123">
        <f t="shared" si="42"/>
        <v>0</v>
      </c>
      <c r="N143" s="123">
        <f t="shared" si="42"/>
        <v>0</v>
      </c>
      <c r="O143" s="123">
        <f t="shared" si="42"/>
        <v>0</v>
      </c>
      <c r="P143" s="123">
        <f t="shared" si="42"/>
        <v>0</v>
      </c>
      <c r="Q143" s="123">
        <f t="shared" si="42"/>
        <v>0</v>
      </c>
      <c r="R143" s="123">
        <f t="shared" si="42"/>
        <v>0</v>
      </c>
      <c r="S143" s="123">
        <f t="shared" si="42"/>
        <v>0</v>
      </c>
      <c r="T143" s="123">
        <f t="shared" si="42"/>
        <v>0</v>
      </c>
      <c r="U143" s="124">
        <f>SUM(G143:M143)</f>
        <v>93616747.446905211</v>
      </c>
      <c r="V143" s="109" t="str">
        <f>IF(ABS(F143-U143)&lt;0.01,"ok","err")</f>
        <v>ok</v>
      </c>
      <c r="W143" s="124"/>
      <c r="X143" s="109"/>
    </row>
    <row r="144" spans="1:24" x14ac:dyDescent="0.25">
      <c r="U144" s="124"/>
    </row>
    <row r="145" spans="1:23" x14ac:dyDescent="0.25">
      <c r="U145" s="124"/>
    </row>
    <row r="146" spans="1:23" x14ac:dyDescent="0.25">
      <c r="U146" s="124"/>
    </row>
    <row r="147" spans="1:23" x14ac:dyDescent="0.25">
      <c r="A147" s="121" t="s">
        <v>342</v>
      </c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4"/>
      <c r="V147" s="109"/>
    </row>
    <row r="148" spans="1:23" x14ac:dyDescent="0.25"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4"/>
      <c r="V148" s="109"/>
    </row>
    <row r="149" spans="1:23" x14ac:dyDescent="0.25">
      <c r="A149" s="110" t="s">
        <v>452</v>
      </c>
      <c r="U149" s="124"/>
    </row>
    <row r="150" spans="1:23" x14ac:dyDescent="0.25">
      <c r="A150" s="122" t="s">
        <v>207</v>
      </c>
      <c r="C150" s="116" t="s">
        <v>341</v>
      </c>
      <c r="D150" s="116" t="s">
        <v>358</v>
      </c>
      <c r="E150" s="116" t="s">
        <v>310</v>
      </c>
      <c r="F150" s="123">
        <f>VLOOKUP(C150,'WSS-33'!$C$1:$AR$730,5,)</f>
        <v>99002.567101956301</v>
      </c>
      <c r="G150" s="123">
        <f t="shared" ref="G150:J151" si="43">(VLOOKUP($E150,$D$6:$AI$674,G$2,)/VLOOKUP($E150,$D$6:$AI$674,3,))*$F150</f>
        <v>63892.816747459037</v>
      </c>
      <c r="H150" s="123">
        <f t="shared" si="43"/>
        <v>30992.851134032502</v>
      </c>
      <c r="I150" s="123">
        <f t="shared" si="43"/>
        <v>3868.6345636762294</v>
      </c>
      <c r="J150" s="123">
        <f t="shared" si="43"/>
        <v>248.26465678853333</v>
      </c>
      <c r="K150" s="123">
        <f>(VLOOKUP($E150,$D$6:$AI$674,8,)/VLOOKUP($E150,$D$6:$AI$674,3,))*$F150</f>
        <v>0</v>
      </c>
      <c r="L150" s="123">
        <f>(VLOOKUP($E150,$D$6:$AI$674,L$2,)/VLOOKUP($E150,$D$6:$AI$674,3,))*$F150</f>
        <v>0</v>
      </c>
      <c r="M150" s="123">
        <f>(VLOOKUP($E150,$D$6:$AI$674,M$2,)/VLOOKUP($E150,$D$6:$AI$674,3,))*$F150</f>
        <v>0</v>
      </c>
      <c r="N150" s="123">
        <f>(VLOOKUP($E150,$D$6:$AI$674,11,)/VLOOKUP($E150,$D$6:$AI$674,3,))*$F150</f>
        <v>0</v>
      </c>
      <c r="O150" s="123">
        <f t="shared" ref="O150:Q151" si="44">(VLOOKUP($E150,$D$6:$AI$674,O$2,)/VLOOKUP($E150,$D$6:$AI$674,3,))*$F150</f>
        <v>0</v>
      </c>
      <c r="P150" s="123">
        <f t="shared" si="44"/>
        <v>0</v>
      </c>
      <c r="Q150" s="123">
        <f t="shared" si="44"/>
        <v>0</v>
      </c>
      <c r="R150" s="123">
        <f>(VLOOKUP($E150,$D$6:$AI$674,15,)/VLOOKUP($E150,$D$6:$AI$674,3,))*$F150</f>
        <v>0</v>
      </c>
      <c r="S150" s="123">
        <f>(VLOOKUP($E150,$D$6:$AI$674,16,)/VLOOKUP($E150,$D$6:$AI$674,3,))*$F150</f>
        <v>0</v>
      </c>
      <c r="T150" s="123">
        <f>(VLOOKUP($E150,$D$6:$AI$674,17,)/VLOOKUP($E150,$D$6:$AI$674,3,))*$F150</f>
        <v>0</v>
      </c>
      <c r="U150" s="124">
        <f>SUM(G150:M150)</f>
        <v>99002.567101956301</v>
      </c>
      <c r="V150" s="109" t="str">
        <f>IF(ABS(F150-U150)&lt;0.01,"ok","err")</f>
        <v>ok</v>
      </c>
    </row>
    <row r="151" spans="1:23" x14ac:dyDescent="0.25">
      <c r="A151" s="122" t="s">
        <v>226</v>
      </c>
      <c r="C151" s="116" t="s">
        <v>341</v>
      </c>
      <c r="D151" s="116" t="s">
        <v>343</v>
      </c>
      <c r="E151" s="116" t="s">
        <v>311</v>
      </c>
      <c r="F151" s="7">
        <f>VLOOKUP(C151,'WSS-33'!$C$1:$AR$730,6,)</f>
        <v>744290.16800840397</v>
      </c>
      <c r="G151" s="7">
        <f t="shared" si="43"/>
        <v>459895.73410648567</v>
      </c>
      <c r="H151" s="7">
        <f t="shared" si="43"/>
        <v>236618.76231892116</v>
      </c>
      <c r="I151" s="7">
        <f t="shared" si="43"/>
        <v>42642.821362736642</v>
      </c>
      <c r="J151" s="7">
        <f t="shared" si="43"/>
        <v>5132.8502202604104</v>
      </c>
      <c r="K151" s="7">
        <f>(VLOOKUP($E151,$D$6:$AI$674,8,)/VLOOKUP($E151,$D$6:$AI$674,3,))*$F151</f>
        <v>0</v>
      </c>
      <c r="L151" s="7">
        <f>(VLOOKUP($E151,$D$6:$AI$674,L$2,)/VLOOKUP($E151,$D$6:$AI$674,3,))*$F151</f>
        <v>0</v>
      </c>
      <c r="M151" s="7">
        <f>(VLOOKUP($E151,$D$6:$AI$674,M$2,)/VLOOKUP($E151,$D$6:$AI$674,3,))*$F151</f>
        <v>0</v>
      </c>
      <c r="N151" s="7">
        <f>(VLOOKUP($E151,$D$6:$AI$674,11,)/VLOOKUP($E151,$D$6:$AI$674,3,))*$F151</f>
        <v>0</v>
      </c>
      <c r="O151" s="7">
        <f t="shared" si="44"/>
        <v>0</v>
      </c>
      <c r="P151" s="7">
        <f t="shared" si="44"/>
        <v>0</v>
      </c>
      <c r="Q151" s="7">
        <f t="shared" si="44"/>
        <v>0</v>
      </c>
      <c r="R151" s="7">
        <f>(VLOOKUP($E151,$D$6:$AI$674,15,)/VLOOKUP($E151,$D$6:$AI$674,3,))*$F151</f>
        <v>0</v>
      </c>
      <c r="S151" s="7">
        <f>(VLOOKUP($E151,$D$6:$AI$674,16,)/VLOOKUP($E151,$D$6:$AI$674,3,))*$F151</f>
        <v>0</v>
      </c>
      <c r="T151" s="7">
        <f>(VLOOKUP($E151,$D$6:$AI$674,17,)/VLOOKUP($E151,$D$6:$AI$674,3,))*$F151</f>
        <v>0</v>
      </c>
      <c r="U151" s="124">
        <f>SUM(G151:M151)</f>
        <v>744290.16800840385</v>
      </c>
      <c r="V151" s="109" t="str">
        <f>IF(ABS(F151-U151)&lt;0.01,"ok","err")</f>
        <v>ok</v>
      </c>
    </row>
    <row r="152" spans="1:23" x14ac:dyDescent="0.25">
      <c r="A152" s="116" t="s">
        <v>654</v>
      </c>
      <c r="D152" s="116" t="s">
        <v>344</v>
      </c>
      <c r="F152" s="123">
        <f t="shared" ref="F152:T152" si="45">F150+F151</f>
        <v>843292.73511036031</v>
      </c>
      <c r="G152" s="123">
        <f t="shared" si="45"/>
        <v>523788.55085394473</v>
      </c>
      <c r="H152" s="123">
        <f t="shared" si="45"/>
        <v>267611.61345295364</v>
      </c>
      <c r="I152" s="123">
        <f t="shared" si="45"/>
        <v>46511.455926412869</v>
      </c>
      <c r="J152" s="123">
        <f t="shared" si="45"/>
        <v>5381.1148770489435</v>
      </c>
      <c r="K152" s="123">
        <f t="shared" si="45"/>
        <v>0</v>
      </c>
      <c r="L152" s="123">
        <f t="shared" si="45"/>
        <v>0</v>
      </c>
      <c r="M152" s="123">
        <f t="shared" si="45"/>
        <v>0</v>
      </c>
      <c r="N152" s="123">
        <f t="shared" si="45"/>
        <v>0</v>
      </c>
      <c r="O152" s="123">
        <f t="shared" si="45"/>
        <v>0</v>
      </c>
      <c r="P152" s="123">
        <f t="shared" si="45"/>
        <v>0</v>
      </c>
      <c r="Q152" s="123">
        <f t="shared" si="45"/>
        <v>0</v>
      </c>
      <c r="R152" s="123">
        <f t="shared" si="45"/>
        <v>0</v>
      </c>
      <c r="S152" s="123">
        <f t="shared" si="45"/>
        <v>0</v>
      </c>
      <c r="T152" s="123">
        <f t="shared" si="45"/>
        <v>0</v>
      </c>
      <c r="U152" s="124">
        <f>SUM(G152:M152)</f>
        <v>843292.7351103602</v>
      </c>
      <c r="V152" s="109" t="str">
        <f>IF(ABS(F152-U152)&lt;0.01,"ok","err")</f>
        <v>ok</v>
      </c>
    </row>
    <row r="153" spans="1:23" x14ac:dyDescent="0.25">
      <c r="F153" s="7"/>
      <c r="G153" s="7"/>
      <c r="U153" s="124"/>
    </row>
    <row r="154" spans="1:23" x14ac:dyDescent="0.25">
      <c r="A154" s="110" t="s">
        <v>3</v>
      </c>
      <c r="F154" s="7"/>
      <c r="G154" s="7"/>
      <c r="U154" s="124"/>
    </row>
    <row r="155" spans="1:23" x14ac:dyDescent="0.25">
      <c r="A155" s="122" t="s">
        <v>207</v>
      </c>
      <c r="C155" s="116" t="s">
        <v>341</v>
      </c>
      <c r="D155" s="116" t="s">
        <v>345</v>
      </c>
      <c r="E155" s="116" t="s">
        <v>312</v>
      </c>
      <c r="F155" s="123">
        <f>VLOOKUP(C155,'WSS-33'!$C$1:$AR$730,7,)</f>
        <v>1594231.6226744186</v>
      </c>
      <c r="G155" s="123">
        <f t="shared" ref="G155:J156" si="46">(VLOOKUP($E155,$D$6:$AI$674,G$2,)/VLOOKUP($E155,$D$6:$AI$674,3,))*$F155</f>
        <v>1045146.7396964245</v>
      </c>
      <c r="H155" s="123">
        <f t="shared" si="46"/>
        <v>494166.9656686259</v>
      </c>
      <c r="I155" s="123">
        <f t="shared" si="46"/>
        <v>45456.475783854294</v>
      </c>
      <c r="J155" s="123">
        <f t="shared" si="46"/>
        <v>0</v>
      </c>
      <c r="K155" s="123">
        <f>(VLOOKUP($E155,$D$6:$AI$674,8,)/VLOOKUP($E155,$D$6:$AI$674,3,))*$F155</f>
        <v>9461.4415255140248</v>
      </c>
      <c r="L155" s="123">
        <f>(VLOOKUP($E155,$D$6:$AI$674,L$2,)/VLOOKUP($E155,$D$6:$AI$674,3,))*$F155</f>
        <v>0</v>
      </c>
      <c r="M155" s="123">
        <f>(VLOOKUP($E155,$D$6:$AI$674,M$2,)/VLOOKUP($E155,$D$6:$AI$674,3,))*$F155</f>
        <v>0</v>
      </c>
      <c r="N155" s="123">
        <f>(VLOOKUP($E155,$D$6:$AI$674,11,)/VLOOKUP($E155,$D$6:$AI$674,3,))*$F155</f>
        <v>0</v>
      </c>
      <c r="O155" s="123">
        <f t="shared" ref="O155:Q156" si="47">(VLOOKUP($E155,$D$6:$AI$674,O$2,)/VLOOKUP($E155,$D$6:$AI$674,3,))*$F155</f>
        <v>0</v>
      </c>
      <c r="P155" s="123">
        <f t="shared" si="47"/>
        <v>0</v>
      </c>
      <c r="Q155" s="123">
        <f t="shared" si="47"/>
        <v>0</v>
      </c>
      <c r="R155" s="123">
        <f>(VLOOKUP($E155,$D$6:$AI$674,15,)/VLOOKUP($E155,$D$6:$AI$674,3,))*$F155</f>
        <v>0</v>
      </c>
      <c r="S155" s="123">
        <f>(VLOOKUP($E155,$D$6:$AI$674,16,)/VLOOKUP($E155,$D$6:$AI$674,3,))*$F155</f>
        <v>0</v>
      </c>
      <c r="T155" s="123">
        <f>(VLOOKUP($E155,$D$6:$AI$674,17,)/VLOOKUP($E155,$D$6:$AI$674,3,))*$F155</f>
        <v>0</v>
      </c>
      <c r="U155" s="124">
        <f>SUM(G155:M155)</f>
        <v>1594231.6226744186</v>
      </c>
      <c r="V155" s="109" t="str">
        <f>IF(ABS(F155-U155)&lt;0.01,"ok","err")</f>
        <v>ok</v>
      </c>
    </row>
    <row r="156" spans="1:23" x14ac:dyDescent="0.25">
      <c r="A156" s="116" t="s">
        <v>226</v>
      </c>
      <c r="C156" s="116" t="s">
        <v>341</v>
      </c>
      <c r="D156" s="116" t="s">
        <v>346</v>
      </c>
      <c r="E156" s="116" t="s">
        <v>313</v>
      </c>
      <c r="F156" s="7">
        <f>VLOOKUP(C156,'WSS-33'!$C$1:$AR$730,8,)</f>
        <v>2938540.0633491362</v>
      </c>
      <c r="G156" s="7">
        <f t="shared" si="46"/>
        <v>1899064.6453759228</v>
      </c>
      <c r="H156" s="7">
        <f t="shared" si="46"/>
        <v>924121.05245726311</v>
      </c>
      <c r="I156" s="7">
        <f t="shared" si="46"/>
        <v>115354.36551595006</v>
      </c>
      <c r="J156" s="7">
        <f t="shared" si="46"/>
        <v>0</v>
      </c>
      <c r="K156" s="7">
        <f>(VLOOKUP($E156,$D$6:$AI$674,8,)/VLOOKUP($E156,$D$6:$AI$674,3,))*$F156</f>
        <v>0</v>
      </c>
      <c r="L156" s="7">
        <f>(VLOOKUP($E156,$D$6:$AI$674,L$2,)/VLOOKUP($E156,$D$6:$AI$674,3,))*$F156</f>
        <v>0</v>
      </c>
      <c r="M156" s="7">
        <f>(VLOOKUP($E156,$D$6:$AI$674,M$2,)/VLOOKUP($E156,$D$6:$AI$674,3,))*$F156</f>
        <v>0</v>
      </c>
      <c r="N156" s="7">
        <f>(VLOOKUP($E156,$D$6:$AI$674,11,)/VLOOKUP($E156,$D$6:$AI$674,3,))*$F156</f>
        <v>0</v>
      </c>
      <c r="O156" s="7">
        <f t="shared" si="47"/>
        <v>0</v>
      </c>
      <c r="P156" s="7">
        <f t="shared" si="47"/>
        <v>0</v>
      </c>
      <c r="Q156" s="7">
        <f t="shared" si="47"/>
        <v>0</v>
      </c>
      <c r="R156" s="7">
        <f>(VLOOKUP($E156,$D$6:$AI$674,15,)/VLOOKUP($E156,$D$6:$AI$674,3,))*$F156</f>
        <v>0</v>
      </c>
      <c r="S156" s="7">
        <f>(VLOOKUP($E156,$D$6:$AI$674,16,)/VLOOKUP($E156,$D$6:$AI$674,3,))*$F156</f>
        <v>0</v>
      </c>
      <c r="T156" s="7">
        <f>(VLOOKUP($E156,$D$6:$AI$674,17,)/VLOOKUP($E156,$D$6:$AI$674,3,))*$F156</f>
        <v>0</v>
      </c>
      <c r="U156" s="124">
        <f>SUM(G156:M156)</f>
        <v>2938540.0633491362</v>
      </c>
      <c r="V156" s="109" t="str">
        <f>IF(ABS(F156-U156)&lt;0.01,"ok","err")</f>
        <v>ok</v>
      </c>
      <c r="W156" s="125"/>
    </row>
    <row r="157" spans="1:23" x14ac:dyDescent="0.25">
      <c r="A157" s="116" t="s">
        <v>227</v>
      </c>
      <c r="D157" s="116" t="s">
        <v>347</v>
      </c>
      <c r="F157" s="123">
        <f>SUM(F155:F156)</f>
        <v>4532771.6860235548</v>
      </c>
      <c r="G157" s="123">
        <f t="shared" ref="G157:T157" si="48">G155+G156</f>
        <v>2944211.3850723472</v>
      </c>
      <c r="H157" s="123">
        <f t="shared" si="48"/>
        <v>1418288.0181258889</v>
      </c>
      <c r="I157" s="123">
        <f t="shared" si="48"/>
        <v>160810.84129980436</v>
      </c>
      <c r="J157" s="123">
        <f t="shared" si="48"/>
        <v>0</v>
      </c>
      <c r="K157" s="123">
        <f t="shared" si="48"/>
        <v>9461.4415255140248</v>
      </c>
      <c r="L157" s="123">
        <f t="shared" si="48"/>
        <v>0</v>
      </c>
      <c r="M157" s="123">
        <f t="shared" si="48"/>
        <v>0</v>
      </c>
      <c r="N157" s="123">
        <f t="shared" si="48"/>
        <v>0</v>
      </c>
      <c r="O157" s="123">
        <f t="shared" si="48"/>
        <v>0</v>
      </c>
      <c r="P157" s="123">
        <f t="shared" si="48"/>
        <v>0</v>
      </c>
      <c r="Q157" s="123">
        <f t="shared" si="48"/>
        <v>0</v>
      </c>
      <c r="R157" s="123">
        <f t="shared" si="48"/>
        <v>0</v>
      </c>
      <c r="S157" s="123">
        <f t="shared" si="48"/>
        <v>0</v>
      </c>
      <c r="T157" s="123">
        <f t="shared" si="48"/>
        <v>0</v>
      </c>
      <c r="U157" s="124">
        <f>SUM(G157:M157)</f>
        <v>4532771.6860235548</v>
      </c>
      <c r="V157" s="109" t="str">
        <f>IF(ABS(F157-U157)&lt;0.01,"ok","err")</f>
        <v>ok</v>
      </c>
    </row>
    <row r="158" spans="1:23" x14ac:dyDescent="0.25">
      <c r="F158" s="7"/>
      <c r="G158" s="7"/>
      <c r="U158" s="124"/>
    </row>
    <row r="159" spans="1:23" x14ac:dyDescent="0.25">
      <c r="A159" s="110" t="s">
        <v>4</v>
      </c>
      <c r="F159" s="7"/>
      <c r="G159" s="7"/>
      <c r="U159" s="124"/>
    </row>
    <row r="160" spans="1:23" x14ac:dyDescent="0.25">
      <c r="A160" s="122" t="s">
        <v>854</v>
      </c>
      <c r="C160" s="116" t="s">
        <v>341</v>
      </c>
      <c r="D160" s="116" t="s">
        <v>348</v>
      </c>
      <c r="E160" s="116" t="s">
        <v>317</v>
      </c>
      <c r="F160" s="123">
        <f>VLOOKUP(C160,'WSS-33'!$C$1:$AR$730,9,)</f>
        <v>943364.62353205995</v>
      </c>
      <c r="G160" s="123">
        <f t="shared" ref="G160:J161" si="49">(VLOOKUP($E160,$D$6:$AI$674,G$2,)/VLOOKUP($E160,$D$6:$AI$674,3,))*$F160</f>
        <v>501882.39771145507</v>
      </c>
      <c r="H160" s="123">
        <f t="shared" si="49"/>
        <v>243450.94223257925</v>
      </c>
      <c r="I160" s="123">
        <f t="shared" si="49"/>
        <v>30388.386199368033</v>
      </c>
      <c r="J160" s="123">
        <f t="shared" si="49"/>
        <v>1950.1356734440074</v>
      </c>
      <c r="K160" s="123">
        <f>(VLOOKUP($E160,$D$6:$AI$674,8,)/VLOOKUP($E160,$D$6:$AI$674,3,))*$F160</f>
        <v>165692.76171521362</v>
      </c>
      <c r="L160" s="123">
        <f>(VLOOKUP($E160,$D$6:$AI$674,L$2,)/VLOOKUP($E160,$D$6:$AI$674,3,))*$F160</f>
        <v>0</v>
      </c>
      <c r="M160" s="123">
        <f>(VLOOKUP($E160,$D$6:$AI$674,M$2,)/VLOOKUP($E160,$D$6:$AI$674,3,))*$F160</f>
        <v>0</v>
      </c>
      <c r="N160" s="123">
        <f>(VLOOKUP($E160,$D$6:$AI$674,11,)/VLOOKUP($E160,$D$6:$AI$674,3,))*$F160</f>
        <v>0</v>
      </c>
      <c r="O160" s="123">
        <f t="shared" ref="O160:Q161" si="50">(VLOOKUP($E160,$D$6:$AI$674,O$2,)/VLOOKUP($E160,$D$6:$AI$674,3,))*$F160</f>
        <v>0</v>
      </c>
      <c r="P160" s="123">
        <f t="shared" si="50"/>
        <v>0</v>
      </c>
      <c r="Q160" s="123">
        <f t="shared" si="50"/>
        <v>0</v>
      </c>
      <c r="R160" s="123">
        <f>(VLOOKUP($E160,$D$6:$AI$674,15,)/VLOOKUP($E160,$D$6:$AI$674,3,))*$F160</f>
        <v>0</v>
      </c>
      <c r="S160" s="123">
        <f>(VLOOKUP($E160,$D$6:$AI$674,16,)/VLOOKUP($E160,$D$6:$AI$674,3,))*$F160</f>
        <v>0</v>
      </c>
      <c r="T160" s="123">
        <f>(VLOOKUP($E160,$D$6:$AI$674,17,)/VLOOKUP($E160,$D$6:$AI$674,3,))*$F160</f>
        <v>0</v>
      </c>
      <c r="U160" s="124">
        <f>SUM(G160:M160)</f>
        <v>943364.62353206007</v>
      </c>
      <c r="V160" s="109" t="str">
        <f>IF(ABS(F160-U160)&lt;0.01,"ok","err")</f>
        <v>ok</v>
      </c>
    </row>
    <row r="161" spans="1:23" x14ac:dyDescent="0.25">
      <c r="A161" s="116" t="s">
        <v>850</v>
      </c>
      <c r="C161" s="116" t="s">
        <v>341</v>
      </c>
      <c r="D161" s="116" t="s">
        <v>349</v>
      </c>
      <c r="E161" s="116" t="s">
        <v>314</v>
      </c>
      <c r="F161" s="7">
        <f>VLOOKUP(C161,'WSS-33'!$C$1:$AR$730,10,)</f>
        <v>2297413.630532153</v>
      </c>
      <c r="G161" s="7">
        <f t="shared" si="49"/>
        <v>1506138.9647112628</v>
      </c>
      <c r="H161" s="7">
        <f t="shared" si="49"/>
        <v>712133.61128872365</v>
      </c>
      <c r="I161" s="7">
        <f t="shared" si="49"/>
        <v>65506.370326910299</v>
      </c>
      <c r="J161" s="7">
        <f t="shared" si="49"/>
        <v>0</v>
      </c>
      <c r="K161" s="7">
        <f>(VLOOKUP($E161,$D$6:$AI$674,8,)/VLOOKUP($E161,$D$6:$AI$674,3,))*$F161</f>
        <v>13634.684205256193</v>
      </c>
      <c r="L161" s="7">
        <f>(VLOOKUP($E161,$D$6:$AI$674,L$2,)/VLOOKUP($E161,$D$6:$AI$674,3,))*$F161</f>
        <v>0</v>
      </c>
      <c r="M161" s="7">
        <f>(VLOOKUP($E161,$D$6:$AI$674,M$2,)/VLOOKUP($E161,$D$6:$AI$674,3,))*$F161</f>
        <v>0</v>
      </c>
      <c r="N161" s="7">
        <f>(VLOOKUP($E161,$D$6:$AI$674,11,)/VLOOKUP($E161,$D$6:$AI$674,3,))*$F161</f>
        <v>0</v>
      </c>
      <c r="O161" s="7">
        <f t="shared" si="50"/>
        <v>0</v>
      </c>
      <c r="P161" s="7">
        <f t="shared" si="50"/>
        <v>0</v>
      </c>
      <c r="Q161" s="7">
        <f t="shared" si="50"/>
        <v>0</v>
      </c>
      <c r="R161" s="7">
        <f>(VLOOKUP($E161,$D$6:$AI$674,15,)/VLOOKUP($E161,$D$6:$AI$674,3,))*$F161</f>
        <v>0</v>
      </c>
      <c r="S161" s="7">
        <f>(VLOOKUP($E161,$D$6:$AI$674,16,)/VLOOKUP($E161,$D$6:$AI$674,3,))*$F161</f>
        <v>0</v>
      </c>
      <c r="T161" s="7">
        <f>(VLOOKUP($E161,$D$6:$AI$674,17,)/VLOOKUP($E161,$D$6:$AI$674,3,))*$F161</f>
        <v>0</v>
      </c>
      <c r="U161" s="124">
        <f>SUM(G161:M161)</f>
        <v>2297413.630532153</v>
      </c>
      <c r="V161" s="109" t="str">
        <f>IF(ABS(F161-U161)&lt;0.01,"ok","err")</f>
        <v>ok</v>
      </c>
    </row>
    <row r="162" spans="1:23" x14ac:dyDescent="0.25">
      <c r="A162" s="116" t="s">
        <v>228</v>
      </c>
      <c r="D162" s="116" t="s">
        <v>661</v>
      </c>
      <c r="F162" s="123">
        <f>SUM(F160:F161)</f>
        <v>3240778.254064213</v>
      </c>
      <c r="G162" s="123">
        <f t="shared" ref="G162:T162" si="51">G160+G161</f>
        <v>2008021.362422718</v>
      </c>
      <c r="H162" s="123">
        <f t="shared" si="51"/>
        <v>955584.55352130288</v>
      </c>
      <c r="I162" s="123">
        <f t="shared" si="51"/>
        <v>95894.756526278332</v>
      </c>
      <c r="J162" s="123">
        <f t="shared" si="51"/>
        <v>1950.1356734440074</v>
      </c>
      <c r="K162" s="123">
        <f t="shared" si="51"/>
        <v>179327.44592046982</v>
      </c>
      <c r="L162" s="123">
        <f t="shared" si="51"/>
        <v>0</v>
      </c>
      <c r="M162" s="123">
        <f t="shared" si="51"/>
        <v>0</v>
      </c>
      <c r="N162" s="123">
        <f t="shared" si="51"/>
        <v>0</v>
      </c>
      <c r="O162" s="123">
        <f t="shared" si="51"/>
        <v>0</v>
      </c>
      <c r="P162" s="123">
        <f t="shared" si="51"/>
        <v>0</v>
      </c>
      <c r="Q162" s="123">
        <f t="shared" si="51"/>
        <v>0</v>
      </c>
      <c r="R162" s="123">
        <f t="shared" si="51"/>
        <v>0</v>
      </c>
      <c r="S162" s="123">
        <f t="shared" si="51"/>
        <v>0</v>
      </c>
      <c r="T162" s="123">
        <f t="shared" si="51"/>
        <v>0</v>
      </c>
      <c r="U162" s="124">
        <f>SUM(G162:M162)</f>
        <v>3240778.2540642126</v>
      </c>
      <c r="V162" s="109" t="str">
        <f>IF(ABS(F162-U162)&lt;0.01,"ok","err")</f>
        <v>ok</v>
      </c>
    </row>
    <row r="163" spans="1:23" x14ac:dyDescent="0.25">
      <c r="F163" s="7"/>
      <c r="U163" s="124"/>
    </row>
    <row r="164" spans="1:23" x14ac:dyDescent="0.25">
      <c r="A164" s="110" t="s">
        <v>6</v>
      </c>
      <c r="F164" s="7"/>
      <c r="U164" s="124"/>
    </row>
    <row r="165" spans="1:23" x14ac:dyDescent="0.25">
      <c r="A165" s="116" t="s">
        <v>226</v>
      </c>
      <c r="C165" s="116" t="s">
        <v>341</v>
      </c>
      <c r="D165" s="116" t="s">
        <v>351</v>
      </c>
      <c r="E165" s="116" t="s">
        <v>316</v>
      </c>
      <c r="F165" s="123">
        <f>VLOOKUP(C165,'WSS-33'!$C$1:$AR$730,11,)</f>
        <v>872567.98073165328</v>
      </c>
      <c r="G165" s="123">
        <f>(VLOOKUP($E165,$D$6:$AI$674,G$2,)/VLOOKUP($E165,$D$6:$AI$674,3,))*$F165</f>
        <v>378472.92677333753</v>
      </c>
      <c r="H165" s="123">
        <f>(VLOOKUP($E165,$D$6:$AI$674,H$2,)/VLOOKUP($E165,$D$6:$AI$674,3,))*$F165</f>
        <v>194726.30177428701</v>
      </c>
      <c r="I165" s="123">
        <f>(VLOOKUP($E165,$D$6:$AI$674,I$2,)/VLOOKUP($E165,$D$6:$AI$674,3,))*$F165</f>
        <v>35093.070472557651</v>
      </c>
      <c r="J165" s="123">
        <f>(VLOOKUP($E165,$D$6:$AI$674,J$2,)/VLOOKUP($E165,$D$6:$AI$674,3,))*$F165</f>
        <v>4224.0984237990815</v>
      </c>
      <c r="K165" s="123">
        <f>(VLOOKUP($E165,$D$6:$AI$674,8,)/VLOOKUP($E165,$D$6:$AI$674,3,))*$F165</f>
        <v>260051.58328767194</v>
      </c>
      <c r="L165" s="123">
        <f>(VLOOKUP($E165,$D$6:$AI$674,L$2,)/VLOOKUP($E165,$D$6:$AI$674,3,))*$F165</f>
        <v>0</v>
      </c>
      <c r="M165" s="123">
        <f>(VLOOKUP($E165,$D$6:$AI$674,M$2,)/VLOOKUP($E165,$D$6:$AI$674,3,))*$F165</f>
        <v>0</v>
      </c>
      <c r="N165" s="123">
        <f>(VLOOKUP($E165,$D$6:$AI$674,11,)/VLOOKUP($E165,$D$6:$AI$674,3,))*$F165</f>
        <v>0</v>
      </c>
      <c r="O165" s="123">
        <f>(VLOOKUP($E165,$D$6:$AI$674,O$2,)/VLOOKUP($E165,$D$6:$AI$674,3,))*$F165</f>
        <v>0</v>
      </c>
      <c r="P165" s="123">
        <f>(VLOOKUP($E165,$D$6:$AI$674,P$2,)/VLOOKUP($E165,$D$6:$AI$674,3,))*$F165</f>
        <v>0</v>
      </c>
      <c r="Q165" s="123">
        <f>(VLOOKUP($E165,$D$6:$AI$674,Q$2,)/VLOOKUP($E165,$D$6:$AI$674,3,))*$F165</f>
        <v>0</v>
      </c>
      <c r="R165" s="123">
        <f>(VLOOKUP($E165,$D$6:$AI$674,15,)/VLOOKUP($E165,$D$6:$AI$674,3,))*$F165</f>
        <v>0</v>
      </c>
      <c r="S165" s="123">
        <f>(VLOOKUP($E165,$D$6:$AI$674,16,)/VLOOKUP($E165,$D$6:$AI$674,3,))*$F165</f>
        <v>0</v>
      </c>
      <c r="T165" s="123">
        <f>(VLOOKUP($E165,$D$6:$AI$674,17,)/VLOOKUP($E165,$D$6:$AI$674,3,))*$F165</f>
        <v>0</v>
      </c>
      <c r="U165" s="124">
        <f>SUM(G165:M165)</f>
        <v>872567.98073165317</v>
      </c>
      <c r="V165" s="109" t="str">
        <f>IF(ABS(F165-U165)&lt;0.01,"ok","err")</f>
        <v>ok</v>
      </c>
    </row>
    <row r="166" spans="1:23" x14ac:dyDescent="0.25">
      <c r="A166" s="122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124"/>
      <c r="V166" s="109"/>
    </row>
    <row r="167" spans="1:23" x14ac:dyDescent="0.25">
      <c r="A167" s="110" t="s">
        <v>7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124"/>
      <c r="V167" s="109"/>
    </row>
    <row r="168" spans="1:23" x14ac:dyDescent="0.25">
      <c r="A168" s="122" t="s">
        <v>207</v>
      </c>
      <c r="C168" s="116" t="s">
        <v>341</v>
      </c>
      <c r="D168" s="116" t="s">
        <v>352</v>
      </c>
      <c r="E168" s="116" t="s">
        <v>317</v>
      </c>
      <c r="F168" s="123">
        <f>VLOOKUP(C168,'WSS-33'!$C$1:$AR$730,12,)</f>
        <v>1672638.7597220314</v>
      </c>
      <c r="G168" s="123">
        <f>(VLOOKUP($E168,$D$6:$AI$674,G$2,)/VLOOKUP($E168,$D$6:$AI$674,3,))*$F168</f>
        <v>889865.8379740254</v>
      </c>
      <c r="H168" s="123">
        <f>(VLOOKUP($E168,$D$6:$AI$674,H$2,)/VLOOKUP($E168,$D$6:$AI$674,3,))*$F168</f>
        <v>431652.27093680872</v>
      </c>
      <c r="I168" s="123">
        <f>(VLOOKUP($E168,$D$6:$AI$674,I$2,)/VLOOKUP($E168,$D$6:$AI$674,3,))*$F168</f>
        <v>53880.32509864161</v>
      </c>
      <c r="J168" s="123">
        <f>(VLOOKUP($E168,$D$6:$AI$674,J$2,)/VLOOKUP($E168,$D$6:$AI$674,3,))*$F168</f>
        <v>3457.7006946754764</v>
      </c>
      <c r="K168" s="123">
        <f>(VLOOKUP($E168,$D$6:$AI$674,8,)/VLOOKUP($E168,$D$6:$AI$674,3,))*$F168</f>
        <v>293782.62501788035</v>
      </c>
      <c r="L168" s="123">
        <f>(VLOOKUP($E168,$D$6:$AI$674,L$2,)/VLOOKUP($E168,$D$6:$AI$674,3,))*$F168</f>
        <v>0</v>
      </c>
      <c r="M168" s="123">
        <f>(VLOOKUP($E168,$D$6:$AI$674,M$2,)/VLOOKUP($E168,$D$6:$AI$674,3,))*$F168</f>
        <v>0</v>
      </c>
      <c r="N168" s="123">
        <f>(VLOOKUP($E168,$D$6:$AI$674,11,)/VLOOKUP($E168,$D$6:$AI$674,3,))*$F168</f>
        <v>0</v>
      </c>
      <c r="O168" s="123">
        <f>(VLOOKUP($E168,$D$6:$AI$674,O$2,)/VLOOKUP($E168,$D$6:$AI$674,3,))*$F168</f>
        <v>0</v>
      </c>
      <c r="P168" s="123">
        <f>(VLOOKUP($E168,$D$6:$AI$674,P$2,)/VLOOKUP($E168,$D$6:$AI$674,3,))*$F168</f>
        <v>0</v>
      </c>
      <c r="Q168" s="123">
        <f>(VLOOKUP($E168,$D$6:$AI$674,Q$2,)/VLOOKUP($E168,$D$6:$AI$674,3,))*$F168</f>
        <v>0</v>
      </c>
      <c r="R168" s="123">
        <f>(VLOOKUP($E168,$D$6:$AI$674,15,)/VLOOKUP($E168,$D$6:$AI$674,3,))*$F168</f>
        <v>0</v>
      </c>
      <c r="S168" s="123">
        <f>(VLOOKUP($E168,$D$6:$AI$674,16,)/VLOOKUP($E168,$D$6:$AI$674,3,))*$F168</f>
        <v>0</v>
      </c>
      <c r="T168" s="123">
        <f>(VLOOKUP($E168,$D$6:$AI$674,17,)/VLOOKUP($E168,$D$6:$AI$674,3,))*$F168</f>
        <v>0</v>
      </c>
      <c r="U168" s="124">
        <f>SUM(G168:M168)</f>
        <v>1672638.7597220317</v>
      </c>
      <c r="V168" s="109" t="str">
        <f>IF(ABS(F168-U168)&lt;0.01,"ok","err")</f>
        <v>ok</v>
      </c>
    </row>
    <row r="169" spans="1:23" x14ac:dyDescent="0.25">
      <c r="F169" s="7"/>
      <c r="U169" s="124"/>
    </row>
    <row r="170" spans="1:23" x14ac:dyDescent="0.25">
      <c r="A170" s="110" t="s">
        <v>8</v>
      </c>
      <c r="F170" s="7"/>
      <c r="U170" s="124"/>
    </row>
    <row r="171" spans="1:23" x14ac:dyDescent="0.25">
      <c r="A171" s="122" t="s">
        <v>676</v>
      </c>
      <c r="C171" s="116" t="s">
        <v>341</v>
      </c>
      <c r="D171" s="116" t="s">
        <v>353</v>
      </c>
      <c r="E171" s="116" t="s">
        <v>680</v>
      </c>
      <c r="F171" s="123">
        <f>VLOOKUP(C171,'WSS-33'!$C$1:$AR$730,13,)</f>
        <v>2321128.203581017</v>
      </c>
      <c r="G171" s="123">
        <f t="shared" ref="G171:J174" si="52">(VLOOKUP($E171,$D$6:$AI$674,G$2,)/VLOOKUP($E171,$D$6:$AI$674,3,))*$F171</f>
        <v>1504886.0934086102</v>
      </c>
      <c r="H171" s="123">
        <f t="shared" si="52"/>
        <v>729983.6357354467</v>
      </c>
      <c r="I171" s="123">
        <f t="shared" si="52"/>
        <v>86258.474436959863</v>
      </c>
      <c r="J171" s="123">
        <f t="shared" si="52"/>
        <v>0</v>
      </c>
      <c r="K171" s="123">
        <f>(VLOOKUP($E171,$D$6:$AI$674,8,)/VLOOKUP($E171,$D$6:$AI$674,3,))*$F171</f>
        <v>0</v>
      </c>
      <c r="L171" s="123">
        <f t="shared" ref="L171:M174" si="53">(VLOOKUP($E171,$D$6:$AI$674,L$2,)/VLOOKUP($E171,$D$6:$AI$674,3,))*$F171</f>
        <v>0</v>
      </c>
      <c r="M171" s="123">
        <f t="shared" si="53"/>
        <v>0</v>
      </c>
      <c r="N171" s="123">
        <f>(VLOOKUP($E171,$D$6:$AI$674,11,)/VLOOKUP($E171,$D$6:$AI$674,3,))*$F171</f>
        <v>0</v>
      </c>
      <c r="O171" s="123">
        <f t="shared" ref="O171:Q174" si="54">(VLOOKUP($E171,$D$6:$AI$674,O$2,)/VLOOKUP($E171,$D$6:$AI$674,3,))*$F171</f>
        <v>0</v>
      </c>
      <c r="P171" s="123">
        <f t="shared" si="54"/>
        <v>0</v>
      </c>
      <c r="Q171" s="123">
        <f t="shared" si="54"/>
        <v>0</v>
      </c>
      <c r="R171" s="123">
        <f>(VLOOKUP($E171,$D$6:$AI$674,15,)/VLOOKUP($E171,$D$6:$AI$674,3,))*$F171</f>
        <v>0</v>
      </c>
      <c r="S171" s="123">
        <f>(VLOOKUP($E171,$D$6:$AI$674,16,)/VLOOKUP($E171,$D$6:$AI$674,3,))*$F171</f>
        <v>0</v>
      </c>
      <c r="T171" s="123">
        <f>(VLOOKUP($E171,$D$6:$AI$674,17,)/VLOOKUP($E171,$D$6:$AI$674,3,))*$F171</f>
        <v>0</v>
      </c>
      <c r="U171" s="124">
        <f>SUM(G171:M171)</f>
        <v>2321128.2035810165</v>
      </c>
      <c r="V171" s="109" t="str">
        <f>IF(ABS(F171-U171)&lt;0.01,"ok","err")</f>
        <v>ok</v>
      </c>
    </row>
    <row r="172" spans="1:23" x14ac:dyDescent="0.25">
      <c r="A172" s="122" t="s">
        <v>675</v>
      </c>
      <c r="C172" s="116" t="s">
        <v>341</v>
      </c>
      <c r="D172" s="116" t="s">
        <v>354</v>
      </c>
      <c r="E172" s="116" t="s">
        <v>873</v>
      </c>
      <c r="F172" s="7">
        <f>VLOOKUP(C172,'WSS-33'!$C$1:$AR$730,14,)</f>
        <v>4573225.1543115303</v>
      </c>
      <c r="G172" s="7">
        <f t="shared" si="52"/>
        <v>4216107.1926341616</v>
      </c>
      <c r="H172" s="7">
        <f t="shared" si="52"/>
        <v>353656.01095392316</v>
      </c>
      <c r="I172" s="7">
        <f t="shared" si="52"/>
        <v>3461.9507234456923</v>
      </c>
      <c r="J172" s="7">
        <f t="shared" si="52"/>
        <v>0</v>
      </c>
      <c r="K172" s="7">
        <f>(VLOOKUP($E172,$D$6:$AI$674,8,)/VLOOKUP($E172,$D$6:$AI$674,3,))*$F172</f>
        <v>0</v>
      </c>
      <c r="L172" s="7">
        <f t="shared" si="53"/>
        <v>0</v>
      </c>
      <c r="M172" s="7">
        <f t="shared" si="53"/>
        <v>0</v>
      </c>
      <c r="N172" s="7">
        <f>(VLOOKUP($E172,$D$6:$AI$674,11,)/VLOOKUP($E172,$D$6:$AI$674,3,))*$F172</f>
        <v>0</v>
      </c>
      <c r="O172" s="7">
        <f t="shared" si="54"/>
        <v>0</v>
      </c>
      <c r="P172" s="7">
        <f t="shared" si="54"/>
        <v>0</v>
      </c>
      <c r="Q172" s="7">
        <f t="shared" si="54"/>
        <v>0</v>
      </c>
      <c r="R172" s="7">
        <f>(VLOOKUP($E172,$D$6:$AI$674,15,)/VLOOKUP($E172,$D$6:$AI$674,3,))*$F172</f>
        <v>0</v>
      </c>
      <c r="S172" s="7">
        <f>(VLOOKUP($E172,$D$6:$AI$674,16,)/VLOOKUP($E172,$D$6:$AI$674,3,))*$F172</f>
        <v>0</v>
      </c>
      <c r="T172" s="7">
        <f>(VLOOKUP($E172,$D$6:$AI$674,17,)/VLOOKUP($E172,$D$6:$AI$674,3,))*$F172</f>
        <v>0</v>
      </c>
      <c r="U172" s="124">
        <f>SUM(G172:M172)</f>
        <v>4573225.1543115303</v>
      </c>
      <c r="V172" s="109" t="str">
        <f>IF(ABS(F172-U172)&lt;0.01,"ok","err")</f>
        <v>ok</v>
      </c>
      <c r="W172" s="125"/>
    </row>
    <row r="173" spans="1:23" x14ac:dyDescent="0.25">
      <c r="A173" s="122" t="s">
        <v>677</v>
      </c>
      <c r="C173" s="116" t="s">
        <v>341</v>
      </c>
      <c r="D173" s="116" t="s">
        <v>354</v>
      </c>
      <c r="E173" s="116" t="s">
        <v>318</v>
      </c>
      <c r="F173" s="7">
        <f>VLOOKUP(C173,'WSS-33'!$C$1:$AR$730,15,)</f>
        <v>396719.94041488232</v>
      </c>
      <c r="G173" s="7">
        <f t="shared" si="52"/>
        <v>211060.23052877406</v>
      </c>
      <c r="H173" s="7">
        <f t="shared" si="52"/>
        <v>102380.18353374633</v>
      </c>
      <c r="I173" s="7">
        <f t="shared" si="52"/>
        <v>12779.447587487373</v>
      </c>
      <c r="J173" s="7">
        <f t="shared" si="52"/>
        <v>820.10464339120995</v>
      </c>
      <c r="K173" s="7">
        <f>(VLOOKUP($E173,$D$6:$AI$674,8,)/VLOOKUP($E173,$D$6:$AI$674,3,))*$F173</f>
        <v>69679.974121483378</v>
      </c>
      <c r="L173" s="7">
        <f t="shared" si="53"/>
        <v>0</v>
      </c>
      <c r="M173" s="7">
        <f t="shared" si="53"/>
        <v>0</v>
      </c>
      <c r="N173" s="7">
        <f>(VLOOKUP($E173,$D$6:$AI$674,11,)/VLOOKUP($E173,$D$6:$AI$674,3,))*$F173</f>
        <v>0</v>
      </c>
      <c r="O173" s="7">
        <f t="shared" si="54"/>
        <v>0</v>
      </c>
      <c r="P173" s="7">
        <f t="shared" si="54"/>
        <v>0</v>
      </c>
      <c r="Q173" s="7">
        <f t="shared" si="54"/>
        <v>0</v>
      </c>
      <c r="R173" s="7"/>
      <c r="S173" s="7"/>
      <c r="T173" s="7"/>
      <c r="U173" s="124"/>
      <c r="V173" s="109"/>
    </row>
    <row r="174" spans="1:23" x14ac:dyDescent="0.25">
      <c r="A174" s="122" t="s">
        <v>674</v>
      </c>
      <c r="C174" s="116" t="s">
        <v>341</v>
      </c>
      <c r="D174" s="116" t="s">
        <v>354</v>
      </c>
      <c r="E174" s="116" t="s">
        <v>872</v>
      </c>
      <c r="F174" s="7">
        <f>VLOOKUP(C174,'WSS-33'!$C$1:$AR$730,16,)</f>
        <v>336689.447604555</v>
      </c>
      <c r="G174" s="7">
        <f t="shared" si="52"/>
        <v>310312.59067613474</v>
      </c>
      <c r="H174" s="7">
        <f t="shared" si="52"/>
        <v>26029.678078164092</v>
      </c>
      <c r="I174" s="7">
        <f t="shared" si="52"/>
        <v>262.07073150878455</v>
      </c>
      <c r="J174" s="7">
        <f t="shared" si="52"/>
        <v>5.1895194358175161</v>
      </c>
      <c r="K174" s="7">
        <f>(VLOOKUP($E174,$D$6:$AI$674,8,)/VLOOKUP($E174,$D$6:$AI$674,3,))*$F174</f>
        <v>79.91859931158973</v>
      </c>
      <c r="L174" s="7">
        <f t="shared" si="53"/>
        <v>0</v>
      </c>
      <c r="M174" s="7">
        <f t="shared" si="53"/>
        <v>0</v>
      </c>
      <c r="N174" s="7">
        <f>(VLOOKUP($E174,$D$6:$AI$674,11,)/VLOOKUP($E174,$D$6:$AI$674,3,))*$F174</f>
        <v>0</v>
      </c>
      <c r="O174" s="7">
        <f t="shared" si="54"/>
        <v>0</v>
      </c>
      <c r="P174" s="7">
        <f t="shared" si="54"/>
        <v>0</v>
      </c>
      <c r="Q174" s="7">
        <f t="shared" si="54"/>
        <v>0</v>
      </c>
      <c r="R174" s="7"/>
      <c r="S174" s="7"/>
      <c r="T174" s="7"/>
      <c r="U174" s="124"/>
      <c r="V174" s="109"/>
    </row>
    <row r="175" spans="1:23" x14ac:dyDescent="0.25">
      <c r="A175" s="116" t="s">
        <v>229</v>
      </c>
      <c r="F175" s="123">
        <f>SUM(F171:F174)</f>
        <v>7627762.7459119838</v>
      </c>
      <c r="G175" s="123">
        <f t="shared" ref="G175:Q175" si="55">SUM(G171:G174)</f>
        <v>6242366.1072476804</v>
      </c>
      <c r="H175" s="123">
        <f t="shared" si="55"/>
        <v>1212049.5083012802</v>
      </c>
      <c r="I175" s="123">
        <f t="shared" si="55"/>
        <v>102761.94347940171</v>
      </c>
      <c r="J175" s="123">
        <f t="shared" si="55"/>
        <v>825.29416282702744</v>
      </c>
      <c r="K175" s="123">
        <f t="shared" si="55"/>
        <v>69759.89272079496</v>
      </c>
      <c r="L175" s="123">
        <f t="shared" si="55"/>
        <v>0</v>
      </c>
      <c r="M175" s="123">
        <f t="shared" si="55"/>
        <v>0</v>
      </c>
      <c r="N175" s="123">
        <f t="shared" si="55"/>
        <v>0</v>
      </c>
      <c r="O175" s="123">
        <f t="shared" si="55"/>
        <v>0</v>
      </c>
      <c r="P175" s="123">
        <f t="shared" si="55"/>
        <v>0</v>
      </c>
      <c r="Q175" s="123">
        <f t="shared" si="55"/>
        <v>0</v>
      </c>
      <c r="R175" s="123">
        <f>R171+R172</f>
        <v>0</v>
      </c>
      <c r="S175" s="123">
        <f>S171+S172</f>
        <v>0</v>
      </c>
      <c r="T175" s="123">
        <f>T171+T172</f>
        <v>0</v>
      </c>
      <c r="U175" s="124">
        <f>SUM(G175:M175)</f>
        <v>7627762.7459119847</v>
      </c>
      <c r="V175" s="109" t="str">
        <f>IF(ABS(F175-U175)&lt;0.01,"ok","err")</f>
        <v>ok</v>
      </c>
      <c r="W175" s="125"/>
    </row>
    <row r="176" spans="1:23" x14ac:dyDescent="0.25">
      <c r="F176" s="7"/>
      <c r="U176" s="124"/>
    </row>
    <row r="177" spans="1:24" x14ac:dyDescent="0.25">
      <c r="A177" s="110" t="s">
        <v>10</v>
      </c>
      <c r="F177" s="7"/>
      <c r="U177" s="124"/>
    </row>
    <row r="178" spans="1:24" x14ac:dyDescent="0.25">
      <c r="A178" s="122" t="s">
        <v>208</v>
      </c>
      <c r="C178" s="116" t="s">
        <v>341</v>
      </c>
      <c r="D178" s="116" t="s">
        <v>346</v>
      </c>
      <c r="E178" s="116" t="s">
        <v>319</v>
      </c>
      <c r="F178" s="123">
        <f>VLOOKUP(C178,'WSS-33'!$C$1:$AR$730,17,)</f>
        <v>2853247.3065916304</v>
      </c>
      <c r="G178" s="123">
        <f>(VLOOKUP($E178,$D$6:$AI$674,G$2,)/VLOOKUP($E178,$D$6:$AI$674,3,))*$F178</f>
        <v>2111192.3154669255</v>
      </c>
      <c r="H178" s="123">
        <f>(VLOOKUP($E178,$D$6:$AI$674,H$2,)/VLOOKUP($E178,$D$6:$AI$674,3,))*$F178</f>
        <v>722593.10626208875</v>
      </c>
      <c r="I178" s="123">
        <f>(VLOOKUP($E178,$D$6:$AI$674,I$2,)/VLOOKUP($E178,$D$6:$AI$674,3,))*$F178</f>
        <v>14690.41079096262</v>
      </c>
      <c r="J178" s="123">
        <f>(VLOOKUP($E178,$D$6:$AI$674,J$2,)/VLOOKUP($E178,$D$6:$AI$674,3,))*$F178</f>
        <v>290.94354095446994</v>
      </c>
      <c r="K178" s="123">
        <f>(VLOOKUP($E178,$D$6:$AI$674,8,)/VLOOKUP($E178,$D$6:$AI$674,3,))*$F178</f>
        <v>4480.5305306988375</v>
      </c>
      <c r="L178" s="123">
        <f>(VLOOKUP($E178,$D$6:$AI$674,L$2,)/VLOOKUP($E178,$D$6:$AI$674,3,))*$F178</f>
        <v>0</v>
      </c>
      <c r="M178" s="123">
        <f>(VLOOKUP($E178,$D$6:$AI$674,M$2,)/VLOOKUP($E178,$D$6:$AI$674,3,))*$F178</f>
        <v>0</v>
      </c>
      <c r="N178" s="123">
        <f>(VLOOKUP($E178,$D$6:$AI$674,11,)/VLOOKUP($E178,$D$6:$AI$674,3,))*$F178</f>
        <v>0</v>
      </c>
      <c r="O178" s="123">
        <f>(VLOOKUP($E178,$D$6:$AI$674,O$2,)/VLOOKUP($E178,$D$6:$AI$674,3,))*$F178</f>
        <v>0</v>
      </c>
      <c r="P178" s="123">
        <f>(VLOOKUP($E178,$D$6:$AI$674,P$2,)/VLOOKUP($E178,$D$6:$AI$674,3,))*$F178</f>
        <v>0</v>
      </c>
      <c r="Q178" s="123">
        <f>(VLOOKUP($E178,$D$6:$AI$674,Q$2,)/VLOOKUP($E178,$D$6:$AI$674,3,))*$F178</f>
        <v>0</v>
      </c>
      <c r="R178" s="123">
        <f>(VLOOKUP($E178,$D$6:$AI$674,15,)/VLOOKUP($E178,$D$6:$AI$674,3,))*$F178</f>
        <v>0</v>
      </c>
      <c r="S178" s="123">
        <f>(VLOOKUP($E178,$D$6:$AI$674,16,)/VLOOKUP($E178,$D$6:$AI$674,3,))*$F178</f>
        <v>0</v>
      </c>
      <c r="T178" s="123">
        <f>(VLOOKUP($E178,$D$6:$AI$674,17,)/VLOOKUP($E178,$D$6:$AI$674,3,))*$F178</f>
        <v>0</v>
      </c>
      <c r="U178" s="124">
        <f>SUM(G178:M178)</f>
        <v>2853247.3065916304</v>
      </c>
      <c r="V178" s="109" t="str">
        <f>IF(ABS(F178-U178)&lt;0.01,"ok","err")</f>
        <v>ok</v>
      </c>
      <c r="W178" s="125"/>
    </row>
    <row r="179" spans="1:24" x14ac:dyDescent="0.25">
      <c r="F179" s="7"/>
      <c r="U179" s="124"/>
    </row>
    <row r="180" spans="1:24" x14ac:dyDescent="0.25">
      <c r="A180" s="110" t="s">
        <v>11</v>
      </c>
      <c r="F180" s="7"/>
      <c r="U180" s="124"/>
    </row>
    <row r="181" spans="1:24" x14ac:dyDescent="0.25">
      <c r="A181" s="122" t="s">
        <v>208</v>
      </c>
      <c r="C181" s="116" t="s">
        <v>341</v>
      </c>
      <c r="D181" s="116" t="s">
        <v>355</v>
      </c>
      <c r="E181" s="116" t="s">
        <v>320</v>
      </c>
      <c r="F181" s="123">
        <f>VLOOKUP(C181,'WSS-33'!$C$1:$AR$730,18,)</f>
        <v>2280959.231528407</v>
      </c>
      <c r="G181" s="123">
        <f>(VLOOKUP($E181,$D$6:$AI$674,G$2,)/VLOOKUP($E181,$D$6:$AI$674,3,))*$F181</f>
        <v>1505439.0699914698</v>
      </c>
      <c r="H181" s="123">
        <f>(VLOOKUP($E181,$D$6:$AI$674,H$2,)/VLOOKUP($E181,$D$6:$AI$674,3,))*$F181</f>
        <v>660239.48288120446</v>
      </c>
      <c r="I181" s="123">
        <f>(VLOOKUP($E181,$D$6:$AI$674,I$2,)/VLOOKUP($E181,$D$6:$AI$674,3,))*$F181</f>
        <v>49823.122436796657</v>
      </c>
      <c r="J181" s="123">
        <f>(VLOOKUP($E181,$D$6:$AI$674,J$2,)/VLOOKUP($E181,$D$6:$AI$674,3,))*$F181</f>
        <v>272.02371276572023</v>
      </c>
      <c r="K181" s="123">
        <f>(VLOOKUP($E181,$D$6:$AI$674,8,)/VLOOKUP($E181,$D$6:$AI$674,3,))*$F181</f>
        <v>65185.532506169846</v>
      </c>
      <c r="L181" s="123">
        <f>(VLOOKUP($E181,$D$6:$AI$674,L$2,)/VLOOKUP($E181,$D$6:$AI$674,3,))*$F181</f>
        <v>0</v>
      </c>
      <c r="M181" s="123">
        <f>(VLOOKUP($E181,$D$6:$AI$674,M$2,)/VLOOKUP($E181,$D$6:$AI$674,3,))*$F181</f>
        <v>0</v>
      </c>
      <c r="N181" s="123">
        <f>(VLOOKUP($E181,$D$6:$AI$674,11,)/VLOOKUP($E181,$D$6:$AI$674,3,))*$F181</f>
        <v>0</v>
      </c>
      <c r="O181" s="123">
        <f>(VLOOKUP($E181,$D$6:$AI$674,O$2,)/VLOOKUP($E181,$D$6:$AI$674,3,))*$F181</f>
        <v>0</v>
      </c>
      <c r="P181" s="123">
        <f>(VLOOKUP($E181,$D$6:$AI$674,P$2,)/VLOOKUP($E181,$D$6:$AI$674,3,))*$F181</f>
        <v>0</v>
      </c>
      <c r="Q181" s="123">
        <f>(VLOOKUP($E181,$D$6:$AI$674,Q$2,)/VLOOKUP($E181,$D$6:$AI$674,3,))*$F181</f>
        <v>0</v>
      </c>
      <c r="R181" s="123">
        <f>(VLOOKUP($E181,$D$6:$AI$674,15,)/VLOOKUP($E181,$D$6:$AI$674,3,))*$F181</f>
        <v>0</v>
      </c>
      <c r="S181" s="123">
        <f>(VLOOKUP($E181,$D$6:$AI$674,16,)/VLOOKUP($E181,$D$6:$AI$674,3,))*$F181</f>
        <v>0</v>
      </c>
      <c r="T181" s="123">
        <f>(VLOOKUP($E181,$D$6:$AI$674,17,)/VLOOKUP($E181,$D$6:$AI$674,3,))*$F181</f>
        <v>0</v>
      </c>
      <c r="U181" s="124">
        <f>SUM(G181:M181)</f>
        <v>2280959.231528407</v>
      </c>
      <c r="V181" s="109" t="str">
        <f>IF(ABS(F181-U181)&lt;0.01,"ok","err")</f>
        <v>ok</v>
      </c>
    </row>
    <row r="182" spans="1:24" x14ac:dyDescent="0.25">
      <c r="F182" s="7"/>
      <c r="U182" s="124"/>
    </row>
    <row r="183" spans="1:24" x14ac:dyDescent="0.25">
      <c r="A183" s="110" t="s">
        <v>12</v>
      </c>
      <c r="F183" s="7"/>
      <c r="U183" s="124"/>
    </row>
    <row r="184" spans="1:24" x14ac:dyDescent="0.25">
      <c r="A184" s="122" t="s">
        <v>208</v>
      </c>
      <c r="C184" s="116" t="s">
        <v>341</v>
      </c>
      <c r="D184" s="116" t="s">
        <v>356</v>
      </c>
      <c r="E184" s="116" t="s">
        <v>874</v>
      </c>
      <c r="F184" s="123">
        <f>VLOOKUP(C184,'WSS-33'!$C$1:$AR$730,19,)</f>
        <v>4896262.1940102074</v>
      </c>
      <c r="G184" s="123">
        <f>(VLOOKUP($E184,$D$6:$AI$674,G$2,)/VLOOKUP($E184,$D$6:$AI$674,3,))*$F184</f>
        <v>4177476.4624979114</v>
      </c>
      <c r="H184" s="123">
        <f>(VLOOKUP($E184,$D$6:$AI$674,H$2,)/VLOOKUP($E184,$D$6:$AI$674,3,))*$F184</f>
        <v>700831.1667986156</v>
      </c>
      <c r="I184" s="123">
        <f>(VLOOKUP($E184,$D$6:$AI$674,I$2,)/VLOOKUP($E184,$D$6:$AI$674,3,))*$F184</f>
        <v>7056.0740703567899</v>
      </c>
      <c r="J184" s="123">
        <f>(VLOOKUP($E184,$D$6:$AI$674,J$2,)/VLOOKUP($E184,$D$6:$AI$674,3,))*$F184</f>
        <v>139.72423901696612</v>
      </c>
      <c r="K184" s="123">
        <f>(VLOOKUP($E184,$D$6:$AI$674,8,)/VLOOKUP($E184,$D$6:$AI$674,3,))*$F184</f>
        <v>10758.766404306392</v>
      </c>
      <c r="L184" s="123">
        <f>(VLOOKUP($E184,$D$6:$AI$674,L$2,)/VLOOKUP($E184,$D$6:$AI$674,3,))*$F184</f>
        <v>0</v>
      </c>
      <c r="M184" s="123">
        <f>(VLOOKUP($E184,$D$6:$AI$674,M$2,)/VLOOKUP($E184,$D$6:$AI$674,3,))*$F184</f>
        <v>0</v>
      </c>
      <c r="N184" s="123">
        <f>(VLOOKUP($E184,$D$6:$AI$674,11,)/VLOOKUP($E184,$D$6:$AI$674,3,))*$F184</f>
        <v>0</v>
      </c>
      <c r="O184" s="123">
        <f>(VLOOKUP($E184,$D$6:$AI$674,O$2,)/VLOOKUP($E184,$D$6:$AI$674,3,))*$F184</f>
        <v>0</v>
      </c>
      <c r="P184" s="123">
        <f>(VLOOKUP($E184,$D$6:$AI$674,P$2,)/VLOOKUP($E184,$D$6:$AI$674,3,))*$F184</f>
        <v>0</v>
      </c>
      <c r="Q184" s="123">
        <f>(VLOOKUP($E184,$D$6:$AI$674,Q$2,)/VLOOKUP($E184,$D$6:$AI$674,3,))*$F184</f>
        <v>0</v>
      </c>
      <c r="R184" s="123">
        <f>(VLOOKUP($E184,$D$6:$AI$674,15,)/VLOOKUP($E184,$D$6:$AI$674,3,))*$F184</f>
        <v>0</v>
      </c>
      <c r="S184" s="123">
        <f>(VLOOKUP($E184,$D$6:$AI$674,16,)/VLOOKUP($E184,$D$6:$AI$674,3,))*$F184</f>
        <v>0</v>
      </c>
      <c r="T184" s="123">
        <f>(VLOOKUP($E184,$D$6:$AI$674,17,)/VLOOKUP($E184,$D$6:$AI$674,3,))*$F184</f>
        <v>0</v>
      </c>
      <c r="U184" s="124">
        <f>SUM(G184:M184)</f>
        <v>4896262.1940102074</v>
      </c>
      <c r="V184" s="109" t="str">
        <f>IF(ABS(F184-U184)&lt;0.01,"ok","err")</f>
        <v>ok</v>
      </c>
    </row>
    <row r="185" spans="1:24" x14ac:dyDescent="0.25">
      <c r="F185" s="7"/>
      <c r="U185" s="124"/>
    </row>
    <row r="186" spans="1:24" x14ac:dyDescent="0.25">
      <c r="A186" s="110" t="s">
        <v>13</v>
      </c>
      <c r="F186" s="7"/>
      <c r="U186" s="124"/>
    </row>
    <row r="187" spans="1:24" x14ac:dyDescent="0.25">
      <c r="A187" s="122" t="s">
        <v>208</v>
      </c>
      <c r="C187" s="116" t="s">
        <v>341</v>
      </c>
      <c r="D187" s="116" t="s">
        <v>357</v>
      </c>
      <c r="E187" s="116" t="s">
        <v>875</v>
      </c>
      <c r="F187" s="123">
        <f>VLOOKUP(C187,'WSS-33'!$C$1:$AR$730,20,)</f>
        <v>309703.50630595785</v>
      </c>
      <c r="G187" s="123">
        <f>(VLOOKUP($E187,$D$6:$AI$674,G$2,)/VLOOKUP($E187,$D$6:$AI$674,3,))*$F187</f>
        <v>264238.11811568099</v>
      </c>
      <c r="H187" s="123">
        <f>(VLOOKUP($E187,$D$6:$AI$674,H$2,)/VLOOKUP($E187,$D$6:$AI$674,3,))*$F187</f>
        <v>44329.707251289074</v>
      </c>
      <c r="I187" s="123">
        <f>(VLOOKUP($E187,$D$6:$AI$674,I$2,)/VLOOKUP($E187,$D$6:$AI$674,3,))*$F187</f>
        <v>446.31819003022406</v>
      </c>
      <c r="J187" s="123">
        <f>(VLOOKUP($E187,$D$6:$AI$674,J$2,)/VLOOKUP($E187,$D$6:$AI$674,3,))*$F187</f>
        <v>8.8379839609945368</v>
      </c>
      <c r="K187" s="123">
        <f>(VLOOKUP($E187,$D$6:$AI$674,8,)/VLOOKUP($E187,$D$6:$AI$674,3,))*$F187</f>
        <v>680.52476499657928</v>
      </c>
      <c r="L187" s="123">
        <f>(VLOOKUP($E187,$D$6:$AI$674,L$2,)/VLOOKUP($E187,$D$6:$AI$674,3,))*$F187</f>
        <v>0</v>
      </c>
      <c r="M187" s="123">
        <f>(VLOOKUP($E187,$D$6:$AI$674,M$2,)/VLOOKUP($E187,$D$6:$AI$674,3,))*$F187</f>
        <v>0</v>
      </c>
      <c r="N187" s="123">
        <f>(VLOOKUP($E187,$D$6:$AI$674,11,)/VLOOKUP($E187,$D$6:$AI$674,3,))*$F187</f>
        <v>0</v>
      </c>
      <c r="O187" s="123">
        <f>(VLOOKUP($E187,$D$6:$AI$674,O$2,)/VLOOKUP($E187,$D$6:$AI$674,3,))*$F187</f>
        <v>0</v>
      </c>
      <c r="P187" s="123">
        <f>(VLOOKUP($E187,$D$6:$AI$674,P$2,)/VLOOKUP($E187,$D$6:$AI$674,3,))*$F187</f>
        <v>0</v>
      </c>
      <c r="Q187" s="123">
        <f>(VLOOKUP($E187,$D$6:$AI$674,Q$2,)/VLOOKUP($E187,$D$6:$AI$674,3,))*$F187</f>
        <v>0</v>
      </c>
      <c r="R187" s="123">
        <f>(VLOOKUP($E187,$D$6:$AI$674,15,)/VLOOKUP($E187,$D$6:$AI$674,3,))*$F187</f>
        <v>0</v>
      </c>
      <c r="S187" s="123">
        <f>(VLOOKUP($E187,$D$6:$AI$674,16,)/VLOOKUP($E187,$D$6:$AI$674,3,))*$F187</f>
        <v>0</v>
      </c>
      <c r="T187" s="123">
        <f>(VLOOKUP($E187,$D$6:$AI$674,17,)/VLOOKUP($E187,$D$6:$AI$674,3,))*$F187</f>
        <v>0</v>
      </c>
      <c r="U187" s="124">
        <f>SUM(G187:M187)</f>
        <v>309703.50630595785</v>
      </c>
      <c r="V187" s="109" t="str">
        <f>IF(ABS(F187-U187)&lt;0.01,"ok","err")</f>
        <v>ok</v>
      </c>
    </row>
    <row r="188" spans="1:24" x14ac:dyDescent="0.25">
      <c r="F188" s="7"/>
      <c r="U188" s="124"/>
    </row>
    <row r="189" spans="1:24" x14ac:dyDescent="0.25">
      <c r="A189" s="116" t="s">
        <v>14</v>
      </c>
      <c r="D189" s="116" t="s">
        <v>350</v>
      </c>
      <c r="F189" s="123">
        <f>F152+F157+F162+F165+F168+F175+F178+F181+F184+F187</f>
        <v>29129984.400000002</v>
      </c>
      <c r="G189" s="123">
        <f t="shared" ref="G189:T189" si="56">G152+G157+G162+G165+G168+G175+G178+G181+G184+G187</f>
        <v>21045072.13641604</v>
      </c>
      <c r="H189" s="123">
        <f t="shared" si="56"/>
        <v>6607905.729305719</v>
      </c>
      <c r="I189" s="123">
        <f t="shared" si="56"/>
        <v>566968.31829124282</v>
      </c>
      <c r="J189" s="123">
        <f t="shared" si="56"/>
        <v>16549.87330849269</v>
      </c>
      <c r="K189" s="123">
        <f t="shared" si="56"/>
        <v>893488.34267850278</v>
      </c>
      <c r="L189" s="123">
        <f t="shared" si="56"/>
        <v>0</v>
      </c>
      <c r="M189" s="123">
        <f t="shared" si="56"/>
        <v>0</v>
      </c>
      <c r="N189" s="123">
        <f t="shared" si="56"/>
        <v>0</v>
      </c>
      <c r="O189" s="123">
        <f t="shared" si="56"/>
        <v>0</v>
      </c>
      <c r="P189" s="123">
        <f t="shared" si="56"/>
        <v>0</v>
      </c>
      <c r="Q189" s="123">
        <f t="shared" si="56"/>
        <v>0</v>
      </c>
      <c r="R189" s="123">
        <f t="shared" si="56"/>
        <v>0</v>
      </c>
      <c r="S189" s="123">
        <f t="shared" si="56"/>
        <v>0</v>
      </c>
      <c r="T189" s="123">
        <f t="shared" si="56"/>
        <v>0</v>
      </c>
      <c r="U189" s="124">
        <f>SUM(G189:M189)</f>
        <v>29129984.399999995</v>
      </c>
      <c r="V189" s="109" t="str">
        <f>IF(ABS(F189-U189)&lt;0.01,"ok","err")</f>
        <v>ok</v>
      </c>
      <c r="W189" s="124"/>
      <c r="X189" s="109"/>
    </row>
    <row r="190" spans="1:24" x14ac:dyDescent="0.25">
      <c r="U190" s="124"/>
    </row>
    <row r="191" spans="1:24" x14ac:dyDescent="0.25">
      <c r="U191" s="124"/>
    </row>
    <row r="192" spans="1:24" x14ac:dyDescent="0.25"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4"/>
      <c r="V192" s="109"/>
    </row>
    <row r="193" spans="1:22" x14ac:dyDescent="0.25">
      <c r="U193" s="124"/>
    </row>
    <row r="194" spans="1:22" x14ac:dyDescent="0.25">
      <c r="A194" s="121" t="s">
        <v>173</v>
      </c>
      <c r="U194" s="124"/>
    </row>
    <row r="195" spans="1:22" x14ac:dyDescent="0.25">
      <c r="U195" s="124"/>
    </row>
    <row r="196" spans="1:22" x14ac:dyDescent="0.25">
      <c r="A196" s="110" t="s">
        <v>452</v>
      </c>
      <c r="U196" s="124"/>
    </row>
    <row r="197" spans="1:22" x14ac:dyDescent="0.25">
      <c r="A197" s="122" t="s">
        <v>207</v>
      </c>
      <c r="C197" s="116" t="s">
        <v>203</v>
      </c>
      <c r="D197" s="116" t="s">
        <v>280</v>
      </c>
      <c r="E197" s="116" t="s">
        <v>310</v>
      </c>
      <c r="F197" s="123">
        <f>VLOOKUP(C197,'WSS-33'!$C$1:$AR$730,5,)</f>
        <v>0</v>
      </c>
      <c r="G197" s="123">
        <f t="shared" ref="G197:J198" si="57">(VLOOKUP($E197,$D$6:$AI$674,G$2,)/VLOOKUP($E197,$D$6:$AI$674,3,))*$F197</f>
        <v>0</v>
      </c>
      <c r="H197" s="123">
        <f t="shared" si="57"/>
        <v>0</v>
      </c>
      <c r="I197" s="123">
        <f t="shared" si="57"/>
        <v>0</v>
      </c>
      <c r="J197" s="123">
        <f t="shared" si="57"/>
        <v>0</v>
      </c>
      <c r="K197" s="123">
        <f>(VLOOKUP($E197,$D$6:$AI$674,8,)/VLOOKUP($E197,$D$6:$AI$674,3,))*$F197</f>
        <v>0</v>
      </c>
      <c r="L197" s="123">
        <f>(VLOOKUP($E197,$D$6:$AI$674,L$2,)/VLOOKUP($E197,$D$6:$AI$674,3,))*$F197</f>
        <v>0</v>
      </c>
      <c r="M197" s="123">
        <f>(VLOOKUP($E197,$D$6:$AI$674,M$2,)/VLOOKUP($E197,$D$6:$AI$674,3,))*$F197</f>
        <v>0</v>
      </c>
      <c r="N197" s="123">
        <f>(VLOOKUP($E197,$D$6:$AI$674,11,)/VLOOKUP($E197,$D$6:$AI$674,3,))*$F197</f>
        <v>0</v>
      </c>
      <c r="O197" s="123">
        <f t="shared" ref="O197:Q198" si="58">(VLOOKUP($E197,$D$6:$AI$674,O$2,)/VLOOKUP($E197,$D$6:$AI$674,3,))*$F197</f>
        <v>0</v>
      </c>
      <c r="P197" s="123">
        <f t="shared" si="58"/>
        <v>0</v>
      </c>
      <c r="Q197" s="123">
        <f t="shared" si="58"/>
        <v>0</v>
      </c>
      <c r="R197" s="123">
        <f>(VLOOKUP($E197,$D$6:$AI$674,15,)/VLOOKUP($E197,$D$6:$AI$674,3,))*$F197</f>
        <v>0</v>
      </c>
      <c r="S197" s="123">
        <f>(VLOOKUP($E197,$D$6:$AI$674,16,)/VLOOKUP($E197,$D$6:$AI$674,3,))*$F197</f>
        <v>0</v>
      </c>
      <c r="T197" s="123">
        <f>(VLOOKUP($E197,$D$6:$AI$674,17,)/VLOOKUP($E197,$D$6:$AI$674,3,))*$F197</f>
        <v>0</v>
      </c>
      <c r="U197" s="124">
        <f>SUM(G197:M197)</f>
        <v>0</v>
      </c>
      <c r="V197" s="109" t="str">
        <f>IF(ABS(F197-U197)&lt;0.01,"ok","err")</f>
        <v>ok</v>
      </c>
    </row>
    <row r="198" spans="1:22" x14ac:dyDescent="0.25">
      <c r="A198" s="122" t="s">
        <v>226</v>
      </c>
      <c r="C198" s="116" t="s">
        <v>203</v>
      </c>
      <c r="D198" s="116" t="s">
        <v>268</v>
      </c>
      <c r="E198" s="116" t="s">
        <v>311</v>
      </c>
      <c r="F198" s="7">
        <f>VLOOKUP(C198,'WSS-33'!$C$1:$AR$730,6,)</f>
        <v>0</v>
      </c>
      <c r="G198" s="7">
        <f t="shared" si="57"/>
        <v>0</v>
      </c>
      <c r="H198" s="7">
        <f t="shared" si="57"/>
        <v>0</v>
      </c>
      <c r="I198" s="7">
        <f t="shared" si="57"/>
        <v>0</v>
      </c>
      <c r="J198" s="7">
        <f t="shared" si="57"/>
        <v>0</v>
      </c>
      <c r="K198" s="7">
        <f>(VLOOKUP($E198,$D$6:$AI$674,8,)/VLOOKUP($E198,$D$6:$AI$674,3,))*$F198</f>
        <v>0</v>
      </c>
      <c r="L198" s="7">
        <f>(VLOOKUP($E198,$D$6:$AI$674,L$2,)/VLOOKUP($E198,$D$6:$AI$674,3,))*$F198</f>
        <v>0</v>
      </c>
      <c r="M198" s="7">
        <f>(VLOOKUP($E198,$D$6:$AI$674,M$2,)/VLOOKUP($E198,$D$6:$AI$674,3,))*$F198</f>
        <v>0</v>
      </c>
      <c r="N198" s="7">
        <f>(VLOOKUP($E198,$D$6:$AI$674,11,)/VLOOKUP($E198,$D$6:$AI$674,3,))*$F198</f>
        <v>0</v>
      </c>
      <c r="O198" s="7">
        <f t="shared" si="58"/>
        <v>0</v>
      </c>
      <c r="P198" s="7">
        <f t="shared" si="58"/>
        <v>0</v>
      </c>
      <c r="Q198" s="7">
        <f t="shared" si="58"/>
        <v>0</v>
      </c>
      <c r="R198" s="7">
        <f>(VLOOKUP($E198,$D$6:$AI$674,15,)/VLOOKUP($E198,$D$6:$AI$674,3,))*$F198</f>
        <v>0</v>
      </c>
      <c r="S198" s="7">
        <f>(VLOOKUP($E198,$D$6:$AI$674,16,)/VLOOKUP($E198,$D$6:$AI$674,3,))*$F198</f>
        <v>0</v>
      </c>
      <c r="T198" s="7">
        <f>(VLOOKUP($E198,$D$6:$AI$674,17,)/VLOOKUP($E198,$D$6:$AI$674,3,))*$F198</f>
        <v>0</v>
      </c>
      <c r="U198" s="124">
        <f>SUM(G198:M198)</f>
        <v>0</v>
      </c>
      <c r="V198" s="109" t="str">
        <f>IF(ABS(F198-U198)&lt;0.01,"ok","err")</f>
        <v>ok</v>
      </c>
    </row>
    <row r="199" spans="1:22" x14ac:dyDescent="0.25">
      <c r="A199" s="116" t="s">
        <v>654</v>
      </c>
      <c r="D199" s="116" t="s">
        <v>335</v>
      </c>
      <c r="F199" s="123">
        <f t="shared" ref="F199:T199" si="59">F197+F198</f>
        <v>0</v>
      </c>
      <c r="G199" s="123">
        <f t="shared" si="59"/>
        <v>0</v>
      </c>
      <c r="H199" s="123">
        <f t="shared" si="59"/>
        <v>0</v>
      </c>
      <c r="I199" s="123">
        <f t="shared" si="59"/>
        <v>0</v>
      </c>
      <c r="J199" s="123">
        <f t="shared" si="59"/>
        <v>0</v>
      </c>
      <c r="K199" s="123">
        <f t="shared" si="59"/>
        <v>0</v>
      </c>
      <c r="L199" s="123">
        <f t="shared" si="59"/>
        <v>0</v>
      </c>
      <c r="M199" s="123">
        <f t="shared" si="59"/>
        <v>0</v>
      </c>
      <c r="N199" s="123">
        <f t="shared" si="59"/>
        <v>0</v>
      </c>
      <c r="O199" s="123">
        <f t="shared" si="59"/>
        <v>0</v>
      </c>
      <c r="P199" s="123">
        <f t="shared" si="59"/>
        <v>0</v>
      </c>
      <c r="Q199" s="123">
        <f t="shared" si="59"/>
        <v>0</v>
      </c>
      <c r="R199" s="123">
        <f t="shared" si="59"/>
        <v>0</v>
      </c>
      <c r="S199" s="123">
        <f t="shared" si="59"/>
        <v>0</v>
      </c>
      <c r="T199" s="123">
        <f t="shared" si="59"/>
        <v>0</v>
      </c>
      <c r="U199" s="124">
        <f>SUM(G199:M199)</f>
        <v>0</v>
      </c>
      <c r="V199" s="109" t="str">
        <f>IF(ABS(F199-U199)&lt;0.01,"ok","err")</f>
        <v>ok</v>
      </c>
    </row>
    <row r="200" spans="1:22" x14ac:dyDescent="0.25">
      <c r="F200" s="7"/>
      <c r="G200" s="7"/>
      <c r="U200" s="124"/>
    </row>
    <row r="201" spans="1:22" x14ac:dyDescent="0.25">
      <c r="A201" s="110" t="s">
        <v>3</v>
      </c>
      <c r="F201" s="7"/>
      <c r="G201" s="7"/>
      <c r="U201" s="124"/>
    </row>
    <row r="202" spans="1:22" x14ac:dyDescent="0.25">
      <c r="A202" s="122" t="s">
        <v>207</v>
      </c>
      <c r="C202" s="116" t="s">
        <v>203</v>
      </c>
      <c r="D202" s="116" t="s">
        <v>269</v>
      </c>
      <c r="E202" s="116" t="s">
        <v>312</v>
      </c>
      <c r="F202" s="123">
        <f>VLOOKUP(C202,'WSS-33'!$C$1:$AR$730,7,)</f>
        <v>5455701.1755978251</v>
      </c>
      <c r="G202" s="123">
        <f t="shared" ref="G202:J203" si="60">(VLOOKUP($E202,$D$6:$AI$674,G$2,)/VLOOKUP($E202,$D$6:$AI$674,3,))*$F202</f>
        <v>3576649.8514617081</v>
      </c>
      <c r="H202" s="123">
        <f t="shared" si="60"/>
        <v>1691113.9242221189</v>
      </c>
      <c r="I202" s="123">
        <f t="shared" si="60"/>
        <v>155558.91932219878</v>
      </c>
      <c r="J202" s="123">
        <f t="shared" si="60"/>
        <v>0</v>
      </c>
      <c r="K202" s="123">
        <f>(VLOOKUP($E202,$D$6:$AI$674,8,)/VLOOKUP($E202,$D$6:$AI$674,3,))*$F202</f>
        <v>32378.48059179966</v>
      </c>
      <c r="L202" s="123">
        <f>(VLOOKUP($E202,$D$6:$AI$674,L$2,)/VLOOKUP($E202,$D$6:$AI$674,3,))*$F202</f>
        <v>0</v>
      </c>
      <c r="M202" s="123">
        <f>(VLOOKUP($E202,$D$6:$AI$674,M$2,)/VLOOKUP($E202,$D$6:$AI$674,3,))*$F202</f>
        <v>0</v>
      </c>
      <c r="N202" s="123">
        <f>(VLOOKUP($E202,$D$6:$AI$674,11,)/VLOOKUP($E202,$D$6:$AI$674,3,))*$F202</f>
        <v>0</v>
      </c>
      <c r="O202" s="123">
        <f t="shared" ref="O202:Q203" si="61">(VLOOKUP($E202,$D$6:$AI$674,O$2,)/VLOOKUP($E202,$D$6:$AI$674,3,))*$F202</f>
        <v>0</v>
      </c>
      <c r="P202" s="123">
        <f t="shared" si="61"/>
        <v>0</v>
      </c>
      <c r="Q202" s="123">
        <f t="shared" si="61"/>
        <v>0</v>
      </c>
      <c r="R202" s="123">
        <f>(VLOOKUP($E202,$D$6:$AI$674,15,)/VLOOKUP($E202,$D$6:$AI$674,3,))*$F202</f>
        <v>0</v>
      </c>
      <c r="S202" s="123">
        <f>(VLOOKUP($E202,$D$6:$AI$674,16,)/VLOOKUP($E202,$D$6:$AI$674,3,))*$F202</f>
        <v>0</v>
      </c>
      <c r="T202" s="123">
        <f>(VLOOKUP($E202,$D$6:$AI$674,17,)/VLOOKUP($E202,$D$6:$AI$674,3,))*$F202</f>
        <v>0</v>
      </c>
      <c r="U202" s="124">
        <f>SUM(G202:M202)</f>
        <v>5455701.175597826</v>
      </c>
      <c r="V202" s="109" t="str">
        <f>IF(ABS(F202-U202)&lt;0.01,"ok","err")</f>
        <v>ok</v>
      </c>
    </row>
    <row r="203" spans="1:22" x14ac:dyDescent="0.25">
      <c r="A203" s="116" t="s">
        <v>226</v>
      </c>
      <c r="C203" s="116" t="s">
        <v>203</v>
      </c>
      <c r="D203" s="116" t="s">
        <v>270</v>
      </c>
      <c r="E203" s="116" t="s">
        <v>313</v>
      </c>
      <c r="F203" s="7">
        <f>VLOOKUP(C203,'WSS-33'!$C$1:$AR$730,8,)</f>
        <v>0</v>
      </c>
      <c r="G203" s="7">
        <f t="shared" si="60"/>
        <v>0</v>
      </c>
      <c r="H203" s="7">
        <f t="shared" si="60"/>
        <v>0</v>
      </c>
      <c r="I203" s="7">
        <f t="shared" si="60"/>
        <v>0</v>
      </c>
      <c r="J203" s="7">
        <f t="shared" si="60"/>
        <v>0</v>
      </c>
      <c r="K203" s="7">
        <f>(VLOOKUP($E203,$D$6:$AI$674,8,)/VLOOKUP($E203,$D$6:$AI$674,3,))*$F203</f>
        <v>0</v>
      </c>
      <c r="L203" s="7">
        <f>(VLOOKUP($E203,$D$6:$AI$674,L$2,)/VLOOKUP($E203,$D$6:$AI$674,3,))*$F203</f>
        <v>0</v>
      </c>
      <c r="M203" s="7">
        <f>(VLOOKUP($E203,$D$6:$AI$674,M$2,)/VLOOKUP($E203,$D$6:$AI$674,3,))*$F203</f>
        <v>0</v>
      </c>
      <c r="N203" s="7">
        <f>(VLOOKUP($E203,$D$6:$AI$674,11,)/VLOOKUP($E203,$D$6:$AI$674,3,))*$F203</f>
        <v>0</v>
      </c>
      <c r="O203" s="7">
        <f t="shared" si="61"/>
        <v>0</v>
      </c>
      <c r="P203" s="7">
        <f t="shared" si="61"/>
        <v>0</v>
      </c>
      <c r="Q203" s="7">
        <f t="shared" si="61"/>
        <v>0</v>
      </c>
      <c r="R203" s="7">
        <f>(VLOOKUP($E203,$D$6:$AI$674,15,)/VLOOKUP($E203,$D$6:$AI$674,3,))*$F203</f>
        <v>0</v>
      </c>
      <c r="S203" s="7">
        <f>(VLOOKUP($E203,$D$6:$AI$674,16,)/VLOOKUP($E203,$D$6:$AI$674,3,))*$F203</f>
        <v>0</v>
      </c>
      <c r="T203" s="7">
        <f>(VLOOKUP($E203,$D$6:$AI$674,17,)/VLOOKUP($E203,$D$6:$AI$674,3,))*$F203</f>
        <v>0</v>
      </c>
      <c r="U203" s="124">
        <f>SUM(G203:M203)</f>
        <v>0</v>
      </c>
      <c r="V203" s="109" t="str">
        <f>IF(ABS(F203-U203)&lt;0.01,"ok","err")</f>
        <v>ok</v>
      </c>
    </row>
    <row r="204" spans="1:22" x14ac:dyDescent="0.25">
      <c r="A204" s="116" t="s">
        <v>227</v>
      </c>
      <c r="D204" s="116" t="s">
        <v>336</v>
      </c>
      <c r="F204" s="123">
        <f>SUM(F202:F203)</f>
        <v>5455701.1755978251</v>
      </c>
      <c r="G204" s="123">
        <f t="shared" ref="G204:T204" si="62">G202+G203</f>
        <v>3576649.8514617081</v>
      </c>
      <c r="H204" s="123">
        <f t="shared" si="62"/>
        <v>1691113.9242221189</v>
      </c>
      <c r="I204" s="123">
        <f t="shared" si="62"/>
        <v>155558.91932219878</v>
      </c>
      <c r="J204" s="123">
        <f t="shared" si="62"/>
        <v>0</v>
      </c>
      <c r="K204" s="123">
        <f t="shared" si="62"/>
        <v>32378.48059179966</v>
      </c>
      <c r="L204" s="123">
        <f t="shared" si="62"/>
        <v>0</v>
      </c>
      <c r="M204" s="123">
        <f t="shared" si="62"/>
        <v>0</v>
      </c>
      <c r="N204" s="123">
        <f t="shared" si="62"/>
        <v>0</v>
      </c>
      <c r="O204" s="123">
        <f t="shared" si="62"/>
        <v>0</v>
      </c>
      <c r="P204" s="123">
        <f t="shared" si="62"/>
        <v>0</v>
      </c>
      <c r="Q204" s="123">
        <f t="shared" si="62"/>
        <v>0</v>
      </c>
      <c r="R204" s="123">
        <f t="shared" si="62"/>
        <v>0</v>
      </c>
      <c r="S204" s="123">
        <f t="shared" si="62"/>
        <v>0</v>
      </c>
      <c r="T204" s="123">
        <f t="shared" si="62"/>
        <v>0</v>
      </c>
      <c r="U204" s="124">
        <f>SUM(G204:M204)</f>
        <v>5455701.175597826</v>
      </c>
      <c r="V204" s="109" t="str">
        <f>IF(ABS(F204-U204)&lt;0.01,"ok","err")</f>
        <v>ok</v>
      </c>
    </row>
    <row r="205" spans="1:22" x14ac:dyDescent="0.25">
      <c r="F205" s="7"/>
      <c r="G205" s="7"/>
      <c r="U205" s="124"/>
    </row>
    <row r="206" spans="1:22" x14ac:dyDescent="0.25">
      <c r="A206" s="110" t="s">
        <v>4</v>
      </c>
      <c r="F206" s="7"/>
      <c r="G206" s="7"/>
      <c r="U206" s="124"/>
    </row>
    <row r="207" spans="1:22" x14ac:dyDescent="0.25">
      <c r="A207" s="122" t="s">
        <v>854</v>
      </c>
      <c r="C207" s="116" t="s">
        <v>203</v>
      </c>
      <c r="D207" s="116" t="s">
        <v>271</v>
      </c>
      <c r="E207" s="116" t="s">
        <v>317</v>
      </c>
      <c r="F207" s="123">
        <f>VLOOKUP(C207,'WSS-33'!$C$1:$AR$730,9,)</f>
        <v>447799.1356960985</v>
      </c>
      <c r="G207" s="123">
        <f t="shared" ref="G207:J208" si="63">(VLOOKUP($E207,$D$6:$AI$674,G$2,)/VLOOKUP($E207,$D$6:$AI$674,3,))*$F207</f>
        <v>238235.0348000275</v>
      </c>
      <c r="H207" s="123">
        <f t="shared" si="63"/>
        <v>115562.020025701</v>
      </c>
      <c r="I207" s="123">
        <f t="shared" si="63"/>
        <v>14424.849878646941</v>
      </c>
      <c r="J207" s="123">
        <f t="shared" si="63"/>
        <v>925.69622315149036</v>
      </c>
      <c r="K207" s="123">
        <f>(VLOOKUP($E207,$D$6:$AI$674,8,)/VLOOKUP($E207,$D$6:$AI$674,3,))*$F207</f>
        <v>78651.534768571582</v>
      </c>
      <c r="L207" s="123">
        <f>(VLOOKUP($E207,$D$6:$AI$674,L$2,)/VLOOKUP($E207,$D$6:$AI$674,3,))*$F207</f>
        <v>0</v>
      </c>
      <c r="M207" s="123">
        <f>(VLOOKUP($E207,$D$6:$AI$674,M$2,)/VLOOKUP($E207,$D$6:$AI$674,3,))*$F207</f>
        <v>0</v>
      </c>
      <c r="N207" s="123">
        <f>(VLOOKUP($E207,$D$6:$AI$674,11,)/VLOOKUP($E207,$D$6:$AI$674,3,))*$F207</f>
        <v>0</v>
      </c>
      <c r="O207" s="123">
        <f t="shared" ref="O207:Q208" si="64">(VLOOKUP($E207,$D$6:$AI$674,O$2,)/VLOOKUP($E207,$D$6:$AI$674,3,))*$F207</f>
        <v>0</v>
      </c>
      <c r="P207" s="123">
        <f t="shared" si="64"/>
        <v>0</v>
      </c>
      <c r="Q207" s="123">
        <f t="shared" si="64"/>
        <v>0</v>
      </c>
      <c r="R207" s="123">
        <f>(VLOOKUP($E207,$D$6:$AI$674,15,)/VLOOKUP($E207,$D$6:$AI$674,3,))*$F207</f>
        <v>0</v>
      </c>
      <c r="S207" s="123">
        <f>(VLOOKUP($E207,$D$6:$AI$674,16,)/VLOOKUP($E207,$D$6:$AI$674,3,))*$F207</f>
        <v>0</v>
      </c>
      <c r="T207" s="123">
        <f>(VLOOKUP($E207,$D$6:$AI$674,17,)/VLOOKUP($E207,$D$6:$AI$674,3,))*$F207</f>
        <v>0</v>
      </c>
      <c r="U207" s="124">
        <f>SUM(G207:M207)</f>
        <v>447799.13569609856</v>
      </c>
      <c r="V207" s="109" t="str">
        <f>IF(ABS(F207-U207)&lt;0.01,"ok","err")</f>
        <v>ok</v>
      </c>
    </row>
    <row r="208" spans="1:22" x14ac:dyDescent="0.25">
      <c r="A208" s="116" t="s">
        <v>850</v>
      </c>
      <c r="C208" s="116" t="s">
        <v>203</v>
      </c>
      <c r="D208" s="116" t="s">
        <v>272</v>
      </c>
      <c r="E208" s="116" t="s">
        <v>314</v>
      </c>
      <c r="F208" s="7">
        <f>VLOOKUP(C208,'WSS-33'!$C$1:$AR$730,10,)</f>
        <v>1090543.1605404813</v>
      </c>
      <c r="G208" s="7">
        <f t="shared" si="63"/>
        <v>714938.54000027524</v>
      </c>
      <c r="H208" s="7">
        <f t="shared" si="63"/>
        <v>338037.70851747907</v>
      </c>
      <c r="I208" s="7">
        <f t="shared" si="63"/>
        <v>31094.759420965387</v>
      </c>
      <c r="J208" s="7">
        <f t="shared" si="63"/>
        <v>0</v>
      </c>
      <c r="K208" s="7">
        <f>(VLOOKUP($E208,$D$6:$AI$674,8,)/VLOOKUP($E208,$D$6:$AI$674,3,))*$F208</f>
        <v>6472.1526017617016</v>
      </c>
      <c r="L208" s="7">
        <f>(VLOOKUP($E208,$D$6:$AI$674,L$2,)/VLOOKUP($E208,$D$6:$AI$674,3,))*$F208</f>
        <v>0</v>
      </c>
      <c r="M208" s="7">
        <f>(VLOOKUP($E208,$D$6:$AI$674,M$2,)/VLOOKUP($E208,$D$6:$AI$674,3,))*$F208</f>
        <v>0</v>
      </c>
      <c r="N208" s="7">
        <f>(VLOOKUP($E208,$D$6:$AI$674,11,)/VLOOKUP($E208,$D$6:$AI$674,3,))*$F208</f>
        <v>0</v>
      </c>
      <c r="O208" s="7">
        <f t="shared" si="64"/>
        <v>0</v>
      </c>
      <c r="P208" s="7">
        <f t="shared" si="64"/>
        <v>0</v>
      </c>
      <c r="Q208" s="7">
        <f t="shared" si="64"/>
        <v>0</v>
      </c>
      <c r="R208" s="7">
        <f>(VLOOKUP($E208,$D$6:$AI$674,15,)/VLOOKUP($E208,$D$6:$AI$674,3,))*$F208</f>
        <v>0</v>
      </c>
      <c r="S208" s="7">
        <f>(VLOOKUP($E208,$D$6:$AI$674,16,)/VLOOKUP($E208,$D$6:$AI$674,3,))*$F208</f>
        <v>0</v>
      </c>
      <c r="T208" s="7">
        <f>(VLOOKUP($E208,$D$6:$AI$674,17,)/VLOOKUP($E208,$D$6:$AI$674,3,))*$F208</f>
        <v>0</v>
      </c>
      <c r="U208" s="124">
        <f>SUM(G208:M208)</f>
        <v>1090543.1605404813</v>
      </c>
      <c r="V208" s="109" t="str">
        <f>IF(ABS(F208-U208)&lt;0.01,"ok","err")</f>
        <v>ok</v>
      </c>
    </row>
    <row r="209" spans="1:23" x14ac:dyDescent="0.25">
      <c r="A209" s="116" t="s">
        <v>228</v>
      </c>
      <c r="D209" s="116" t="s">
        <v>337</v>
      </c>
      <c r="F209" s="123">
        <f>SUM(F207:F208)</f>
        <v>1538342.2962365798</v>
      </c>
      <c r="G209" s="123">
        <f t="shared" ref="G209:T209" si="65">G207+G208</f>
        <v>953173.57480030274</v>
      </c>
      <c r="H209" s="123">
        <f t="shared" si="65"/>
        <v>453599.72854318004</v>
      </c>
      <c r="I209" s="123">
        <f t="shared" si="65"/>
        <v>45519.609299612326</v>
      </c>
      <c r="J209" s="123">
        <f t="shared" si="65"/>
        <v>925.69622315149036</v>
      </c>
      <c r="K209" s="123">
        <f t="shared" si="65"/>
        <v>85123.687370333282</v>
      </c>
      <c r="L209" s="123">
        <f t="shared" si="65"/>
        <v>0</v>
      </c>
      <c r="M209" s="123">
        <f t="shared" si="65"/>
        <v>0</v>
      </c>
      <c r="N209" s="123">
        <f t="shared" si="65"/>
        <v>0</v>
      </c>
      <c r="O209" s="123">
        <f t="shared" si="65"/>
        <v>0</v>
      </c>
      <c r="P209" s="123">
        <f t="shared" si="65"/>
        <v>0</v>
      </c>
      <c r="Q209" s="123">
        <f t="shared" si="65"/>
        <v>0</v>
      </c>
      <c r="R209" s="123">
        <f t="shared" si="65"/>
        <v>0</v>
      </c>
      <c r="S209" s="123">
        <f t="shared" si="65"/>
        <v>0</v>
      </c>
      <c r="T209" s="123">
        <f t="shared" si="65"/>
        <v>0</v>
      </c>
      <c r="U209" s="124">
        <f>SUM(G209:M209)</f>
        <v>1538342.2962365798</v>
      </c>
      <c r="V209" s="109" t="str">
        <f>IF(ABS(F209-U209)&lt;0.01,"ok","err")</f>
        <v>ok</v>
      </c>
    </row>
    <row r="210" spans="1:23" x14ac:dyDescent="0.25">
      <c r="F210" s="7"/>
      <c r="U210" s="124"/>
    </row>
    <row r="211" spans="1:23" x14ac:dyDescent="0.25">
      <c r="A211" s="110" t="s">
        <v>6</v>
      </c>
      <c r="F211" s="7"/>
      <c r="U211" s="124"/>
    </row>
    <row r="212" spans="1:23" x14ac:dyDescent="0.25">
      <c r="A212" s="116" t="s">
        <v>226</v>
      </c>
      <c r="C212" s="116" t="s">
        <v>203</v>
      </c>
      <c r="D212" s="116" t="s">
        <v>273</v>
      </c>
      <c r="E212" s="116" t="s">
        <v>316</v>
      </c>
      <c r="F212" s="123">
        <f>VLOOKUP(C212,'WSS-33'!$C$1:$AR$730,11,)</f>
        <v>0</v>
      </c>
      <c r="G212" s="123">
        <f>(VLOOKUP($E212,$D$6:$AI$674,G$2,)/VLOOKUP($E212,$D$6:$AI$674,3,))*$F212</f>
        <v>0</v>
      </c>
      <c r="H212" s="123">
        <f>(VLOOKUP($E212,$D$6:$AI$674,H$2,)/VLOOKUP($E212,$D$6:$AI$674,3,))*$F212</f>
        <v>0</v>
      </c>
      <c r="I212" s="123">
        <f>(VLOOKUP($E212,$D$6:$AI$674,I$2,)/VLOOKUP($E212,$D$6:$AI$674,3,))*$F212</f>
        <v>0</v>
      </c>
      <c r="J212" s="123">
        <f>(VLOOKUP($E212,$D$6:$AI$674,J$2,)/VLOOKUP($E212,$D$6:$AI$674,3,))*$F212</f>
        <v>0</v>
      </c>
      <c r="K212" s="123">
        <f>(VLOOKUP($E212,$D$6:$AI$674,8,)/VLOOKUP($E212,$D$6:$AI$674,3,))*$F212</f>
        <v>0</v>
      </c>
      <c r="L212" s="123">
        <f>(VLOOKUP($E212,$D$6:$AI$674,L$2,)/VLOOKUP($E212,$D$6:$AI$674,3,))*$F212</f>
        <v>0</v>
      </c>
      <c r="M212" s="123">
        <f>(VLOOKUP($E212,$D$6:$AI$674,M$2,)/VLOOKUP($E212,$D$6:$AI$674,3,))*$F212</f>
        <v>0</v>
      </c>
      <c r="N212" s="123">
        <f>(VLOOKUP($E212,$D$6:$AI$674,11,)/VLOOKUP($E212,$D$6:$AI$674,3,))*$F212</f>
        <v>0</v>
      </c>
      <c r="O212" s="123">
        <f>(VLOOKUP($E212,$D$6:$AI$674,O$2,)/VLOOKUP($E212,$D$6:$AI$674,3,))*$F212</f>
        <v>0</v>
      </c>
      <c r="P212" s="123">
        <f>(VLOOKUP($E212,$D$6:$AI$674,P$2,)/VLOOKUP($E212,$D$6:$AI$674,3,))*$F212</f>
        <v>0</v>
      </c>
      <c r="Q212" s="123">
        <f>(VLOOKUP($E212,$D$6:$AI$674,Q$2,)/VLOOKUP($E212,$D$6:$AI$674,3,))*$F212</f>
        <v>0</v>
      </c>
      <c r="R212" s="123">
        <f>(VLOOKUP($E212,$D$6:$AI$674,15,)/VLOOKUP($E212,$D$6:$AI$674,3,))*$F212</f>
        <v>0</v>
      </c>
      <c r="S212" s="123">
        <f>(VLOOKUP($E212,$D$6:$AI$674,16,)/VLOOKUP($E212,$D$6:$AI$674,3,))*$F212</f>
        <v>0</v>
      </c>
      <c r="T212" s="123">
        <f>(VLOOKUP($E212,$D$6:$AI$674,17,)/VLOOKUP($E212,$D$6:$AI$674,3,))*$F212</f>
        <v>0</v>
      </c>
      <c r="U212" s="124">
        <f>SUM(G212:M212)</f>
        <v>0</v>
      </c>
      <c r="V212" s="109" t="str">
        <f>IF(ABS(F212-U212)&lt;0.01,"ok","err")</f>
        <v>ok</v>
      </c>
    </row>
    <row r="213" spans="1:23" x14ac:dyDescent="0.25">
      <c r="A213" s="122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124"/>
      <c r="V213" s="109"/>
    </row>
    <row r="214" spans="1:23" x14ac:dyDescent="0.25">
      <c r="A214" s="110" t="s">
        <v>7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124"/>
      <c r="V214" s="109"/>
    </row>
    <row r="215" spans="1:23" x14ac:dyDescent="0.25">
      <c r="A215" s="122" t="s">
        <v>207</v>
      </c>
      <c r="C215" s="116" t="s">
        <v>203</v>
      </c>
      <c r="D215" s="116" t="s">
        <v>274</v>
      </c>
      <c r="E215" s="116" t="s">
        <v>317</v>
      </c>
      <c r="F215" s="123">
        <f>VLOOKUP(C215,'WSS-33'!$C$1:$AR$730,12,)</f>
        <v>1396420.9204601753</v>
      </c>
      <c r="G215" s="123">
        <f>(VLOOKUP($E215,$D$6:$AI$674,G$2,)/VLOOKUP($E215,$D$6:$AI$674,3,))*$F215</f>
        <v>742914.31148962525</v>
      </c>
      <c r="H215" s="123">
        <f>(VLOOKUP($E215,$D$6:$AI$674,H$2,)/VLOOKUP($E215,$D$6:$AI$674,3,))*$F215</f>
        <v>360369.66021310829</v>
      </c>
      <c r="I215" s="123">
        <f>(VLOOKUP($E215,$D$6:$AI$674,I$2,)/VLOOKUP($E215,$D$6:$AI$674,3,))*$F215</f>
        <v>44982.583795584374</v>
      </c>
      <c r="J215" s="123">
        <f>(VLOOKUP($E215,$D$6:$AI$674,J$2,)/VLOOKUP($E215,$D$6:$AI$674,3,))*$F215</f>
        <v>2886.6995689714422</v>
      </c>
      <c r="K215" s="123">
        <f>(VLOOKUP($E215,$D$6:$AI$674,8,)/VLOOKUP($E215,$D$6:$AI$674,3,))*$F215</f>
        <v>245267.66539288595</v>
      </c>
      <c r="L215" s="123">
        <f>(VLOOKUP($E215,$D$6:$AI$674,L$2,)/VLOOKUP($E215,$D$6:$AI$674,3,))*$F215</f>
        <v>0</v>
      </c>
      <c r="M215" s="123">
        <f>(VLOOKUP($E215,$D$6:$AI$674,M$2,)/VLOOKUP($E215,$D$6:$AI$674,3,))*$F215</f>
        <v>0</v>
      </c>
      <c r="N215" s="123">
        <f>(VLOOKUP($E215,$D$6:$AI$674,11,)/VLOOKUP($E215,$D$6:$AI$674,3,))*$F215</f>
        <v>0</v>
      </c>
      <c r="O215" s="123">
        <f>(VLOOKUP($E215,$D$6:$AI$674,O$2,)/VLOOKUP($E215,$D$6:$AI$674,3,))*$F215</f>
        <v>0</v>
      </c>
      <c r="P215" s="123">
        <f>(VLOOKUP($E215,$D$6:$AI$674,P$2,)/VLOOKUP($E215,$D$6:$AI$674,3,))*$F215</f>
        <v>0</v>
      </c>
      <c r="Q215" s="123">
        <f>(VLOOKUP($E215,$D$6:$AI$674,Q$2,)/VLOOKUP($E215,$D$6:$AI$674,3,))*$F215</f>
        <v>0</v>
      </c>
      <c r="R215" s="123">
        <f>(VLOOKUP($E215,$D$6:$AI$674,15,)/VLOOKUP($E215,$D$6:$AI$674,3,))*$F215</f>
        <v>0</v>
      </c>
      <c r="S215" s="123">
        <f>(VLOOKUP($E215,$D$6:$AI$674,16,)/VLOOKUP($E215,$D$6:$AI$674,3,))*$F215</f>
        <v>0</v>
      </c>
      <c r="T215" s="123">
        <f>(VLOOKUP($E215,$D$6:$AI$674,17,)/VLOOKUP($E215,$D$6:$AI$674,3,))*$F215</f>
        <v>0</v>
      </c>
      <c r="U215" s="124">
        <f>SUM(G215:M215)</f>
        <v>1396420.9204601753</v>
      </c>
      <c r="V215" s="109" t="str">
        <f>IF(ABS(F215-U215)&lt;0.01,"ok","err")</f>
        <v>ok</v>
      </c>
    </row>
    <row r="216" spans="1:23" x14ac:dyDescent="0.25">
      <c r="F216" s="7"/>
      <c r="U216" s="124"/>
    </row>
    <row r="217" spans="1:23" x14ac:dyDescent="0.25">
      <c r="A217" s="110" t="s">
        <v>8</v>
      </c>
      <c r="F217" s="7"/>
      <c r="U217" s="124"/>
    </row>
    <row r="218" spans="1:23" x14ac:dyDescent="0.25">
      <c r="A218" s="122" t="s">
        <v>676</v>
      </c>
      <c r="C218" s="116" t="s">
        <v>203</v>
      </c>
      <c r="D218" s="116" t="s">
        <v>275</v>
      </c>
      <c r="E218" s="116" t="s">
        <v>680</v>
      </c>
      <c r="F218" s="123">
        <f>VLOOKUP(C218,'WSS-33'!$C$1:$AR$730,13,)</f>
        <v>3113567.5538187046</v>
      </c>
      <c r="G218" s="123">
        <f t="shared" ref="G218:J221" si="66">(VLOOKUP($E218,$D$6:$AI$674,G$2,)/VLOOKUP($E218,$D$6:$AI$674,3,))*$F218</f>
        <v>2018658.2134503315</v>
      </c>
      <c r="H218" s="123">
        <f t="shared" si="66"/>
        <v>979201.99303854059</v>
      </c>
      <c r="I218" s="123">
        <f t="shared" si="66"/>
        <v>115707.34732983226</v>
      </c>
      <c r="J218" s="123">
        <f t="shared" si="66"/>
        <v>0</v>
      </c>
      <c r="K218" s="123">
        <f>(VLOOKUP($E218,$D$6:$AI$674,8,)/VLOOKUP($E218,$D$6:$AI$674,3,))*$F218</f>
        <v>0</v>
      </c>
      <c r="L218" s="123">
        <f t="shared" ref="L218:M221" si="67">(VLOOKUP($E218,$D$6:$AI$674,L$2,)/VLOOKUP($E218,$D$6:$AI$674,3,))*$F218</f>
        <v>0</v>
      </c>
      <c r="M218" s="123">
        <f t="shared" si="67"/>
        <v>0</v>
      </c>
      <c r="N218" s="123">
        <f>(VLOOKUP($E218,$D$6:$AI$674,11,)/VLOOKUP($E218,$D$6:$AI$674,3,))*$F218</f>
        <v>0</v>
      </c>
      <c r="O218" s="123">
        <f t="shared" ref="O218:Q221" si="68">(VLOOKUP($E218,$D$6:$AI$674,O$2,)/VLOOKUP($E218,$D$6:$AI$674,3,))*$F218</f>
        <v>0</v>
      </c>
      <c r="P218" s="123">
        <f t="shared" si="68"/>
        <v>0</v>
      </c>
      <c r="Q218" s="123">
        <f t="shared" si="68"/>
        <v>0</v>
      </c>
      <c r="R218" s="123">
        <f>(VLOOKUP($E218,$D$6:$AI$674,15,)/VLOOKUP($E218,$D$6:$AI$674,3,))*$F218</f>
        <v>0</v>
      </c>
      <c r="S218" s="123">
        <f>(VLOOKUP($E218,$D$6:$AI$674,16,)/VLOOKUP($E218,$D$6:$AI$674,3,))*$F218</f>
        <v>0</v>
      </c>
      <c r="T218" s="123">
        <f>(VLOOKUP($E218,$D$6:$AI$674,17,)/VLOOKUP($E218,$D$6:$AI$674,3,))*$F218</f>
        <v>0</v>
      </c>
      <c r="U218" s="124">
        <f>SUM(G218:M218)</f>
        <v>3113567.5538187041</v>
      </c>
      <c r="V218" s="109" t="str">
        <f>IF(ABS(F218-U218)&lt;0.01,"ok","err")</f>
        <v>ok</v>
      </c>
    </row>
    <row r="219" spans="1:23" x14ac:dyDescent="0.25">
      <c r="A219" s="122" t="s">
        <v>675</v>
      </c>
      <c r="C219" s="116" t="s">
        <v>203</v>
      </c>
      <c r="D219" s="116" t="s">
        <v>276</v>
      </c>
      <c r="E219" s="116" t="s">
        <v>873</v>
      </c>
      <c r="F219" s="7">
        <f>VLOOKUP(C219,'WSS-33'!$C$1:$AR$730,14,)</f>
        <v>6134536.4012224916</v>
      </c>
      <c r="G219" s="7">
        <f t="shared" si="66"/>
        <v>5655497.4163662996</v>
      </c>
      <c r="H219" s="7">
        <f t="shared" si="66"/>
        <v>474395.11493603437</v>
      </c>
      <c r="I219" s="7">
        <f t="shared" si="66"/>
        <v>4643.8699201577583</v>
      </c>
      <c r="J219" s="7">
        <f t="shared" si="66"/>
        <v>0</v>
      </c>
      <c r="K219" s="7">
        <f>(VLOOKUP($E219,$D$6:$AI$674,8,)/VLOOKUP($E219,$D$6:$AI$674,3,))*$F219</f>
        <v>0</v>
      </c>
      <c r="L219" s="7">
        <f t="shared" si="67"/>
        <v>0</v>
      </c>
      <c r="M219" s="7">
        <f t="shared" si="67"/>
        <v>0</v>
      </c>
      <c r="N219" s="7">
        <f>(VLOOKUP($E219,$D$6:$AI$674,11,)/VLOOKUP($E219,$D$6:$AI$674,3,))*$F219</f>
        <v>0</v>
      </c>
      <c r="O219" s="7">
        <f t="shared" si="68"/>
        <v>0</v>
      </c>
      <c r="P219" s="7">
        <f t="shared" si="68"/>
        <v>0</v>
      </c>
      <c r="Q219" s="7">
        <f t="shared" si="68"/>
        <v>0</v>
      </c>
      <c r="R219" s="7">
        <f>(VLOOKUP($E219,$D$6:$AI$674,15,)/VLOOKUP($E219,$D$6:$AI$674,3,))*$F219</f>
        <v>0</v>
      </c>
      <c r="S219" s="7">
        <f>(VLOOKUP($E219,$D$6:$AI$674,16,)/VLOOKUP($E219,$D$6:$AI$674,3,))*$F219</f>
        <v>0</v>
      </c>
      <c r="T219" s="7">
        <f>(VLOOKUP($E219,$D$6:$AI$674,17,)/VLOOKUP($E219,$D$6:$AI$674,3,))*$F219</f>
        <v>0</v>
      </c>
      <c r="U219" s="124">
        <f>SUM(G219:M219)</f>
        <v>6134536.4012224916</v>
      </c>
      <c r="V219" s="109" t="str">
        <f>IF(ABS(F219-U219)&lt;0.01,"ok","err")</f>
        <v>ok</v>
      </c>
      <c r="W219" s="125"/>
    </row>
    <row r="220" spans="1:23" x14ac:dyDescent="0.25">
      <c r="A220" s="122" t="s">
        <v>677</v>
      </c>
      <c r="C220" s="116" t="s">
        <v>203</v>
      </c>
      <c r="D220" s="116" t="s">
        <v>275</v>
      </c>
      <c r="E220" s="116" t="s">
        <v>318</v>
      </c>
      <c r="F220" s="7">
        <f>VLOOKUP(C220,'WSS-33'!$C$1:$AR$730,15,)</f>
        <v>532161.18460108712</v>
      </c>
      <c r="G220" s="7">
        <f t="shared" si="66"/>
        <v>283116.75531840121</v>
      </c>
      <c r="H220" s="7">
        <f t="shared" si="66"/>
        <v>137333.05084694785</v>
      </c>
      <c r="I220" s="7">
        <f t="shared" si="66"/>
        <v>17142.385027565575</v>
      </c>
      <c r="J220" s="7">
        <f t="shared" si="66"/>
        <v>1100.0905527146183</v>
      </c>
      <c r="K220" s="7">
        <f>(VLOOKUP($E220,$D$6:$AI$674,8,)/VLOOKUP($E220,$D$6:$AI$674,3,))*$F220</f>
        <v>93468.902855457913</v>
      </c>
      <c r="L220" s="7">
        <f t="shared" si="67"/>
        <v>0</v>
      </c>
      <c r="M220" s="7">
        <f t="shared" si="67"/>
        <v>0</v>
      </c>
      <c r="N220" s="7">
        <f>(VLOOKUP($E220,$D$6:$AI$674,11,)/VLOOKUP($E220,$D$6:$AI$674,3,))*$F220</f>
        <v>0</v>
      </c>
      <c r="O220" s="7">
        <f t="shared" si="68"/>
        <v>0</v>
      </c>
      <c r="P220" s="7">
        <f t="shared" si="68"/>
        <v>0</v>
      </c>
      <c r="Q220" s="7">
        <f t="shared" si="68"/>
        <v>0</v>
      </c>
      <c r="R220" s="7"/>
      <c r="S220" s="7"/>
      <c r="T220" s="7"/>
      <c r="U220" s="124"/>
      <c r="V220" s="109"/>
    </row>
    <row r="221" spans="1:23" x14ac:dyDescent="0.25">
      <c r="A221" s="122" t="s">
        <v>674</v>
      </c>
      <c r="C221" s="116" t="s">
        <v>203</v>
      </c>
      <c r="D221" s="116" t="s">
        <v>276</v>
      </c>
      <c r="E221" s="116" t="s">
        <v>872</v>
      </c>
      <c r="F221" s="7">
        <f>VLOOKUP(C221,'WSS-33'!$C$1:$AR$730,16,)</f>
        <v>451636.12167452381</v>
      </c>
      <c r="G221" s="7">
        <f t="shared" si="66"/>
        <v>416254.13554495806</v>
      </c>
      <c r="H221" s="7">
        <f t="shared" si="66"/>
        <v>34916.279495239396</v>
      </c>
      <c r="I221" s="7">
        <f t="shared" si="66"/>
        <v>351.54237718209851</v>
      </c>
      <c r="J221" s="7">
        <f t="shared" si="66"/>
        <v>6.9612351917247235</v>
      </c>
      <c r="K221" s="7">
        <f>(VLOOKUP($E221,$D$6:$AI$674,8,)/VLOOKUP($E221,$D$6:$AI$674,3,))*$F221</f>
        <v>107.20302195256073</v>
      </c>
      <c r="L221" s="7">
        <f t="shared" si="67"/>
        <v>0</v>
      </c>
      <c r="M221" s="7">
        <f t="shared" si="67"/>
        <v>0</v>
      </c>
      <c r="N221" s="7">
        <f>(VLOOKUP($E221,$D$6:$AI$674,11,)/VLOOKUP($E221,$D$6:$AI$674,3,))*$F221</f>
        <v>0</v>
      </c>
      <c r="O221" s="7">
        <f t="shared" si="68"/>
        <v>0</v>
      </c>
      <c r="P221" s="7">
        <f t="shared" si="68"/>
        <v>0</v>
      </c>
      <c r="Q221" s="7">
        <f t="shared" si="68"/>
        <v>0</v>
      </c>
      <c r="R221" s="7"/>
      <c r="S221" s="7"/>
      <c r="T221" s="7"/>
      <c r="U221" s="124"/>
      <c r="V221" s="109"/>
    </row>
    <row r="222" spans="1:23" x14ac:dyDescent="0.25">
      <c r="A222" s="116" t="s">
        <v>229</v>
      </c>
      <c r="F222" s="123">
        <f>SUM(F218:F221)</f>
        <v>10231901.261316808</v>
      </c>
      <c r="G222" s="123">
        <f t="shared" ref="G222:Q222" si="69">SUM(G218:G221)</f>
        <v>8373526.5206799898</v>
      </c>
      <c r="H222" s="123">
        <f t="shared" si="69"/>
        <v>1625846.4383167622</v>
      </c>
      <c r="I222" s="123">
        <f t="shared" si="69"/>
        <v>137845.1446547377</v>
      </c>
      <c r="J222" s="123">
        <f t="shared" si="69"/>
        <v>1107.051787906343</v>
      </c>
      <c r="K222" s="123">
        <f t="shared" si="69"/>
        <v>93576.105877410475</v>
      </c>
      <c r="L222" s="123">
        <f t="shared" si="69"/>
        <v>0</v>
      </c>
      <c r="M222" s="123">
        <f t="shared" si="69"/>
        <v>0</v>
      </c>
      <c r="N222" s="123">
        <f t="shared" si="69"/>
        <v>0</v>
      </c>
      <c r="O222" s="123">
        <f t="shared" si="69"/>
        <v>0</v>
      </c>
      <c r="P222" s="123">
        <f t="shared" si="69"/>
        <v>0</v>
      </c>
      <c r="Q222" s="123">
        <f t="shared" si="69"/>
        <v>0</v>
      </c>
      <c r="R222" s="123">
        <f>R218+R219</f>
        <v>0</v>
      </c>
      <c r="S222" s="123">
        <f>S218+S219</f>
        <v>0</v>
      </c>
      <c r="T222" s="123">
        <f>T218+T219</f>
        <v>0</v>
      </c>
      <c r="U222" s="124">
        <f>SUM(G222:M222)</f>
        <v>10231901.261316808</v>
      </c>
      <c r="V222" s="109" t="str">
        <f>IF(ABS(F222-U222)&lt;0.01,"ok","err")</f>
        <v>ok</v>
      </c>
      <c r="W222" s="125"/>
    </row>
    <row r="223" spans="1:23" x14ac:dyDescent="0.25">
      <c r="F223" s="7"/>
      <c r="U223" s="124"/>
    </row>
    <row r="224" spans="1:23" x14ac:dyDescent="0.25">
      <c r="A224" s="110" t="s">
        <v>10</v>
      </c>
      <c r="F224" s="7"/>
      <c r="U224" s="124"/>
    </row>
    <row r="225" spans="1:24" x14ac:dyDescent="0.25">
      <c r="A225" s="122" t="s">
        <v>208</v>
      </c>
      <c r="C225" s="116" t="s">
        <v>203</v>
      </c>
      <c r="D225" s="116" t="s">
        <v>270</v>
      </c>
      <c r="E225" s="116" t="s">
        <v>319</v>
      </c>
      <c r="F225" s="123">
        <f>VLOOKUP(C225,'WSS-33'!$C$1:$AR$730,17,)</f>
        <v>15479205.595092429</v>
      </c>
      <c r="G225" s="123">
        <f>(VLOOKUP($E225,$D$6:$AI$674,G$2,)/VLOOKUP($E225,$D$6:$AI$674,3,))*$F225</f>
        <v>11453469.114434889</v>
      </c>
      <c r="H225" s="123">
        <f>(VLOOKUP($E225,$D$6:$AI$674,H$2,)/VLOOKUP($E225,$D$6:$AI$674,3,))*$F225</f>
        <v>3920153.4432669538</v>
      </c>
      <c r="I225" s="123">
        <f>(VLOOKUP($E225,$D$6:$AI$674,I$2,)/VLOOKUP($E225,$D$6:$AI$674,3,))*$F225</f>
        <v>79697.223715708111</v>
      </c>
      <c r="J225" s="123">
        <f>(VLOOKUP($E225,$D$6:$AI$674,J$2,)/VLOOKUP($E225,$D$6:$AI$674,3,))*$F225</f>
        <v>1578.4032728583263</v>
      </c>
      <c r="K225" s="123">
        <f>(VLOOKUP($E225,$D$6:$AI$674,8,)/VLOOKUP($E225,$D$6:$AI$674,3,))*$F225</f>
        <v>24307.410402018231</v>
      </c>
      <c r="L225" s="123">
        <f>(VLOOKUP($E225,$D$6:$AI$674,L$2,)/VLOOKUP($E225,$D$6:$AI$674,3,))*$F225</f>
        <v>0</v>
      </c>
      <c r="M225" s="123">
        <f>(VLOOKUP($E225,$D$6:$AI$674,M$2,)/VLOOKUP($E225,$D$6:$AI$674,3,))*$F225</f>
        <v>0</v>
      </c>
      <c r="N225" s="123">
        <f>(VLOOKUP($E225,$D$6:$AI$674,11,)/VLOOKUP($E225,$D$6:$AI$674,3,))*$F225</f>
        <v>0</v>
      </c>
      <c r="O225" s="123">
        <f>(VLOOKUP($E225,$D$6:$AI$674,O$2,)/VLOOKUP($E225,$D$6:$AI$674,3,))*$F225</f>
        <v>0</v>
      </c>
      <c r="P225" s="123">
        <f>(VLOOKUP($E225,$D$6:$AI$674,P$2,)/VLOOKUP($E225,$D$6:$AI$674,3,))*$F225</f>
        <v>0</v>
      </c>
      <c r="Q225" s="123">
        <f>(VLOOKUP($E225,$D$6:$AI$674,Q$2,)/VLOOKUP($E225,$D$6:$AI$674,3,))*$F225</f>
        <v>0</v>
      </c>
      <c r="R225" s="123">
        <f>(VLOOKUP($E225,$D$6:$AI$674,15,)/VLOOKUP($E225,$D$6:$AI$674,3,))*$F225</f>
        <v>0</v>
      </c>
      <c r="S225" s="123">
        <f>(VLOOKUP($E225,$D$6:$AI$674,16,)/VLOOKUP($E225,$D$6:$AI$674,3,))*$F225</f>
        <v>0</v>
      </c>
      <c r="T225" s="123">
        <f>(VLOOKUP($E225,$D$6:$AI$674,17,)/VLOOKUP($E225,$D$6:$AI$674,3,))*$F225</f>
        <v>0</v>
      </c>
      <c r="U225" s="124">
        <f>SUM(G225:M225)</f>
        <v>15479205.595092427</v>
      </c>
      <c r="V225" s="109" t="str">
        <f>IF(ABS(F225-U225)&lt;0.01,"ok","err")</f>
        <v>ok</v>
      </c>
      <c r="W225" s="125"/>
    </row>
    <row r="226" spans="1:24" x14ac:dyDescent="0.25">
      <c r="F226" s="7"/>
      <c r="U226" s="124"/>
    </row>
    <row r="227" spans="1:24" x14ac:dyDescent="0.25">
      <c r="A227" s="110" t="s">
        <v>11</v>
      </c>
      <c r="F227" s="7"/>
      <c r="U227" s="124"/>
    </row>
    <row r="228" spans="1:24" x14ac:dyDescent="0.25">
      <c r="A228" s="122" t="s">
        <v>208</v>
      </c>
      <c r="C228" s="116" t="s">
        <v>203</v>
      </c>
      <c r="D228" s="116" t="s">
        <v>277</v>
      </c>
      <c r="E228" s="116" t="s">
        <v>320</v>
      </c>
      <c r="F228" s="123">
        <f>VLOOKUP(C228,'WSS-33'!$C$1:$AR$730,18,)</f>
        <v>4235295.0104961768</v>
      </c>
      <c r="G228" s="123">
        <f>(VLOOKUP($E228,$D$6:$AI$674,G$2,)/VLOOKUP($E228,$D$6:$AI$674,3,))*$F228</f>
        <v>2795305.8053863207</v>
      </c>
      <c r="H228" s="123">
        <f>(VLOOKUP($E228,$D$6:$AI$674,H$2,)/VLOOKUP($E228,$D$6:$AI$674,3,))*$F228</f>
        <v>1225935.5401567665</v>
      </c>
      <c r="I228" s="123">
        <f>(VLOOKUP($E228,$D$6:$AI$674,I$2,)/VLOOKUP($E228,$D$6:$AI$674,3,))*$F228</f>
        <v>92511.790192106739</v>
      </c>
      <c r="J228" s="123">
        <f>(VLOOKUP($E228,$D$6:$AI$674,J$2,)/VLOOKUP($E228,$D$6:$AI$674,3,))*$F228</f>
        <v>505.09481164260421</v>
      </c>
      <c r="K228" s="123">
        <f>(VLOOKUP($E228,$D$6:$AI$674,8,)/VLOOKUP($E228,$D$6:$AI$674,3,))*$F228</f>
        <v>121036.77994933914</v>
      </c>
      <c r="L228" s="123">
        <f>(VLOOKUP($E228,$D$6:$AI$674,L$2,)/VLOOKUP($E228,$D$6:$AI$674,3,))*$F228</f>
        <v>0</v>
      </c>
      <c r="M228" s="123">
        <f>(VLOOKUP($E228,$D$6:$AI$674,M$2,)/VLOOKUP($E228,$D$6:$AI$674,3,))*$F228</f>
        <v>0</v>
      </c>
      <c r="N228" s="123">
        <f>(VLOOKUP($E228,$D$6:$AI$674,11,)/VLOOKUP($E228,$D$6:$AI$674,3,))*$F228</f>
        <v>0</v>
      </c>
      <c r="O228" s="123">
        <f>(VLOOKUP($E228,$D$6:$AI$674,O$2,)/VLOOKUP($E228,$D$6:$AI$674,3,))*$F228</f>
        <v>0</v>
      </c>
      <c r="P228" s="123">
        <f>(VLOOKUP($E228,$D$6:$AI$674,P$2,)/VLOOKUP($E228,$D$6:$AI$674,3,))*$F228</f>
        <v>0</v>
      </c>
      <c r="Q228" s="123">
        <f>(VLOOKUP($E228,$D$6:$AI$674,Q$2,)/VLOOKUP($E228,$D$6:$AI$674,3,))*$F228</f>
        <v>0</v>
      </c>
      <c r="R228" s="123">
        <f>(VLOOKUP($E228,$D$6:$AI$674,15,)/VLOOKUP($E228,$D$6:$AI$674,3,))*$F228</f>
        <v>0</v>
      </c>
      <c r="S228" s="123">
        <f>(VLOOKUP($E228,$D$6:$AI$674,16,)/VLOOKUP($E228,$D$6:$AI$674,3,))*$F228</f>
        <v>0</v>
      </c>
      <c r="T228" s="123">
        <f>(VLOOKUP($E228,$D$6:$AI$674,17,)/VLOOKUP($E228,$D$6:$AI$674,3,))*$F228</f>
        <v>0</v>
      </c>
      <c r="U228" s="124">
        <f>SUM(G228:M228)</f>
        <v>4235295.0104961758</v>
      </c>
      <c r="V228" s="109" t="str">
        <f>IF(ABS(F228-U228)&lt;0.01,"ok","err")</f>
        <v>ok</v>
      </c>
    </row>
    <row r="229" spans="1:24" x14ac:dyDescent="0.25">
      <c r="F229" s="7"/>
      <c r="U229" s="124"/>
    </row>
    <row r="230" spans="1:24" x14ac:dyDescent="0.25">
      <c r="A230" s="110" t="s">
        <v>12</v>
      </c>
      <c r="F230" s="7"/>
      <c r="U230" s="124"/>
    </row>
    <row r="231" spans="1:24" x14ac:dyDescent="0.25">
      <c r="A231" s="122" t="s">
        <v>208</v>
      </c>
      <c r="C231" s="116" t="s">
        <v>203</v>
      </c>
      <c r="D231" s="116" t="s">
        <v>278</v>
      </c>
      <c r="E231" s="116" t="s">
        <v>874</v>
      </c>
      <c r="F231" s="123">
        <f>VLOOKUP(C231,'WSS-33'!$C$1:$AR$730,19,)</f>
        <v>0</v>
      </c>
      <c r="G231" s="123">
        <f>(VLOOKUP($E231,$D$6:$AI$674,G$2,)/VLOOKUP($E231,$D$6:$AI$674,3,))*$F231</f>
        <v>0</v>
      </c>
      <c r="H231" s="123">
        <f>(VLOOKUP($E231,$D$6:$AI$674,H$2,)/VLOOKUP($E231,$D$6:$AI$674,3,))*$F231</f>
        <v>0</v>
      </c>
      <c r="I231" s="123">
        <f>(VLOOKUP($E231,$D$6:$AI$674,I$2,)/VLOOKUP($E231,$D$6:$AI$674,3,))*$F231</f>
        <v>0</v>
      </c>
      <c r="J231" s="123">
        <f>(VLOOKUP($E231,$D$6:$AI$674,J$2,)/VLOOKUP($E231,$D$6:$AI$674,3,))*$F231</f>
        <v>0</v>
      </c>
      <c r="K231" s="123">
        <f>(VLOOKUP($E231,$D$6:$AI$674,8,)/VLOOKUP($E231,$D$6:$AI$674,3,))*$F231</f>
        <v>0</v>
      </c>
      <c r="L231" s="123">
        <f>(VLOOKUP($E231,$D$6:$AI$674,L$2,)/VLOOKUP($E231,$D$6:$AI$674,3,))*$F231</f>
        <v>0</v>
      </c>
      <c r="M231" s="123">
        <f>(VLOOKUP($E231,$D$6:$AI$674,M$2,)/VLOOKUP($E231,$D$6:$AI$674,3,))*$F231</f>
        <v>0</v>
      </c>
      <c r="N231" s="123">
        <f>(VLOOKUP($E231,$D$6:$AI$674,11,)/VLOOKUP($E231,$D$6:$AI$674,3,))*$F231</f>
        <v>0</v>
      </c>
      <c r="O231" s="123">
        <f>(VLOOKUP($E231,$D$6:$AI$674,O$2,)/VLOOKUP($E231,$D$6:$AI$674,3,))*$F231</f>
        <v>0</v>
      </c>
      <c r="P231" s="123">
        <f>(VLOOKUP($E231,$D$6:$AI$674,P$2,)/VLOOKUP($E231,$D$6:$AI$674,3,))*$F231</f>
        <v>0</v>
      </c>
      <c r="Q231" s="123">
        <f>(VLOOKUP($E231,$D$6:$AI$674,Q$2,)/VLOOKUP($E231,$D$6:$AI$674,3,))*$F231</f>
        <v>0</v>
      </c>
      <c r="R231" s="123">
        <f>(VLOOKUP($E231,$D$6:$AI$674,15,)/VLOOKUP($E231,$D$6:$AI$674,3,))*$F231</f>
        <v>0</v>
      </c>
      <c r="S231" s="123">
        <f>(VLOOKUP($E231,$D$6:$AI$674,16,)/VLOOKUP($E231,$D$6:$AI$674,3,))*$F231</f>
        <v>0</v>
      </c>
      <c r="T231" s="123">
        <f>(VLOOKUP($E231,$D$6:$AI$674,17,)/VLOOKUP($E231,$D$6:$AI$674,3,))*$F231</f>
        <v>0</v>
      </c>
      <c r="U231" s="124">
        <f>SUM(G231:M231)</f>
        <v>0</v>
      </c>
      <c r="V231" s="109" t="str">
        <f>IF(ABS(F231-U231)&lt;0.01,"ok","err")</f>
        <v>ok</v>
      </c>
    </row>
    <row r="232" spans="1:24" x14ac:dyDescent="0.25">
      <c r="F232" s="7"/>
      <c r="U232" s="124"/>
    </row>
    <row r="233" spans="1:24" x14ac:dyDescent="0.25">
      <c r="A233" s="110" t="s">
        <v>13</v>
      </c>
      <c r="F233" s="7"/>
      <c r="U233" s="124"/>
    </row>
    <row r="234" spans="1:24" x14ac:dyDescent="0.25">
      <c r="A234" s="122" t="s">
        <v>208</v>
      </c>
      <c r="C234" s="116" t="s">
        <v>203</v>
      </c>
      <c r="D234" s="116" t="s">
        <v>279</v>
      </c>
      <c r="E234" s="116" t="s">
        <v>875</v>
      </c>
      <c r="F234" s="123">
        <f>VLOOKUP(C234,'WSS-33'!$C$1:$AR$730,20,)</f>
        <v>0</v>
      </c>
      <c r="G234" s="123">
        <f>(VLOOKUP($E234,$D$6:$AI$674,G$2,)/VLOOKUP($E234,$D$6:$AI$674,3,))*$F234</f>
        <v>0</v>
      </c>
      <c r="H234" s="123">
        <f>(VLOOKUP($E234,$D$6:$AI$674,H$2,)/VLOOKUP($E234,$D$6:$AI$674,3,))*$F234</f>
        <v>0</v>
      </c>
      <c r="I234" s="123">
        <f>(VLOOKUP($E234,$D$6:$AI$674,I$2,)/VLOOKUP($E234,$D$6:$AI$674,3,))*$F234</f>
        <v>0</v>
      </c>
      <c r="J234" s="123">
        <f>(VLOOKUP($E234,$D$6:$AI$674,J$2,)/VLOOKUP($E234,$D$6:$AI$674,3,))*$F234</f>
        <v>0</v>
      </c>
      <c r="K234" s="123">
        <f>(VLOOKUP($E234,$D$6:$AI$674,8,)/VLOOKUP($E234,$D$6:$AI$674,3,))*$F234</f>
        <v>0</v>
      </c>
      <c r="L234" s="123">
        <f>(VLOOKUP($E234,$D$6:$AI$674,L$2,)/VLOOKUP($E234,$D$6:$AI$674,3,))*$F234</f>
        <v>0</v>
      </c>
      <c r="M234" s="123">
        <f>(VLOOKUP($E234,$D$6:$AI$674,M$2,)/VLOOKUP($E234,$D$6:$AI$674,3,))*$F234</f>
        <v>0</v>
      </c>
      <c r="N234" s="123">
        <f>(VLOOKUP($E234,$D$6:$AI$674,11,)/VLOOKUP($E234,$D$6:$AI$674,3,))*$F234</f>
        <v>0</v>
      </c>
      <c r="O234" s="123">
        <f>(VLOOKUP($E234,$D$6:$AI$674,O$2,)/VLOOKUP($E234,$D$6:$AI$674,3,))*$F234</f>
        <v>0</v>
      </c>
      <c r="P234" s="123">
        <f>(VLOOKUP($E234,$D$6:$AI$674,P$2,)/VLOOKUP($E234,$D$6:$AI$674,3,))*$F234</f>
        <v>0</v>
      </c>
      <c r="Q234" s="123">
        <f>(VLOOKUP($E234,$D$6:$AI$674,Q$2,)/VLOOKUP($E234,$D$6:$AI$674,3,))*$F234</f>
        <v>0</v>
      </c>
      <c r="R234" s="123">
        <f>(VLOOKUP($E234,$D$6:$AI$674,15,)/VLOOKUP($E234,$D$6:$AI$674,3,))*$F234</f>
        <v>0</v>
      </c>
      <c r="S234" s="123">
        <f>(VLOOKUP($E234,$D$6:$AI$674,16,)/VLOOKUP($E234,$D$6:$AI$674,3,))*$F234</f>
        <v>0</v>
      </c>
      <c r="T234" s="123">
        <f>(VLOOKUP($E234,$D$6:$AI$674,17,)/VLOOKUP($E234,$D$6:$AI$674,3,))*$F234</f>
        <v>0</v>
      </c>
      <c r="U234" s="124">
        <f>SUM(G234:M234)</f>
        <v>0</v>
      </c>
      <c r="V234" s="109" t="str">
        <f>IF(ABS(F234-U234)&lt;0.01,"ok","err")</f>
        <v>ok</v>
      </c>
    </row>
    <row r="235" spans="1:24" x14ac:dyDescent="0.25">
      <c r="F235" s="7"/>
      <c r="U235" s="124"/>
    </row>
    <row r="236" spans="1:24" x14ac:dyDescent="0.25">
      <c r="A236" s="116" t="s">
        <v>14</v>
      </c>
      <c r="D236" s="116" t="s">
        <v>294</v>
      </c>
      <c r="F236" s="123">
        <f t="shared" ref="F236:T236" si="70">F199+F204+F209+F212+F215+F222+F225+F228+F231+F234</f>
        <v>38336866.259199992</v>
      </c>
      <c r="G236" s="123">
        <f t="shared" si="70"/>
        <v>27895039.178252831</v>
      </c>
      <c r="H236" s="123">
        <f t="shared" si="70"/>
        <v>9277018.7347188909</v>
      </c>
      <c r="I236" s="123">
        <f t="shared" si="70"/>
        <v>556115.27097994799</v>
      </c>
      <c r="J236" s="123">
        <f t="shared" si="70"/>
        <v>7002.9456645302062</v>
      </c>
      <c r="K236" s="123">
        <f t="shared" si="70"/>
        <v>601690.12958378671</v>
      </c>
      <c r="L236" s="123">
        <f t="shared" si="70"/>
        <v>0</v>
      </c>
      <c r="M236" s="123">
        <f t="shared" si="70"/>
        <v>0</v>
      </c>
      <c r="N236" s="123">
        <f t="shared" si="70"/>
        <v>0</v>
      </c>
      <c r="O236" s="123">
        <f t="shared" si="70"/>
        <v>0</v>
      </c>
      <c r="P236" s="123">
        <f t="shared" si="70"/>
        <v>0</v>
      </c>
      <c r="Q236" s="123">
        <f t="shared" si="70"/>
        <v>0</v>
      </c>
      <c r="R236" s="123">
        <f t="shared" si="70"/>
        <v>0</v>
      </c>
      <c r="S236" s="123">
        <f t="shared" si="70"/>
        <v>0</v>
      </c>
      <c r="T236" s="123">
        <f t="shared" si="70"/>
        <v>0</v>
      </c>
      <c r="U236" s="124">
        <f>SUM(G236:M236)</f>
        <v>38336866.259199984</v>
      </c>
      <c r="V236" s="109" t="str">
        <f>IF(ABS(F236-U236)&lt;0.01,"ok","err")</f>
        <v>ok</v>
      </c>
      <c r="W236" s="124"/>
      <c r="X236" s="109"/>
    </row>
    <row r="237" spans="1:24" x14ac:dyDescent="0.25">
      <c r="U237" s="124"/>
    </row>
    <row r="238" spans="1:24" x14ac:dyDescent="0.25">
      <c r="U238" s="124"/>
    </row>
    <row r="239" spans="1:24" x14ac:dyDescent="0.25">
      <c r="A239" s="121" t="s">
        <v>720</v>
      </c>
      <c r="U239" s="124"/>
    </row>
    <row r="240" spans="1:24" x14ac:dyDescent="0.25">
      <c r="U240" s="124"/>
    </row>
    <row r="241" spans="1:22" x14ac:dyDescent="0.25">
      <c r="A241" s="110" t="s">
        <v>452</v>
      </c>
      <c r="U241" s="124"/>
    </row>
    <row r="242" spans="1:22" x14ac:dyDescent="0.25">
      <c r="A242" s="122" t="s">
        <v>207</v>
      </c>
      <c r="C242" s="126" t="s">
        <v>723</v>
      </c>
      <c r="D242" s="116" t="s">
        <v>280</v>
      </c>
      <c r="E242" s="116" t="s">
        <v>310</v>
      </c>
      <c r="F242" s="123">
        <f>VLOOKUP(C242,'WSS-33'!$C$1:$AR$730,5,)</f>
        <v>0</v>
      </c>
      <c r="G242" s="123">
        <f t="shared" ref="G242:J243" si="71">(VLOOKUP($E242,$D$6:$AI$674,G$2,)/VLOOKUP($E242,$D$6:$AI$674,3,))*$F242</f>
        <v>0</v>
      </c>
      <c r="H242" s="123">
        <f t="shared" si="71"/>
        <v>0</v>
      </c>
      <c r="I242" s="123">
        <f t="shared" si="71"/>
        <v>0</v>
      </c>
      <c r="J242" s="123">
        <f t="shared" si="71"/>
        <v>0</v>
      </c>
      <c r="K242" s="123">
        <f>(VLOOKUP($E242,$D$6:$AI$674,8,)/VLOOKUP($E242,$D$6:$AI$674,3,))*$F242</f>
        <v>0</v>
      </c>
      <c r="L242" s="123">
        <f>(VLOOKUP($E242,$D$6:$AI$674,L$2,)/VLOOKUP($E242,$D$6:$AI$674,3,))*$F242</f>
        <v>0</v>
      </c>
      <c r="M242" s="123">
        <f>(VLOOKUP($E242,$D$6:$AI$674,M$2,)/VLOOKUP($E242,$D$6:$AI$674,3,))*$F242</f>
        <v>0</v>
      </c>
      <c r="N242" s="123">
        <f>(VLOOKUP($E242,$D$6:$AI$674,11,)/VLOOKUP($E242,$D$6:$AI$674,3,))*$F242</f>
        <v>0</v>
      </c>
      <c r="O242" s="123">
        <f t="shared" ref="O242:Q243" si="72">(VLOOKUP($E242,$D$6:$AI$674,O$2,)/VLOOKUP($E242,$D$6:$AI$674,3,))*$F242</f>
        <v>0</v>
      </c>
      <c r="P242" s="123">
        <f t="shared" si="72"/>
        <v>0</v>
      </c>
      <c r="Q242" s="123">
        <f t="shared" si="72"/>
        <v>0</v>
      </c>
      <c r="R242" s="123">
        <f>(VLOOKUP($E242,$D$6:$AI$674,15,)/VLOOKUP($E242,$D$6:$AI$674,3,))*$F242</f>
        <v>0</v>
      </c>
      <c r="S242" s="123">
        <f>(VLOOKUP($E242,$D$6:$AI$674,16,)/VLOOKUP($E242,$D$6:$AI$674,3,))*$F242</f>
        <v>0</v>
      </c>
      <c r="T242" s="123">
        <f>(VLOOKUP($E242,$D$6:$AI$674,17,)/VLOOKUP($E242,$D$6:$AI$674,3,))*$F242</f>
        <v>0</v>
      </c>
      <c r="U242" s="124">
        <f>SUM(G242:M242)</f>
        <v>0</v>
      </c>
      <c r="V242" s="109" t="str">
        <f>IF(ABS(F242-U242)&lt;0.01,"ok","err")</f>
        <v>ok</v>
      </c>
    </row>
    <row r="243" spans="1:22" x14ac:dyDescent="0.25">
      <c r="A243" s="122" t="s">
        <v>226</v>
      </c>
      <c r="C243" s="126" t="s">
        <v>723</v>
      </c>
      <c r="D243" s="116" t="s">
        <v>268</v>
      </c>
      <c r="E243" s="116" t="s">
        <v>311</v>
      </c>
      <c r="F243" s="7">
        <f>VLOOKUP(C243,'WSS-33'!$C$1:$AR$730,6,)</f>
        <v>0</v>
      </c>
      <c r="G243" s="7">
        <f t="shared" si="71"/>
        <v>0</v>
      </c>
      <c r="H243" s="7">
        <f t="shared" si="71"/>
        <v>0</v>
      </c>
      <c r="I243" s="7">
        <f t="shared" si="71"/>
        <v>0</v>
      </c>
      <c r="J243" s="7">
        <f t="shared" si="71"/>
        <v>0</v>
      </c>
      <c r="K243" s="7">
        <f>(VLOOKUP($E243,$D$6:$AI$674,8,)/VLOOKUP($E243,$D$6:$AI$674,3,))*$F243</f>
        <v>0</v>
      </c>
      <c r="L243" s="7">
        <f>(VLOOKUP($E243,$D$6:$AI$674,L$2,)/VLOOKUP($E243,$D$6:$AI$674,3,))*$F243</f>
        <v>0</v>
      </c>
      <c r="M243" s="7">
        <f>(VLOOKUP($E243,$D$6:$AI$674,M$2,)/VLOOKUP($E243,$D$6:$AI$674,3,))*$F243</f>
        <v>0</v>
      </c>
      <c r="N243" s="7">
        <f>(VLOOKUP($E243,$D$6:$AI$674,11,)/VLOOKUP($E243,$D$6:$AI$674,3,))*$F243</f>
        <v>0</v>
      </c>
      <c r="O243" s="7">
        <f t="shared" si="72"/>
        <v>0</v>
      </c>
      <c r="P243" s="7">
        <f t="shared" si="72"/>
        <v>0</v>
      </c>
      <c r="Q243" s="7">
        <f t="shared" si="72"/>
        <v>0</v>
      </c>
      <c r="R243" s="7">
        <f>(VLOOKUP($E243,$D$6:$AI$674,15,)/VLOOKUP($E243,$D$6:$AI$674,3,))*$F243</f>
        <v>0</v>
      </c>
      <c r="S243" s="7">
        <f>(VLOOKUP($E243,$D$6:$AI$674,16,)/VLOOKUP($E243,$D$6:$AI$674,3,))*$F243</f>
        <v>0</v>
      </c>
      <c r="T243" s="7">
        <f>(VLOOKUP($E243,$D$6:$AI$674,17,)/VLOOKUP($E243,$D$6:$AI$674,3,))*$F243</f>
        <v>0</v>
      </c>
      <c r="U243" s="124">
        <f>SUM(G243:M243)</f>
        <v>0</v>
      </c>
      <c r="V243" s="109" t="str">
        <f>IF(ABS(F243-U243)&lt;0.01,"ok","err")</f>
        <v>ok</v>
      </c>
    </row>
    <row r="244" spans="1:22" x14ac:dyDescent="0.25">
      <c r="A244" s="116" t="s">
        <v>654</v>
      </c>
      <c r="D244" s="116" t="s">
        <v>335</v>
      </c>
      <c r="F244" s="123">
        <f t="shared" ref="F244:T244" si="73">F242+F243</f>
        <v>0</v>
      </c>
      <c r="G244" s="123">
        <f t="shared" si="73"/>
        <v>0</v>
      </c>
      <c r="H244" s="123">
        <f t="shared" si="73"/>
        <v>0</v>
      </c>
      <c r="I244" s="123">
        <f t="shared" si="73"/>
        <v>0</v>
      </c>
      <c r="J244" s="123">
        <f t="shared" si="73"/>
        <v>0</v>
      </c>
      <c r="K244" s="123">
        <f t="shared" si="73"/>
        <v>0</v>
      </c>
      <c r="L244" s="123">
        <f t="shared" si="73"/>
        <v>0</v>
      </c>
      <c r="M244" s="123">
        <f t="shared" si="73"/>
        <v>0</v>
      </c>
      <c r="N244" s="123">
        <f t="shared" si="73"/>
        <v>0</v>
      </c>
      <c r="O244" s="123">
        <f t="shared" si="73"/>
        <v>0</v>
      </c>
      <c r="P244" s="123">
        <f t="shared" si="73"/>
        <v>0</v>
      </c>
      <c r="Q244" s="123">
        <f t="shared" si="73"/>
        <v>0</v>
      </c>
      <c r="R244" s="123">
        <f t="shared" si="73"/>
        <v>0</v>
      </c>
      <c r="S244" s="123">
        <f t="shared" si="73"/>
        <v>0</v>
      </c>
      <c r="T244" s="123">
        <f t="shared" si="73"/>
        <v>0</v>
      </c>
      <c r="U244" s="124">
        <f>SUM(G244:M244)</f>
        <v>0</v>
      </c>
      <c r="V244" s="109" t="str">
        <f>IF(ABS(F244-U244)&lt;0.01,"ok","err")</f>
        <v>ok</v>
      </c>
    </row>
    <row r="245" spans="1:22" x14ac:dyDescent="0.25">
      <c r="F245" s="7"/>
      <c r="G245" s="7"/>
      <c r="U245" s="124"/>
    </row>
    <row r="246" spans="1:22" x14ac:dyDescent="0.25">
      <c r="A246" s="110" t="s">
        <v>3</v>
      </c>
      <c r="F246" s="7"/>
      <c r="G246" s="7"/>
      <c r="U246" s="124"/>
    </row>
    <row r="247" spans="1:22" x14ac:dyDescent="0.25">
      <c r="A247" s="122" t="s">
        <v>207</v>
      </c>
      <c r="C247" s="126" t="s">
        <v>723</v>
      </c>
      <c r="D247" s="116" t="s">
        <v>269</v>
      </c>
      <c r="E247" s="116" t="s">
        <v>312</v>
      </c>
      <c r="F247" s="123">
        <f>VLOOKUP(C247,'WSS-33'!$C$1:$AR$730,7,)</f>
        <v>0</v>
      </c>
      <c r="G247" s="123">
        <f t="shared" ref="G247:J248" si="74">(VLOOKUP($E247,$D$6:$AI$674,G$2,)/VLOOKUP($E247,$D$6:$AI$674,3,))*$F247</f>
        <v>0</v>
      </c>
      <c r="H247" s="123">
        <f t="shared" si="74"/>
        <v>0</v>
      </c>
      <c r="I247" s="123">
        <f t="shared" si="74"/>
        <v>0</v>
      </c>
      <c r="J247" s="123">
        <f t="shared" si="74"/>
        <v>0</v>
      </c>
      <c r="K247" s="123">
        <f>(VLOOKUP($E247,$D$6:$AI$674,8,)/VLOOKUP($E247,$D$6:$AI$674,3,))*$F247</f>
        <v>0</v>
      </c>
      <c r="L247" s="123">
        <f>(VLOOKUP($E247,$D$6:$AI$674,L$2,)/VLOOKUP($E247,$D$6:$AI$674,3,))*$F247</f>
        <v>0</v>
      </c>
      <c r="M247" s="123">
        <f>(VLOOKUP($E247,$D$6:$AI$674,M$2,)/VLOOKUP($E247,$D$6:$AI$674,3,))*$F247</f>
        <v>0</v>
      </c>
      <c r="N247" s="123">
        <f>(VLOOKUP($E247,$D$6:$AI$674,11,)/VLOOKUP($E247,$D$6:$AI$674,3,))*$F247</f>
        <v>0</v>
      </c>
      <c r="O247" s="123">
        <f t="shared" ref="O247:Q248" si="75">(VLOOKUP($E247,$D$6:$AI$674,O$2,)/VLOOKUP($E247,$D$6:$AI$674,3,))*$F247</f>
        <v>0</v>
      </c>
      <c r="P247" s="123">
        <f t="shared" si="75"/>
        <v>0</v>
      </c>
      <c r="Q247" s="123">
        <f t="shared" si="75"/>
        <v>0</v>
      </c>
      <c r="R247" s="123">
        <f>(VLOOKUP($E247,$D$6:$AI$674,15,)/VLOOKUP($E247,$D$6:$AI$674,3,))*$F247</f>
        <v>0</v>
      </c>
      <c r="S247" s="123">
        <f>(VLOOKUP($E247,$D$6:$AI$674,16,)/VLOOKUP($E247,$D$6:$AI$674,3,))*$F247</f>
        <v>0</v>
      </c>
      <c r="T247" s="123">
        <f>(VLOOKUP($E247,$D$6:$AI$674,17,)/VLOOKUP($E247,$D$6:$AI$674,3,))*$F247</f>
        <v>0</v>
      </c>
      <c r="U247" s="124">
        <f>SUM(G247:M247)</f>
        <v>0</v>
      </c>
      <c r="V247" s="109" t="str">
        <f>IF(ABS(F247-U247)&lt;0.01,"ok","err")</f>
        <v>ok</v>
      </c>
    </row>
    <row r="248" spans="1:22" x14ac:dyDescent="0.25">
      <c r="A248" s="116" t="s">
        <v>226</v>
      </c>
      <c r="C248" s="126" t="s">
        <v>723</v>
      </c>
      <c r="D248" s="116" t="s">
        <v>270</v>
      </c>
      <c r="E248" s="116" t="s">
        <v>313</v>
      </c>
      <c r="F248" s="7">
        <f>VLOOKUP(C248,'WSS-33'!$C$1:$AR$730,8,)</f>
        <v>0</v>
      </c>
      <c r="G248" s="7">
        <f t="shared" si="74"/>
        <v>0</v>
      </c>
      <c r="H248" s="7">
        <f t="shared" si="74"/>
        <v>0</v>
      </c>
      <c r="I248" s="7">
        <f t="shared" si="74"/>
        <v>0</v>
      </c>
      <c r="J248" s="7">
        <f t="shared" si="74"/>
        <v>0</v>
      </c>
      <c r="K248" s="7">
        <f>(VLOOKUP($E248,$D$6:$AI$674,8,)/VLOOKUP($E248,$D$6:$AI$674,3,))*$F248</f>
        <v>0</v>
      </c>
      <c r="L248" s="7">
        <f>(VLOOKUP($E248,$D$6:$AI$674,L$2,)/VLOOKUP($E248,$D$6:$AI$674,3,))*$F248</f>
        <v>0</v>
      </c>
      <c r="M248" s="7">
        <f>(VLOOKUP($E248,$D$6:$AI$674,M$2,)/VLOOKUP($E248,$D$6:$AI$674,3,))*$F248</f>
        <v>0</v>
      </c>
      <c r="N248" s="7">
        <f>(VLOOKUP($E248,$D$6:$AI$674,11,)/VLOOKUP($E248,$D$6:$AI$674,3,))*$F248</f>
        <v>0</v>
      </c>
      <c r="O248" s="7">
        <f t="shared" si="75"/>
        <v>0</v>
      </c>
      <c r="P248" s="7">
        <f t="shared" si="75"/>
        <v>0</v>
      </c>
      <c r="Q248" s="7">
        <f t="shared" si="75"/>
        <v>0</v>
      </c>
      <c r="R248" s="7">
        <f>(VLOOKUP($E248,$D$6:$AI$674,15,)/VLOOKUP($E248,$D$6:$AI$674,3,))*$F248</f>
        <v>0</v>
      </c>
      <c r="S248" s="7">
        <f>(VLOOKUP($E248,$D$6:$AI$674,16,)/VLOOKUP($E248,$D$6:$AI$674,3,))*$F248</f>
        <v>0</v>
      </c>
      <c r="T248" s="7">
        <f>(VLOOKUP($E248,$D$6:$AI$674,17,)/VLOOKUP($E248,$D$6:$AI$674,3,))*$F248</f>
        <v>0</v>
      </c>
      <c r="U248" s="124">
        <f>SUM(G248:M248)</f>
        <v>0</v>
      </c>
      <c r="V248" s="109" t="str">
        <f>IF(ABS(F248-U248)&lt;0.01,"ok","err")</f>
        <v>ok</v>
      </c>
    </row>
    <row r="249" spans="1:22" x14ac:dyDescent="0.25">
      <c r="A249" s="116" t="s">
        <v>227</v>
      </c>
      <c r="D249" s="116" t="s">
        <v>336</v>
      </c>
      <c r="F249" s="123">
        <f>SUM(F247:F248)</f>
        <v>0</v>
      </c>
      <c r="G249" s="123">
        <f t="shared" ref="G249:T249" si="76">G247+G248</f>
        <v>0</v>
      </c>
      <c r="H249" s="123">
        <f t="shared" si="76"/>
        <v>0</v>
      </c>
      <c r="I249" s="123">
        <f t="shared" si="76"/>
        <v>0</v>
      </c>
      <c r="J249" s="123">
        <f t="shared" si="76"/>
        <v>0</v>
      </c>
      <c r="K249" s="123">
        <f t="shared" si="76"/>
        <v>0</v>
      </c>
      <c r="L249" s="123">
        <f t="shared" si="76"/>
        <v>0</v>
      </c>
      <c r="M249" s="123">
        <f t="shared" si="76"/>
        <v>0</v>
      </c>
      <c r="N249" s="123">
        <f t="shared" si="76"/>
        <v>0</v>
      </c>
      <c r="O249" s="123">
        <f t="shared" si="76"/>
        <v>0</v>
      </c>
      <c r="P249" s="123">
        <f t="shared" si="76"/>
        <v>0</v>
      </c>
      <c r="Q249" s="123">
        <f t="shared" si="76"/>
        <v>0</v>
      </c>
      <c r="R249" s="123">
        <f t="shared" si="76"/>
        <v>0</v>
      </c>
      <c r="S249" s="123">
        <f t="shared" si="76"/>
        <v>0</v>
      </c>
      <c r="T249" s="123">
        <f t="shared" si="76"/>
        <v>0</v>
      </c>
      <c r="U249" s="124">
        <f>SUM(G249:M249)</f>
        <v>0</v>
      </c>
      <c r="V249" s="109" t="str">
        <f>IF(ABS(F249-U249)&lt;0.01,"ok","err")</f>
        <v>ok</v>
      </c>
    </row>
    <row r="250" spans="1:22" x14ac:dyDescent="0.25">
      <c r="F250" s="7"/>
      <c r="G250" s="7"/>
      <c r="U250" s="124"/>
    </row>
    <row r="251" spans="1:22" x14ac:dyDescent="0.25">
      <c r="A251" s="110" t="s">
        <v>4</v>
      </c>
      <c r="F251" s="7"/>
      <c r="G251" s="7"/>
      <c r="U251" s="124"/>
    </row>
    <row r="252" spans="1:22" x14ac:dyDescent="0.25">
      <c r="A252" s="122" t="s">
        <v>854</v>
      </c>
      <c r="C252" s="126" t="s">
        <v>723</v>
      </c>
      <c r="D252" s="116" t="s">
        <v>271</v>
      </c>
      <c r="E252" s="116" t="s">
        <v>317</v>
      </c>
      <c r="F252" s="123">
        <f>VLOOKUP(C252,'WSS-33'!$C$1:$AR$730,9,)</f>
        <v>0</v>
      </c>
      <c r="G252" s="123">
        <f t="shared" ref="G252:J253" si="77">(VLOOKUP($E252,$D$6:$AI$674,G$2,)/VLOOKUP($E252,$D$6:$AI$674,3,))*$F252</f>
        <v>0</v>
      </c>
      <c r="H252" s="123">
        <f t="shared" si="77"/>
        <v>0</v>
      </c>
      <c r="I252" s="123">
        <f t="shared" si="77"/>
        <v>0</v>
      </c>
      <c r="J252" s="123">
        <f t="shared" si="77"/>
        <v>0</v>
      </c>
      <c r="K252" s="123">
        <f>(VLOOKUP($E252,$D$6:$AI$674,8,)/VLOOKUP($E252,$D$6:$AI$674,3,))*$F252</f>
        <v>0</v>
      </c>
      <c r="L252" s="123">
        <f>(VLOOKUP($E252,$D$6:$AI$674,L$2,)/VLOOKUP($E252,$D$6:$AI$674,3,))*$F252</f>
        <v>0</v>
      </c>
      <c r="M252" s="123">
        <f>(VLOOKUP($E252,$D$6:$AI$674,M$2,)/VLOOKUP($E252,$D$6:$AI$674,3,))*$F252</f>
        <v>0</v>
      </c>
      <c r="N252" s="123">
        <f>(VLOOKUP($E252,$D$6:$AI$674,11,)/VLOOKUP($E252,$D$6:$AI$674,3,))*$F252</f>
        <v>0</v>
      </c>
      <c r="O252" s="123">
        <f t="shared" ref="O252:Q253" si="78">(VLOOKUP($E252,$D$6:$AI$674,O$2,)/VLOOKUP($E252,$D$6:$AI$674,3,))*$F252</f>
        <v>0</v>
      </c>
      <c r="P252" s="123">
        <f t="shared" si="78"/>
        <v>0</v>
      </c>
      <c r="Q252" s="123">
        <f t="shared" si="78"/>
        <v>0</v>
      </c>
      <c r="R252" s="123">
        <f>(VLOOKUP($E252,$D$6:$AI$674,15,)/VLOOKUP($E252,$D$6:$AI$674,3,))*$F252</f>
        <v>0</v>
      </c>
      <c r="S252" s="123">
        <f>(VLOOKUP($E252,$D$6:$AI$674,16,)/VLOOKUP($E252,$D$6:$AI$674,3,))*$F252</f>
        <v>0</v>
      </c>
      <c r="T252" s="123">
        <f>(VLOOKUP($E252,$D$6:$AI$674,17,)/VLOOKUP($E252,$D$6:$AI$674,3,))*$F252</f>
        <v>0</v>
      </c>
      <c r="U252" s="124">
        <f>SUM(G252:M252)</f>
        <v>0</v>
      </c>
      <c r="V252" s="109" t="str">
        <f>IF(ABS(F252-U252)&lt;0.01,"ok","err")</f>
        <v>ok</v>
      </c>
    </row>
    <row r="253" spans="1:22" x14ac:dyDescent="0.25">
      <c r="A253" s="116" t="s">
        <v>850</v>
      </c>
      <c r="C253" s="126" t="s">
        <v>723</v>
      </c>
      <c r="D253" s="116" t="s">
        <v>272</v>
      </c>
      <c r="E253" s="116" t="s">
        <v>314</v>
      </c>
      <c r="F253" s="7">
        <f>VLOOKUP(C253,'WSS-33'!$C$1:$AR$730,10,)</f>
        <v>0</v>
      </c>
      <c r="G253" s="7">
        <f t="shared" si="77"/>
        <v>0</v>
      </c>
      <c r="H253" s="7">
        <f t="shared" si="77"/>
        <v>0</v>
      </c>
      <c r="I253" s="7">
        <f t="shared" si="77"/>
        <v>0</v>
      </c>
      <c r="J253" s="7">
        <f t="shared" si="77"/>
        <v>0</v>
      </c>
      <c r="K253" s="7">
        <f>(VLOOKUP($E253,$D$6:$AI$674,8,)/VLOOKUP($E253,$D$6:$AI$674,3,))*$F253</f>
        <v>0</v>
      </c>
      <c r="L253" s="7">
        <f>(VLOOKUP($E253,$D$6:$AI$674,L$2,)/VLOOKUP($E253,$D$6:$AI$674,3,))*$F253</f>
        <v>0</v>
      </c>
      <c r="M253" s="7">
        <f>(VLOOKUP($E253,$D$6:$AI$674,M$2,)/VLOOKUP($E253,$D$6:$AI$674,3,))*$F253</f>
        <v>0</v>
      </c>
      <c r="N253" s="7">
        <f>(VLOOKUP($E253,$D$6:$AI$674,11,)/VLOOKUP($E253,$D$6:$AI$674,3,))*$F253</f>
        <v>0</v>
      </c>
      <c r="O253" s="7">
        <f t="shared" si="78"/>
        <v>0</v>
      </c>
      <c r="P253" s="7">
        <f t="shared" si="78"/>
        <v>0</v>
      </c>
      <c r="Q253" s="7">
        <f t="shared" si="78"/>
        <v>0</v>
      </c>
      <c r="R253" s="7">
        <f>(VLOOKUP($E253,$D$6:$AI$674,15,)/VLOOKUP($E253,$D$6:$AI$674,3,))*$F253</f>
        <v>0</v>
      </c>
      <c r="S253" s="7">
        <f>(VLOOKUP($E253,$D$6:$AI$674,16,)/VLOOKUP($E253,$D$6:$AI$674,3,))*$F253</f>
        <v>0</v>
      </c>
      <c r="T253" s="7">
        <f>(VLOOKUP($E253,$D$6:$AI$674,17,)/VLOOKUP($E253,$D$6:$AI$674,3,))*$F253</f>
        <v>0</v>
      </c>
      <c r="U253" s="124">
        <f>SUM(G253:M253)</f>
        <v>0</v>
      </c>
      <c r="V253" s="109" t="str">
        <f>IF(ABS(F253-U253)&lt;0.01,"ok","err")</f>
        <v>ok</v>
      </c>
    </row>
    <row r="254" spans="1:22" x14ac:dyDescent="0.25">
      <c r="A254" s="116" t="s">
        <v>228</v>
      </c>
      <c r="D254" s="116" t="s">
        <v>337</v>
      </c>
      <c r="F254" s="123">
        <f>SUM(F252:F253)</f>
        <v>0</v>
      </c>
      <c r="G254" s="123">
        <f t="shared" ref="G254:T254" si="79">G252+G253</f>
        <v>0</v>
      </c>
      <c r="H254" s="123">
        <f t="shared" si="79"/>
        <v>0</v>
      </c>
      <c r="I254" s="123">
        <f t="shared" si="79"/>
        <v>0</v>
      </c>
      <c r="J254" s="123">
        <f t="shared" si="79"/>
        <v>0</v>
      </c>
      <c r="K254" s="123">
        <f t="shared" si="79"/>
        <v>0</v>
      </c>
      <c r="L254" s="123">
        <f t="shared" si="79"/>
        <v>0</v>
      </c>
      <c r="M254" s="123">
        <f t="shared" si="79"/>
        <v>0</v>
      </c>
      <c r="N254" s="123">
        <f t="shared" si="79"/>
        <v>0</v>
      </c>
      <c r="O254" s="123">
        <f t="shared" si="79"/>
        <v>0</v>
      </c>
      <c r="P254" s="123">
        <f t="shared" si="79"/>
        <v>0</v>
      </c>
      <c r="Q254" s="123">
        <f t="shared" si="79"/>
        <v>0</v>
      </c>
      <c r="R254" s="123">
        <f t="shared" si="79"/>
        <v>0</v>
      </c>
      <c r="S254" s="123">
        <f t="shared" si="79"/>
        <v>0</v>
      </c>
      <c r="T254" s="123">
        <f t="shared" si="79"/>
        <v>0</v>
      </c>
      <c r="U254" s="124">
        <f>SUM(G254:M254)</f>
        <v>0</v>
      </c>
      <c r="V254" s="109" t="str">
        <f>IF(ABS(F254-U254)&lt;0.01,"ok","err")</f>
        <v>ok</v>
      </c>
    </row>
    <row r="255" spans="1:22" x14ac:dyDescent="0.25">
      <c r="F255" s="7"/>
      <c r="U255" s="124"/>
    </row>
    <row r="256" spans="1:22" x14ac:dyDescent="0.25">
      <c r="A256" s="110" t="s">
        <v>6</v>
      </c>
      <c r="F256" s="7"/>
      <c r="U256" s="124"/>
    </row>
    <row r="257" spans="1:23" x14ac:dyDescent="0.25">
      <c r="A257" s="116" t="s">
        <v>226</v>
      </c>
      <c r="C257" s="126" t="s">
        <v>723</v>
      </c>
      <c r="D257" s="116" t="s">
        <v>273</v>
      </c>
      <c r="E257" s="116" t="s">
        <v>316</v>
      </c>
      <c r="F257" s="123">
        <f>VLOOKUP(C257,'WSS-33'!$C$1:$AR$730,11,)</f>
        <v>0</v>
      </c>
      <c r="G257" s="123">
        <f>(VLOOKUP($E257,$D$6:$AI$674,G$2,)/VLOOKUP($E257,$D$6:$AI$674,3,))*$F257</f>
        <v>0</v>
      </c>
      <c r="H257" s="123">
        <f>(VLOOKUP($E257,$D$6:$AI$674,H$2,)/VLOOKUP($E257,$D$6:$AI$674,3,))*$F257</f>
        <v>0</v>
      </c>
      <c r="I257" s="123">
        <f>(VLOOKUP($E257,$D$6:$AI$674,I$2,)/VLOOKUP($E257,$D$6:$AI$674,3,))*$F257</f>
        <v>0</v>
      </c>
      <c r="J257" s="123">
        <f>(VLOOKUP($E257,$D$6:$AI$674,J$2,)/VLOOKUP($E257,$D$6:$AI$674,3,))*$F257</f>
        <v>0</v>
      </c>
      <c r="K257" s="123">
        <f>(VLOOKUP($E257,$D$6:$AI$674,8,)/VLOOKUP($E257,$D$6:$AI$674,3,))*$F257</f>
        <v>0</v>
      </c>
      <c r="L257" s="123">
        <f>(VLOOKUP($E257,$D$6:$AI$674,L$2,)/VLOOKUP($E257,$D$6:$AI$674,3,))*$F257</f>
        <v>0</v>
      </c>
      <c r="M257" s="123">
        <f>(VLOOKUP($E257,$D$6:$AI$674,M$2,)/VLOOKUP($E257,$D$6:$AI$674,3,))*$F257</f>
        <v>0</v>
      </c>
      <c r="N257" s="123">
        <f>(VLOOKUP($E257,$D$6:$AI$674,11,)/VLOOKUP($E257,$D$6:$AI$674,3,))*$F257</f>
        <v>0</v>
      </c>
      <c r="O257" s="123">
        <f>(VLOOKUP($E257,$D$6:$AI$674,O$2,)/VLOOKUP($E257,$D$6:$AI$674,3,))*$F257</f>
        <v>0</v>
      </c>
      <c r="P257" s="123">
        <f>(VLOOKUP($E257,$D$6:$AI$674,P$2,)/VLOOKUP($E257,$D$6:$AI$674,3,))*$F257</f>
        <v>0</v>
      </c>
      <c r="Q257" s="123">
        <f>(VLOOKUP($E257,$D$6:$AI$674,Q$2,)/VLOOKUP($E257,$D$6:$AI$674,3,))*$F257</f>
        <v>0</v>
      </c>
      <c r="R257" s="123">
        <f>(VLOOKUP($E257,$D$6:$AI$674,15,)/VLOOKUP($E257,$D$6:$AI$674,3,))*$F257</f>
        <v>0</v>
      </c>
      <c r="S257" s="123">
        <f>(VLOOKUP($E257,$D$6:$AI$674,16,)/VLOOKUP($E257,$D$6:$AI$674,3,))*$F257</f>
        <v>0</v>
      </c>
      <c r="T257" s="123">
        <f>(VLOOKUP($E257,$D$6:$AI$674,17,)/VLOOKUP($E257,$D$6:$AI$674,3,))*$F257</f>
        <v>0</v>
      </c>
      <c r="U257" s="124">
        <f>SUM(G257:M257)</f>
        <v>0</v>
      </c>
      <c r="V257" s="109" t="str">
        <f>IF(ABS(F257-U257)&lt;0.01,"ok","err")</f>
        <v>ok</v>
      </c>
    </row>
    <row r="258" spans="1:23" x14ac:dyDescent="0.25">
      <c r="A258" s="122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124"/>
      <c r="V258" s="109"/>
    </row>
    <row r="259" spans="1:23" x14ac:dyDescent="0.25">
      <c r="A259" s="110" t="s">
        <v>7</v>
      </c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124"/>
      <c r="V259" s="109"/>
    </row>
    <row r="260" spans="1:23" x14ac:dyDescent="0.25">
      <c r="A260" s="122" t="s">
        <v>207</v>
      </c>
      <c r="C260" s="126" t="s">
        <v>723</v>
      </c>
      <c r="D260" s="116" t="s">
        <v>274</v>
      </c>
      <c r="E260" s="116" t="s">
        <v>317</v>
      </c>
      <c r="F260" s="123">
        <f>VLOOKUP(C260,'WSS-33'!$C$1:$AR$730,12,)</f>
        <v>0</v>
      </c>
      <c r="G260" s="123">
        <f>(VLOOKUP($E260,$D$6:$AI$674,G$2,)/VLOOKUP($E260,$D$6:$AI$674,3,))*$F260</f>
        <v>0</v>
      </c>
      <c r="H260" s="123">
        <f>(VLOOKUP($E260,$D$6:$AI$674,H$2,)/VLOOKUP($E260,$D$6:$AI$674,3,))*$F260</f>
        <v>0</v>
      </c>
      <c r="I260" s="123">
        <f>(VLOOKUP($E260,$D$6:$AI$674,I$2,)/VLOOKUP($E260,$D$6:$AI$674,3,))*$F260</f>
        <v>0</v>
      </c>
      <c r="J260" s="123">
        <f>(VLOOKUP($E260,$D$6:$AI$674,J$2,)/VLOOKUP($E260,$D$6:$AI$674,3,))*$F260</f>
        <v>0</v>
      </c>
      <c r="K260" s="123">
        <f>(VLOOKUP($E260,$D$6:$AI$674,8,)/VLOOKUP($E260,$D$6:$AI$674,3,))*$F260</f>
        <v>0</v>
      </c>
      <c r="L260" s="123">
        <f>(VLOOKUP($E260,$D$6:$AI$674,L$2,)/VLOOKUP($E260,$D$6:$AI$674,3,))*$F260</f>
        <v>0</v>
      </c>
      <c r="M260" s="123">
        <f>(VLOOKUP($E260,$D$6:$AI$674,M$2,)/VLOOKUP($E260,$D$6:$AI$674,3,))*$F260</f>
        <v>0</v>
      </c>
      <c r="N260" s="123">
        <f>(VLOOKUP($E260,$D$6:$AI$674,11,)/VLOOKUP($E260,$D$6:$AI$674,3,))*$F260</f>
        <v>0</v>
      </c>
      <c r="O260" s="123">
        <f>(VLOOKUP($E260,$D$6:$AI$674,O$2,)/VLOOKUP($E260,$D$6:$AI$674,3,))*$F260</f>
        <v>0</v>
      </c>
      <c r="P260" s="123">
        <f>(VLOOKUP($E260,$D$6:$AI$674,P$2,)/VLOOKUP($E260,$D$6:$AI$674,3,))*$F260</f>
        <v>0</v>
      </c>
      <c r="Q260" s="123">
        <f>(VLOOKUP($E260,$D$6:$AI$674,Q$2,)/VLOOKUP($E260,$D$6:$AI$674,3,))*$F260</f>
        <v>0</v>
      </c>
      <c r="R260" s="123">
        <f>(VLOOKUP($E260,$D$6:$AI$674,15,)/VLOOKUP($E260,$D$6:$AI$674,3,))*$F260</f>
        <v>0</v>
      </c>
      <c r="S260" s="123">
        <f>(VLOOKUP($E260,$D$6:$AI$674,16,)/VLOOKUP($E260,$D$6:$AI$674,3,))*$F260</f>
        <v>0</v>
      </c>
      <c r="T260" s="123">
        <f>(VLOOKUP($E260,$D$6:$AI$674,17,)/VLOOKUP($E260,$D$6:$AI$674,3,))*$F260</f>
        <v>0</v>
      </c>
      <c r="U260" s="124">
        <f>SUM(G260:M260)</f>
        <v>0</v>
      </c>
      <c r="V260" s="109" t="str">
        <f>IF(ABS(F260-U260)&lt;0.01,"ok","err")</f>
        <v>ok</v>
      </c>
    </row>
    <row r="261" spans="1:23" x14ac:dyDescent="0.25">
      <c r="F261" s="7"/>
      <c r="U261" s="124"/>
    </row>
    <row r="262" spans="1:23" x14ac:dyDescent="0.25">
      <c r="A262" s="110" t="s">
        <v>8</v>
      </c>
      <c r="F262" s="7"/>
      <c r="U262" s="124"/>
    </row>
    <row r="263" spans="1:23" x14ac:dyDescent="0.25">
      <c r="A263" s="122" t="s">
        <v>676</v>
      </c>
      <c r="C263" s="126" t="s">
        <v>723</v>
      </c>
      <c r="D263" s="116" t="s">
        <v>275</v>
      </c>
      <c r="E263" s="116" t="s">
        <v>680</v>
      </c>
      <c r="F263" s="123">
        <f>VLOOKUP(C263,'WSS-33'!$C$1:$AR$730,13,)</f>
        <v>0</v>
      </c>
      <c r="G263" s="123">
        <f t="shared" ref="G263:J266" si="80">(VLOOKUP($E263,$D$6:$AI$674,G$2,)/VLOOKUP($E263,$D$6:$AI$674,3,))*$F263</f>
        <v>0</v>
      </c>
      <c r="H263" s="123">
        <f t="shared" si="80"/>
        <v>0</v>
      </c>
      <c r="I263" s="123">
        <f t="shared" si="80"/>
        <v>0</v>
      </c>
      <c r="J263" s="123">
        <f t="shared" si="80"/>
        <v>0</v>
      </c>
      <c r="K263" s="123">
        <f>(VLOOKUP($E263,$D$6:$AI$674,8,)/VLOOKUP($E263,$D$6:$AI$674,3,))*$F263</f>
        <v>0</v>
      </c>
      <c r="L263" s="123">
        <f t="shared" ref="L263:M266" si="81">(VLOOKUP($E263,$D$6:$AI$674,L$2,)/VLOOKUP($E263,$D$6:$AI$674,3,))*$F263</f>
        <v>0</v>
      </c>
      <c r="M263" s="123">
        <f t="shared" si="81"/>
        <v>0</v>
      </c>
      <c r="N263" s="123">
        <f>(VLOOKUP($E263,$D$6:$AI$674,11,)/VLOOKUP($E263,$D$6:$AI$674,3,))*$F263</f>
        <v>0</v>
      </c>
      <c r="O263" s="123">
        <f t="shared" ref="O263:Q266" si="82">(VLOOKUP($E263,$D$6:$AI$674,O$2,)/VLOOKUP($E263,$D$6:$AI$674,3,))*$F263</f>
        <v>0</v>
      </c>
      <c r="P263" s="123">
        <f t="shared" si="82"/>
        <v>0</v>
      </c>
      <c r="Q263" s="123">
        <f t="shared" si="82"/>
        <v>0</v>
      </c>
      <c r="R263" s="123">
        <f>(VLOOKUP($E263,$D$6:$AI$674,15,)/VLOOKUP($E263,$D$6:$AI$674,3,))*$F263</f>
        <v>0</v>
      </c>
      <c r="S263" s="123">
        <f>(VLOOKUP($E263,$D$6:$AI$674,16,)/VLOOKUP($E263,$D$6:$AI$674,3,))*$F263</f>
        <v>0</v>
      </c>
      <c r="T263" s="123">
        <f>(VLOOKUP($E263,$D$6:$AI$674,17,)/VLOOKUP($E263,$D$6:$AI$674,3,))*$F263</f>
        <v>0</v>
      </c>
      <c r="U263" s="124">
        <f>SUM(G263:M263)</f>
        <v>0</v>
      </c>
      <c r="V263" s="109" t="str">
        <f>IF(ABS(F263-U263)&lt;0.01,"ok","err")</f>
        <v>ok</v>
      </c>
    </row>
    <row r="264" spans="1:23" x14ac:dyDescent="0.25">
      <c r="A264" s="122" t="s">
        <v>675</v>
      </c>
      <c r="C264" s="126" t="s">
        <v>723</v>
      </c>
      <c r="D264" s="116" t="s">
        <v>276</v>
      </c>
      <c r="E264" s="116" t="s">
        <v>873</v>
      </c>
      <c r="F264" s="7">
        <f>VLOOKUP(C264,'WSS-33'!$C$1:$AR$730,14,)</f>
        <v>0</v>
      </c>
      <c r="G264" s="7">
        <f t="shared" si="80"/>
        <v>0</v>
      </c>
      <c r="H264" s="7">
        <f t="shared" si="80"/>
        <v>0</v>
      </c>
      <c r="I264" s="7">
        <f t="shared" si="80"/>
        <v>0</v>
      </c>
      <c r="J264" s="7">
        <f t="shared" si="80"/>
        <v>0</v>
      </c>
      <c r="K264" s="7">
        <f>(VLOOKUP($E264,$D$6:$AI$674,8,)/VLOOKUP($E264,$D$6:$AI$674,3,))*$F264</f>
        <v>0</v>
      </c>
      <c r="L264" s="7">
        <f t="shared" si="81"/>
        <v>0</v>
      </c>
      <c r="M264" s="7">
        <f t="shared" si="81"/>
        <v>0</v>
      </c>
      <c r="N264" s="7">
        <f>(VLOOKUP($E264,$D$6:$AI$674,11,)/VLOOKUP($E264,$D$6:$AI$674,3,))*$F264</f>
        <v>0</v>
      </c>
      <c r="O264" s="7">
        <f t="shared" si="82"/>
        <v>0</v>
      </c>
      <c r="P264" s="7">
        <f t="shared" si="82"/>
        <v>0</v>
      </c>
      <c r="Q264" s="7">
        <f t="shared" si="82"/>
        <v>0</v>
      </c>
      <c r="R264" s="7">
        <f>(VLOOKUP($E264,$D$6:$AI$674,15,)/VLOOKUP($E264,$D$6:$AI$674,3,))*$F264</f>
        <v>0</v>
      </c>
      <c r="S264" s="7">
        <f>(VLOOKUP($E264,$D$6:$AI$674,16,)/VLOOKUP($E264,$D$6:$AI$674,3,))*$F264</f>
        <v>0</v>
      </c>
      <c r="T264" s="7">
        <f>(VLOOKUP($E264,$D$6:$AI$674,17,)/VLOOKUP($E264,$D$6:$AI$674,3,))*$F264</f>
        <v>0</v>
      </c>
      <c r="U264" s="124">
        <f>SUM(G264:M264)</f>
        <v>0</v>
      </c>
      <c r="V264" s="109" t="str">
        <f>IF(ABS(F264-U264)&lt;0.01,"ok","err")</f>
        <v>ok</v>
      </c>
      <c r="W264" s="125"/>
    </row>
    <row r="265" spans="1:23" x14ac:dyDescent="0.25">
      <c r="A265" s="122" t="s">
        <v>677</v>
      </c>
      <c r="C265" s="126" t="s">
        <v>723</v>
      </c>
      <c r="D265" s="116" t="s">
        <v>275</v>
      </c>
      <c r="E265" s="116" t="s">
        <v>318</v>
      </c>
      <c r="F265" s="7">
        <f>VLOOKUP(C265,'WSS-33'!$C$1:$AR$730,15,)</f>
        <v>0</v>
      </c>
      <c r="G265" s="7">
        <f t="shared" si="80"/>
        <v>0</v>
      </c>
      <c r="H265" s="7">
        <f t="shared" si="80"/>
        <v>0</v>
      </c>
      <c r="I265" s="7">
        <f t="shared" si="80"/>
        <v>0</v>
      </c>
      <c r="J265" s="7">
        <f t="shared" si="80"/>
        <v>0</v>
      </c>
      <c r="K265" s="7">
        <f>(VLOOKUP($E265,$D$6:$AI$674,8,)/VLOOKUP($E265,$D$6:$AI$674,3,))*$F265</f>
        <v>0</v>
      </c>
      <c r="L265" s="7">
        <f t="shared" si="81"/>
        <v>0</v>
      </c>
      <c r="M265" s="7">
        <f t="shared" si="81"/>
        <v>0</v>
      </c>
      <c r="N265" s="7">
        <f>(VLOOKUP($E265,$D$6:$AI$674,11,)/VLOOKUP($E265,$D$6:$AI$674,3,))*$F265</f>
        <v>0</v>
      </c>
      <c r="O265" s="7">
        <f t="shared" si="82"/>
        <v>0</v>
      </c>
      <c r="P265" s="7">
        <f t="shared" si="82"/>
        <v>0</v>
      </c>
      <c r="Q265" s="7">
        <f t="shared" si="82"/>
        <v>0</v>
      </c>
      <c r="R265" s="7"/>
      <c r="S265" s="7"/>
      <c r="T265" s="7"/>
      <c r="U265" s="124"/>
      <c r="V265" s="109"/>
    </row>
    <row r="266" spans="1:23" x14ac:dyDescent="0.25">
      <c r="A266" s="122" t="s">
        <v>674</v>
      </c>
      <c r="C266" s="126" t="s">
        <v>723</v>
      </c>
      <c r="D266" s="116" t="s">
        <v>276</v>
      </c>
      <c r="E266" s="116" t="s">
        <v>872</v>
      </c>
      <c r="F266" s="7">
        <f>VLOOKUP(C266,'WSS-33'!$C$1:$AR$730,16,)</f>
        <v>0</v>
      </c>
      <c r="G266" s="7">
        <f t="shared" si="80"/>
        <v>0</v>
      </c>
      <c r="H266" s="7">
        <f t="shared" si="80"/>
        <v>0</v>
      </c>
      <c r="I266" s="7">
        <f t="shared" si="80"/>
        <v>0</v>
      </c>
      <c r="J266" s="7">
        <f t="shared" si="80"/>
        <v>0</v>
      </c>
      <c r="K266" s="7">
        <f>(VLOOKUP($E266,$D$6:$AI$674,8,)/VLOOKUP($E266,$D$6:$AI$674,3,))*$F266</f>
        <v>0</v>
      </c>
      <c r="L266" s="7">
        <f t="shared" si="81"/>
        <v>0</v>
      </c>
      <c r="M266" s="7">
        <f t="shared" si="81"/>
        <v>0</v>
      </c>
      <c r="N266" s="7">
        <f>(VLOOKUP($E266,$D$6:$AI$674,11,)/VLOOKUP($E266,$D$6:$AI$674,3,))*$F266</f>
        <v>0</v>
      </c>
      <c r="O266" s="7">
        <f t="shared" si="82"/>
        <v>0</v>
      </c>
      <c r="P266" s="7">
        <f t="shared" si="82"/>
        <v>0</v>
      </c>
      <c r="Q266" s="7">
        <f t="shared" si="82"/>
        <v>0</v>
      </c>
      <c r="R266" s="7"/>
      <c r="S266" s="7"/>
      <c r="T266" s="7"/>
      <c r="U266" s="124"/>
      <c r="V266" s="109"/>
    </row>
    <row r="267" spans="1:23" x14ac:dyDescent="0.25">
      <c r="A267" s="116" t="s">
        <v>229</v>
      </c>
      <c r="F267" s="123">
        <f t="shared" ref="F267:Q267" si="83">SUM(F263:F266)</f>
        <v>0</v>
      </c>
      <c r="G267" s="123">
        <f t="shared" si="83"/>
        <v>0</v>
      </c>
      <c r="H267" s="123">
        <f t="shared" si="83"/>
        <v>0</v>
      </c>
      <c r="I267" s="123">
        <f t="shared" si="83"/>
        <v>0</v>
      </c>
      <c r="J267" s="123">
        <f t="shared" si="83"/>
        <v>0</v>
      </c>
      <c r="K267" s="123">
        <f t="shared" si="83"/>
        <v>0</v>
      </c>
      <c r="L267" s="123">
        <f t="shared" si="83"/>
        <v>0</v>
      </c>
      <c r="M267" s="123">
        <f t="shared" si="83"/>
        <v>0</v>
      </c>
      <c r="N267" s="123">
        <f t="shared" si="83"/>
        <v>0</v>
      </c>
      <c r="O267" s="123">
        <f t="shared" si="83"/>
        <v>0</v>
      </c>
      <c r="P267" s="123">
        <f t="shared" si="83"/>
        <v>0</v>
      </c>
      <c r="Q267" s="123">
        <f t="shared" si="83"/>
        <v>0</v>
      </c>
      <c r="R267" s="123">
        <f>R263+R264</f>
        <v>0</v>
      </c>
      <c r="S267" s="123">
        <f>S263+S264</f>
        <v>0</v>
      </c>
      <c r="T267" s="123">
        <f>T263+T264</f>
        <v>0</v>
      </c>
      <c r="U267" s="124">
        <f>SUM(G267:M267)</f>
        <v>0</v>
      </c>
      <c r="V267" s="109" t="str">
        <f>IF(ABS(F267-U267)&lt;0.01,"ok","err")</f>
        <v>ok</v>
      </c>
      <c r="W267" s="125"/>
    </row>
    <row r="268" spans="1:23" x14ac:dyDescent="0.25">
      <c r="F268" s="7"/>
      <c r="U268" s="124"/>
    </row>
    <row r="269" spans="1:23" x14ac:dyDescent="0.25">
      <c r="A269" s="110" t="s">
        <v>10</v>
      </c>
      <c r="F269" s="7"/>
      <c r="U269" s="124"/>
    </row>
    <row r="270" spans="1:23" x14ac:dyDescent="0.25">
      <c r="A270" s="122" t="s">
        <v>208</v>
      </c>
      <c r="C270" s="126" t="s">
        <v>723</v>
      </c>
      <c r="D270" s="116" t="s">
        <v>270</v>
      </c>
      <c r="E270" s="116" t="s">
        <v>319</v>
      </c>
      <c r="F270" s="123">
        <f>VLOOKUP(C270,'WSS-33'!$C$1:$AR$730,17,)</f>
        <v>0</v>
      </c>
      <c r="G270" s="123">
        <f>(VLOOKUP($E270,$D$6:$AI$674,G$2,)/VLOOKUP($E270,$D$6:$AI$674,3,))*$F270</f>
        <v>0</v>
      </c>
      <c r="H270" s="123">
        <f>(VLOOKUP($E270,$D$6:$AI$674,H$2,)/VLOOKUP($E270,$D$6:$AI$674,3,))*$F270</f>
        <v>0</v>
      </c>
      <c r="I270" s="123">
        <f>(VLOOKUP($E270,$D$6:$AI$674,I$2,)/VLOOKUP($E270,$D$6:$AI$674,3,))*$F270</f>
        <v>0</v>
      </c>
      <c r="J270" s="123">
        <f>(VLOOKUP($E270,$D$6:$AI$674,J$2,)/VLOOKUP($E270,$D$6:$AI$674,3,))*$F270</f>
        <v>0</v>
      </c>
      <c r="K270" s="123">
        <f>(VLOOKUP($E270,$D$6:$AI$674,8,)/VLOOKUP($E270,$D$6:$AI$674,3,))*$F270</f>
        <v>0</v>
      </c>
      <c r="L270" s="123">
        <f>(VLOOKUP($E270,$D$6:$AI$674,L$2,)/VLOOKUP($E270,$D$6:$AI$674,3,))*$F270</f>
        <v>0</v>
      </c>
      <c r="M270" s="123">
        <f>(VLOOKUP($E270,$D$6:$AI$674,M$2,)/VLOOKUP($E270,$D$6:$AI$674,3,))*$F270</f>
        <v>0</v>
      </c>
      <c r="N270" s="123">
        <f>(VLOOKUP($E270,$D$6:$AI$674,11,)/VLOOKUP($E270,$D$6:$AI$674,3,))*$F270</f>
        <v>0</v>
      </c>
      <c r="O270" s="123">
        <f>(VLOOKUP($E270,$D$6:$AI$674,O$2,)/VLOOKUP($E270,$D$6:$AI$674,3,))*$F270</f>
        <v>0</v>
      </c>
      <c r="P270" s="123">
        <f>(VLOOKUP($E270,$D$6:$AI$674,P$2,)/VLOOKUP($E270,$D$6:$AI$674,3,))*$F270</f>
        <v>0</v>
      </c>
      <c r="Q270" s="123">
        <f>(VLOOKUP($E270,$D$6:$AI$674,Q$2,)/VLOOKUP($E270,$D$6:$AI$674,3,))*$F270</f>
        <v>0</v>
      </c>
      <c r="R270" s="123">
        <f>(VLOOKUP($E270,$D$6:$AI$674,15,)/VLOOKUP($E270,$D$6:$AI$674,3,))*$F270</f>
        <v>0</v>
      </c>
      <c r="S270" s="123">
        <f>(VLOOKUP($E270,$D$6:$AI$674,16,)/VLOOKUP($E270,$D$6:$AI$674,3,))*$F270</f>
        <v>0</v>
      </c>
      <c r="T270" s="123">
        <f>(VLOOKUP($E270,$D$6:$AI$674,17,)/VLOOKUP($E270,$D$6:$AI$674,3,))*$F270</f>
        <v>0</v>
      </c>
      <c r="U270" s="124">
        <f>SUM(G270:M270)</f>
        <v>0</v>
      </c>
      <c r="V270" s="109" t="str">
        <f>IF(ABS(F270-U270)&lt;0.01,"ok","err")</f>
        <v>ok</v>
      </c>
      <c r="W270" s="125"/>
    </row>
    <row r="271" spans="1:23" x14ac:dyDescent="0.25">
      <c r="F271" s="7"/>
      <c r="U271" s="124"/>
    </row>
    <row r="272" spans="1:23" x14ac:dyDescent="0.25">
      <c r="A272" s="110" t="s">
        <v>11</v>
      </c>
      <c r="F272" s="7"/>
      <c r="U272" s="124"/>
    </row>
    <row r="273" spans="1:24" x14ac:dyDescent="0.25">
      <c r="A273" s="122" t="s">
        <v>208</v>
      </c>
      <c r="C273" s="126" t="s">
        <v>723</v>
      </c>
      <c r="D273" s="116" t="s">
        <v>277</v>
      </c>
      <c r="E273" s="116" t="s">
        <v>320</v>
      </c>
      <c r="F273" s="123">
        <f>VLOOKUP(C273,'WSS-33'!$C$1:$AR$730,18,)</f>
        <v>0</v>
      </c>
      <c r="G273" s="123">
        <f>(VLOOKUP($E273,$D$6:$AI$674,G$2,)/VLOOKUP($E273,$D$6:$AI$674,3,))*$F273</f>
        <v>0</v>
      </c>
      <c r="H273" s="123">
        <f>(VLOOKUP($E273,$D$6:$AI$674,H$2,)/VLOOKUP($E273,$D$6:$AI$674,3,))*$F273</f>
        <v>0</v>
      </c>
      <c r="I273" s="123">
        <f>(VLOOKUP($E273,$D$6:$AI$674,I$2,)/VLOOKUP($E273,$D$6:$AI$674,3,))*$F273</f>
        <v>0</v>
      </c>
      <c r="J273" s="123">
        <f>(VLOOKUP($E273,$D$6:$AI$674,J$2,)/VLOOKUP($E273,$D$6:$AI$674,3,))*$F273</f>
        <v>0</v>
      </c>
      <c r="K273" s="123">
        <f>(VLOOKUP($E273,$D$6:$AI$674,8,)/VLOOKUP($E273,$D$6:$AI$674,3,))*$F273</f>
        <v>0</v>
      </c>
      <c r="L273" s="123">
        <f>(VLOOKUP($E273,$D$6:$AI$674,L$2,)/VLOOKUP($E273,$D$6:$AI$674,3,))*$F273</f>
        <v>0</v>
      </c>
      <c r="M273" s="123">
        <f>(VLOOKUP($E273,$D$6:$AI$674,M$2,)/VLOOKUP($E273,$D$6:$AI$674,3,))*$F273</f>
        <v>0</v>
      </c>
      <c r="N273" s="123">
        <f>(VLOOKUP($E273,$D$6:$AI$674,11,)/VLOOKUP($E273,$D$6:$AI$674,3,))*$F273</f>
        <v>0</v>
      </c>
      <c r="O273" s="123">
        <f>(VLOOKUP($E273,$D$6:$AI$674,O$2,)/VLOOKUP($E273,$D$6:$AI$674,3,))*$F273</f>
        <v>0</v>
      </c>
      <c r="P273" s="123">
        <f>(VLOOKUP($E273,$D$6:$AI$674,P$2,)/VLOOKUP($E273,$D$6:$AI$674,3,))*$F273</f>
        <v>0</v>
      </c>
      <c r="Q273" s="123">
        <f>(VLOOKUP($E273,$D$6:$AI$674,Q$2,)/VLOOKUP($E273,$D$6:$AI$674,3,))*$F273</f>
        <v>0</v>
      </c>
      <c r="R273" s="123">
        <f>(VLOOKUP($E273,$D$6:$AI$674,15,)/VLOOKUP($E273,$D$6:$AI$674,3,))*$F273</f>
        <v>0</v>
      </c>
      <c r="S273" s="123">
        <f>(VLOOKUP($E273,$D$6:$AI$674,16,)/VLOOKUP($E273,$D$6:$AI$674,3,))*$F273</f>
        <v>0</v>
      </c>
      <c r="T273" s="123">
        <f>(VLOOKUP($E273,$D$6:$AI$674,17,)/VLOOKUP($E273,$D$6:$AI$674,3,))*$F273</f>
        <v>0</v>
      </c>
      <c r="U273" s="124">
        <f>SUM(G273:M273)</f>
        <v>0</v>
      </c>
      <c r="V273" s="109" t="str">
        <f>IF(ABS(F273-U273)&lt;0.01,"ok","err")</f>
        <v>ok</v>
      </c>
    </row>
    <row r="274" spans="1:24" x14ac:dyDescent="0.25">
      <c r="F274" s="7"/>
      <c r="U274" s="124"/>
    </row>
    <row r="275" spans="1:24" x14ac:dyDescent="0.25">
      <c r="A275" s="110" t="s">
        <v>12</v>
      </c>
      <c r="F275" s="7"/>
      <c r="U275" s="124"/>
    </row>
    <row r="276" spans="1:24" x14ac:dyDescent="0.25">
      <c r="A276" s="122" t="s">
        <v>208</v>
      </c>
      <c r="C276" s="126" t="s">
        <v>723</v>
      </c>
      <c r="D276" s="116" t="s">
        <v>278</v>
      </c>
      <c r="E276" s="116" t="s">
        <v>874</v>
      </c>
      <c r="F276" s="123">
        <f>VLOOKUP(C276,'WSS-33'!$C$1:$AR$730,19,)</f>
        <v>0</v>
      </c>
      <c r="G276" s="123">
        <f>(VLOOKUP($E276,$D$6:$AI$674,G$2,)/VLOOKUP($E276,$D$6:$AI$674,3,))*$F276</f>
        <v>0</v>
      </c>
      <c r="H276" s="123">
        <f>(VLOOKUP($E276,$D$6:$AI$674,H$2,)/VLOOKUP($E276,$D$6:$AI$674,3,))*$F276</f>
        <v>0</v>
      </c>
      <c r="I276" s="123">
        <f>(VLOOKUP($E276,$D$6:$AI$674,I$2,)/VLOOKUP($E276,$D$6:$AI$674,3,))*$F276</f>
        <v>0</v>
      </c>
      <c r="J276" s="123">
        <f>(VLOOKUP($E276,$D$6:$AI$674,J$2,)/VLOOKUP($E276,$D$6:$AI$674,3,))*$F276</f>
        <v>0</v>
      </c>
      <c r="K276" s="123">
        <f>(VLOOKUP($E276,$D$6:$AI$674,8,)/VLOOKUP($E276,$D$6:$AI$674,3,))*$F276</f>
        <v>0</v>
      </c>
      <c r="L276" s="123">
        <f>(VLOOKUP($E276,$D$6:$AI$674,L$2,)/VLOOKUP($E276,$D$6:$AI$674,3,))*$F276</f>
        <v>0</v>
      </c>
      <c r="M276" s="123">
        <f>(VLOOKUP($E276,$D$6:$AI$674,M$2,)/VLOOKUP($E276,$D$6:$AI$674,3,))*$F276</f>
        <v>0</v>
      </c>
      <c r="N276" s="123">
        <f>(VLOOKUP($E276,$D$6:$AI$674,11,)/VLOOKUP($E276,$D$6:$AI$674,3,))*$F276</f>
        <v>0</v>
      </c>
      <c r="O276" s="123">
        <f>(VLOOKUP($E276,$D$6:$AI$674,O$2,)/VLOOKUP($E276,$D$6:$AI$674,3,))*$F276</f>
        <v>0</v>
      </c>
      <c r="P276" s="123">
        <f>(VLOOKUP($E276,$D$6:$AI$674,P$2,)/VLOOKUP($E276,$D$6:$AI$674,3,))*$F276</f>
        <v>0</v>
      </c>
      <c r="Q276" s="123">
        <f>(VLOOKUP($E276,$D$6:$AI$674,Q$2,)/VLOOKUP($E276,$D$6:$AI$674,3,))*$F276</f>
        <v>0</v>
      </c>
      <c r="R276" s="123">
        <f>(VLOOKUP($E276,$D$6:$AI$674,15,)/VLOOKUP($E276,$D$6:$AI$674,3,))*$F276</f>
        <v>0</v>
      </c>
      <c r="S276" s="123">
        <f>(VLOOKUP($E276,$D$6:$AI$674,16,)/VLOOKUP($E276,$D$6:$AI$674,3,))*$F276</f>
        <v>0</v>
      </c>
      <c r="T276" s="123">
        <f>(VLOOKUP($E276,$D$6:$AI$674,17,)/VLOOKUP($E276,$D$6:$AI$674,3,))*$F276</f>
        <v>0</v>
      </c>
      <c r="U276" s="124">
        <f>SUM(G276:M276)</f>
        <v>0</v>
      </c>
      <c r="V276" s="109" t="str">
        <f>IF(ABS(F276-U276)&lt;0.01,"ok","err")</f>
        <v>ok</v>
      </c>
    </row>
    <row r="277" spans="1:24" x14ac:dyDescent="0.25">
      <c r="F277" s="7"/>
      <c r="U277" s="124"/>
    </row>
    <row r="278" spans="1:24" x14ac:dyDescent="0.25">
      <c r="A278" s="110" t="s">
        <v>13</v>
      </c>
      <c r="F278" s="7"/>
      <c r="U278" s="124"/>
    </row>
    <row r="279" spans="1:24" x14ac:dyDescent="0.25">
      <c r="A279" s="122" t="s">
        <v>208</v>
      </c>
      <c r="C279" s="126" t="s">
        <v>723</v>
      </c>
      <c r="D279" s="116" t="s">
        <v>279</v>
      </c>
      <c r="E279" s="116" t="s">
        <v>875</v>
      </c>
      <c r="F279" s="123">
        <f>VLOOKUP(C279,'WSS-33'!$C$1:$AR$730,20,)</f>
        <v>0</v>
      </c>
      <c r="G279" s="123">
        <f>(VLOOKUP($E279,$D$6:$AI$674,G$2,)/VLOOKUP($E279,$D$6:$AI$674,3,))*$F279</f>
        <v>0</v>
      </c>
      <c r="H279" s="123">
        <f>(VLOOKUP($E279,$D$6:$AI$674,H$2,)/VLOOKUP($E279,$D$6:$AI$674,3,))*$F279</f>
        <v>0</v>
      </c>
      <c r="I279" s="123">
        <f>(VLOOKUP($E279,$D$6:$AI$674,I$2,)/VLOOKUP($E279,$D$6:$AI$674,3,))*$F279</f>
        <v>0</v>
      </c>
      <c r="J279" s="123">
        <f>(VLOOKUP($E279,$D$6:$AI$674,J$2,)/VLOOKUP($E279,$D$6:$AI$674,3,))*$F279</f>
        <v>0</v>
      </c>
      <c r="K279" s="123">
        <f>(VLOOKUP($E279,$D$6:$AI$674,8,)/VLOOKUP($E279,$D$6:$AI$674,3,))*$F279</f>
        <v>0</v>
      </c>
      <c r="L279" s="123">
        <f>(VLOOKUP($E279,$D$6:$AI$674,L$2,)/VLOOKUP($E279,$D$6:$AI$674,3,))*$F279</f>
        <v>0</v>
      </c>
      <c r="M279" s="123">
        <f>(VLOOKUP($E279,$D$6:$AI$674,M$2,)/VLOOKUP($E279,$D$6:$AI$674,3,))*$F279</f>
        <v>0</v>
      </c>
      <c r="N279" s="123">
        <f>(VLOOKUP($E279,$D$6:$AI$674,11,)/VLOOKUP($E279,$D$6:$AI$674,3,))*$F279</f>
        <v>0</v>
      </c>
      <c r="O279" s="123">
        <f>(VLOOKUP($E279,$D$6:$AI$674,O$2,)/VLOOKUP($E279,$D$6:$AI$674,3,))*$F279</f>
        <v>0</v>
      </c>
      <c r="P279" s="123">
        <f>(VLOOKUP($E279,$D$6:$AI$674,P$2,)/VLOOKUP($E279,$D$6:$AI$674,3,))*$F279</f>
        <v>0</v>
      </c>
      <c r="Q279" s="123">
        <f>(VLOOKUP($E279,$D$6:$AI$674,Q$2,)/VLOOKUP($E279,$D$6:$AI$674,3,))*$F279</f>
        <v>0</v>
      </c>
      <c r="R279" s="123">
        <f>(VLOOKUP($E279,$D$6:$AI$674,15,)/VLOOKUP($E279,$D$6:$AI$674,3,))*$F279</f>
        <v>0</v>
      </c>
      <c r="S279" s="123">
        <f>(VLOOKUP($E279,$D$6:$AI$674,16,)/VLOOKUP($E279,$D$6:$AI$674,3,))*$F279</f>
        <v>0</v>
      </c>
      <c r="T279" s="123">
        <f>(VLOOKUP($E279,$D$6:$AI$674,17,)/VLOOKUP($E279,$D$6:$AI$674,3,))*$F279</f>
        <v>0</v>
      </c>
      <c r="U279" s="124">
        <f>SUM(G279:M279)</f>
        <v>0</v>
      </c>
      <c r="V279" s="109" t="str">
        <f>IF(ABS(F279-U279)&lt;0.01,"ok","err")</f>
        <v>ok</v>
      </c>
    </row>
    <row r="280" spans="1:24" x14ac:dyDescent="0.25">
      <c r="F280" s="7"/>
      <c r="U280" s="124"/>
    </row>
    <row r="281" spans="1:24" x14ac:dyDescent="0.25">
      <c r="A281" s="116" t="s">
        <v>14</v>
      </c>
      <c r="D281" s="116" t="s">
        <v>726</v>
      </c>
      <c r="F281" s="123">
        <f t="shared" ref="F281:T281" si="84">F244+F249+F254+F257+F260+F267+F270+F273+F276+F279</f>
        <v>0</v>
      </c>
      <c r="G281" s="123">
        <f t="shared" si="84"/>
        <v>0</v>
      </c>
      <c r="H281" s="123">
        <f t="shared" si="84"/>
        <v>0</v>
      </c>
      <c r="I281" s="123">
        <f t="shared" si="84"/>
        <v>0</v>
      </c>
      <c r="J281" s="123">
        <f t="shared" si="84"/>
        <v>0</v>
      </c>
      <c r="K281" s="123">
        <f t="shared" si="84"/>
        <v>0</v>
      </c>
      <c r="L281" s="123">
        <f t="shared" si="84"/>
        <v>0</v>
      </c>
      <c r="M281" s="123">
        <f t="shared" si="84"/>
        <v>0</v>
      </c>
      <c r="N281" s="123">
        <f t="shared" si="84"/>
        <v>0</v>
      </c>
      <c r="O281" s="123">
        <f t="shared" si="84"/>
        <v>0</v>
      </c>
      <c r="P281" s="123">
        <f t="shared" si="84"/>
        <v>0</v>
      </c>
      <c r="Q281" s="123">
        <f t="shared" si="84"/>
        <v>0</v>
      </c>
      <c r="R281" s="123">
        <f t="shared" si="84"/>
        <v>0</v>
      </c>
      <c r="S281" s="123">
        <f t="shared" si="84"/>
        <v>0</v>
      </c>
      <c r="T281" s="123">
        <f t="shared" si="84"/>
        <v>0</v>
      </c>
      <c r="U281" s="124">
        <f>SUM(G281:M281)</f>
        <v>0</v>
      </c>
      <c r="V281" s="109" t="str">
        <f>IF(ABS(F281-U281)&lt;0.01,"ok","err")</f>
        <v>ok</v>
      </c>
      <c r="W281" s="124"/>
      <c r="X281" s="109"/>
    </row>
    <row r="282" spans="1:24" x14ac:dyDescent="0.25"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4"/>
      <c r="V282" s="109"/>
    </row>
    <row r="283" spans="1:24" x14ac:dyDescent="0.25">
      <c r="A283" s="121" t="s">
        <v>727</v>
      </c>
      <c r="U283" s="124"/>
    </row>
    <row r="284" spans="1:24" x14ac:dyDescent="0.25">
      <c r="U284" s="124"/>
    </row>
    <row r="285" spans="1:24" x14ac:dyDescent="0.25">
      <c r="A285" s="110" t="s">
        <v>452</v>
      </c>
      <c r="U285" s="124"/>
    </row>
    <row r="286" spans="1:24" x14ac:dyDescent="0.25">
      <c r="A286" s="122" t="s">
        <v>207</v>
      </c>
      <c r="C286" s="126" t="s">
        <v>724</v>
      </c>
      <c r="D286" s="116" t="s">
        <v>280</v>
      </c>
      <c r="E286" s="116" t="s">
        <v>310</v>
      </c>
      <c r="F286" s="123">
        <f>VLOOKUP(C286,'WSS-33'!$C$1:$AR$730,5,)</f>
        <v>0</v>
      </c>
      <c r="G286" s="123">
        <f t="shared" ref="G286:J287" si="85">(VLOOKUP($E286,$D$6:$AI$674,G$2,)/VLOOKUP($E286,$D$6:$AI$674,3,))*$F286</f>
        <v>0</v>
      </c>
      <c r="H286" s="123">
        <f t="shared" si="85"/>
        <v>0</v>
      </c>
      <c r="I286" s="123">
        <f t="shared" si="85"/>
        <v>0</v>
      </c>
      <c r="J286" s="123">
        <f t="shared" si="85"/>
        <v>0</v>
      </c>
      <c r="K286" s="123">
        <f>(VLOOKUP($E286,$D$6:$AI$674,8,)/VLOOKUP($E286,$D$6:$AI$674,3,))*$F286</f>
        <v>0</v>
      </c>
      <c r="L286" s="123">
        <f>(VLOOKUP($E286,$D$6:$AI$674,L$2,)/VLOOKUP($E286,$D$6:$AI$674,3,))*$F286</f>
        <v>0</v>
      </c>
      <c r="M286" s="123">
        <f>(VLOOKUP($E286,$D$6:$AI$674,M$2,)/VLOOKUP($E286,$D$6:$AI$674,3,))*$F286</f>
        <v>0</v>
      </c>
      <c r="N286" s="123">
        <f>(VLOOKUP($E286,$D$6:$AI$674,11,)/VLOOKUP($E286,$D$6:$AI$674,3,))*$F286</f>
        <v>0</v>
      </c>
      <c r="O286" s="123">
        <f t="shared" ref="O286:Q287" si="86">(VLOOKUP($E286,$D$6:$AI$674,O$2,)/VLOOKUP($E286,$D$6:$AI$674,3,))*$F286</f>
        <v>0</v>
      </c>
      <c r="P286" s="123">
        <f t="shared" si="86"/>
        <v>0</v>
      </c>
      <c r="Q286" s="123">
        <f t="shared" si="86"/>
        <v>0</v>
      </c>
      <c r="R286" s="123">
        <f>(VLOOKUP($E286,$D$6:$AI$674,15,)/VLOOKUP($E286,$D$6:$AI$674,3,))*$F286</f>
        <v>0</v>
      </c>
      <c r="S286" s="123">
        <f>(VLOOKUP($E286,$D$6:$AI$674,16,)/VLOOKUP($E286,$D$6:$AI$674,3,))*$F286</f>
        <v>0</v>
      </c>
      <c r="T286" s="123">
        <f>(VLOOKUP($E286,$D$6:$AI$674,17,)/VLOOKUP($E286,$D$6:$AI$674,3,))*$F286</f>
        <v>0</v>
      </c>
      <c r="U286" s="124">
        <f>SUM(G286:M286)</f>
        <v>0</v>
      </c>
      <c r="V286" s="109" t="str">
        <f>IF(ABS(F286-U286)&lt;0.01,"ok","err")</f>
        <v>ok</v>
      </c>
    </row>
    <row r="287" spans="1:24" x14ac:dyDescent="0.25">
      <c r="A287" s="122" t="s">
        <v>226</v>
      </c>
      <c r="C287" s="126" t="s">
        <v>724</v>
      </c>
      <c r="D287" s="116" t="s">
        <v>268</v>
      </c>
      <c r="E287" s="116" t="s">
        <v>311</v>
      </c>
      <c r="F287" s="7">
        <f>VLOOKUP(C287,'WSS-33'!$C$1:$AR$730,6,)</f>
        <v>0</v>
      </c>
      <c r="G287" s="7">
        <f t="shared" si="85"/>
        <v>0</v>
      </c>
      <c r="H287" s="7">
        <f t="shared" si="85"/>
        <v>0</v>
      </c>
      <c r="I287" s="7">
        <f t="shared" si="85"/>
        <v>0</v>
      </c>
      <c r="J287" s="7">
        <f t="shared" si="85"/>
        <v>0</v>
      </c>
      <c r="K287" s="7">
        <f>(VLOOKUP($E287,$D$6:$AI$674,8,)/VLOOKUP($E287,$D$6:$AI$674,3,))*$F287</f>
        <v>0</v>
      </c>
      <c r="L287" s="7">
        <f>(VLOOKUP($E287,$D$6:$AI$674,L$2,)/VLOOKUP($E287,$D$6:$AI$674,3,))*$F287</f>
        <v>0</v>
      </c>
      <c r="M287" s="7">
        <f>(VLOOKUP($E287,$D$6:$AI$674,M$2,)/VLOOKUP($E287,$D$6:$AI$674,3,))*$F287</f>
        <v>0</v>
      </c>
      <c r="N287" s="7">
        <f>(VLOOKUP($E287,$D$6:$AI$674,11,)/VLOOKUP($E287,$D$6:$AI$674,3,))*$F287</f>
        <v>0</v>
      </c>
      <c r="O287" s="7">
        <f t="shared" si="86"/>
        <v>0</v>
      </c>
      <c r="P287" s="7">
        <f t="shared" si="86"/>
        <v>0</v>
      </c>
      <c r="Q287" s="7">
        <f t="shared" si="86"/>
        <v>0</v>
      </c>
      <c r="R287" s="7">
        <f>(VLOOKUP($E287,$D$6:$AI$674,15,)/VLOOKUP($E287,$D$6:$AI$674,3,))*$F287</f>
        <v>0</v>
      </c>
      <c r="S287" s="7">
        <f>(VLOOKUP($E287,$D$6:$AI$674,16,)/VLOOKUP($E287,$D$6:$AI$674,3,))*$F287</f>
        <v>0</v>
      </c>
      <c r="T287" s="7">
        <f>(VLOOKUP($E287,$D$6:$AI$674,17,)/VLOOKUP($E287,$D$6:$AI$674,3,))*$F287</f>
        <v>0</v>
      </c>
      <c r="U287" s="124">
        <f>SUM(G287:M287)</f>
        <v>0</v>
      </c>
      <c r="V287" s="109" t="str">
        <f>IF(ABS(F287-U287)&lt;0.01,"ok","err")</f>
        <v>ok</v>
      </c>
    </row>
    <row r="288" spans="1:24" x14ac:dyDescent="0.25">
      <c r="A288" s="116" t="s">
        <v>654</v>
      </c>
      <c r="D288" s="116" t="s">
        <v>335</v>
      </c>
      <c r="F288" s="123">
        <f t="shared" ref="F288:T288" si="87">F286+F287</f>
        <v>0</v>
      </c>
      <c r="G288" s="123">
        <f t="shared" si="87"/>
        <v>0</v>
      </c>
      <c r="H288" s="123">
        <f t="shared" si="87"/>
        <v>0</v>
      </c>
      <c r="I288" s="123">
        <f t="shared" si="87"/>
        <v>0</v>
      </c>
      <c r="J288" s="123">
        <f t="shared" si="87"/>
        <v>0</v>
      </c>
      <c r="K288" s="123">
        <f t="shared" si="87"/>
        <v>0</v>
      </c>
      <c r="L288" s="123">
        <f t="shared" si="87"/>
        <v>0</v>
      </c>
      <c r="M288" s="123">
        <f t="shared" si="87"/>
        <v>0</v>
      </c>
      <c r="N288" s="123">
        <f t="shared" si="87"/>
        <v>0</v>
      </c>
      <c r="O288" s="123">
        <f t="shared" si="87"/>
        <v>0</v>
      </c>
      <c r="P288" s="123">
        <f t="shared" si="87"/>
        <v>0</v>
      </c>
      <c r="Q288" s="123">
        <f t="shared" si="87"/>
        <v>0</v>
      </c>
      <c r="R288" s="123">
        <f t="shared" si="87"/>
        <v>0</v>
      </c>
      <c r="S288" s="123">
        <f t="shared" si="87"/>
        <v>0</v>
      </c>
      <c r="T288" s="123">
        <f t="shared" si="87"/>
        <v>0</v>
      </c>
      <c r="U288" s="124">
        <f>SUM(G288:M288)</f>
        <v>0</v>
      </c>
      <c r="V288" s="109" t="str">
        <f>IF(ABS(F288-U288)&lt;0.01,"ok","err")</f>
        <v>ok</v>
      </c>
    </row>
    <row r="289" spans="1:22" x14ac:dyDescent="0.25">
      <c r="F289" s="7"/>
      <c r="G289" s="7"/>
      <c r="U289" s="124"/>
    </row>
    <row r="290" spans="1:22" x14ac:dyDescent="0.25">
      <c r="A290" s="110" t="s">
        <v>3</v>
      </c>
      <c r="F290" s="7"/>
      <c r="G290" s="7"/>
      <c r="U290" s="124"/>
    </row>
    <row r="291" spans="1:22" x14ac:dyDescent="0.25">
      <c r="A291" s="122" t="s">
        <v>207</v>
      </c>
      <c r="C291" s="126" t="s">
        <v>724</v>
      </c>
      <c r="D291" s="116" t="s">
        <v>269</v>
      </c>
      <c r="E291" s="116" t="s">
        <v>312</v>
      </c>
      <c r="F291" s="123">
        <f>VLOOKUP(C291,'WSS-33'!$C$1:$AR$730,7,)</f>
        <v>0</v>
      </c>
      <c r="G291" s="123">
        <f t="shared" ref="G291:J292" si="88">(VLOOKUP($E291,$D$6:$AI$674,G$2,)/VLOOKUP($E291,$D$6:$AI$674,3,))*$F291</f>
        <v>0</v>
      </c>
      <c r="H291" s="123">
        <f t="shared" si="88"/>
        <v>0</v>
      </c>
      <c r="I291" s="123">
        <f t="shared" si="88"/>
        <v>0</v>
      </c>
      <c r="J291" s="123">
        <f t="shared" si="88"/>
        <v>0</v>
      </c>
      <c r="K291" s="123">
        <f>(VLOOKUP($E291,$D$6:$AI$674,8,)/VLOOKUP($E291,$D$6:$AI$674,3,))*$F291</f>
        <v>0</v>
      </c>
      <c r="L291" s="123">
        <f>(VLOOKUP($E291,$D$6:$AI$674,L$2,)/VLOOKUP($E291,$D$6:$AI$674,3,))*$F291</f>
        <v>0</v>
      </c>
      <c r="M291" s="123">
        <f>(VLOOKUP($E291,$D$6:$AI$674,M$2,)/VLOOKUP($E291,$D$6:$AI$674,3,))*$F291</f>
        <v>0</v>
      </c>
      <c r="N291" s="123">
        <f>(VLOOKUP($E291,$D$6:$AI$674,11,)/VLOOKUP($E291,$D$6:$AI$674,3,))*$F291</f>
        <v>0</v>
      </c>
      <c r="O291" s="123">
        <f t="shared" ref="O291:Q292" si="89">(VLOOKUP($E291,$D$6:$AI$674,O$2,)/VLOOKUP($E291,$D$6:$AI$674,3,))*$F291</f>
        <v>0</v>
      </c>
      <c r="P291" s="123">
        <f t="shared" si="89"/>
        <v>0</v>
      </c>
      <c r="Q291" s="123">
        <f t="shared" si="89"/>
        <v>0</v>
      </c>
      <c r="R291" s="123">
        <f>(VLOOKUP($E291,$D$6:$AI$674,15,)/VLOOKUP($E291,$D$6:$AI$674,3,))*$F291</f>
        <v>0</v>
      </c>
      <c r="S291" s="123">
        <f>(VLOOKUP($E291,$D$6:$AI$674,16,)/VLOOKUP($E291,$D$6:$AI$674,3,))*$F291</f>
        <v>0</v>
      </c>
      <c r="T291" s="123">
        <f>(VLOOKUP($E291,$D$6:$AI$674,17,)/VLOOKUP($E291,$D$6:$AI$674,3,))*$F291</f>
        <v>0</v>
      </c>
      <c r="U291" s="124">
        <f>SUM(G291:M291)</f>
        <v>0</v>
      </c>
      <c r="V291" s="109" t="str">
        <f>IF(ABS(F291-U291)&lt;0.01,"ok","err")</f>
        <v>ok</v>
      </c>
    </row>
    <row r="292" spans="1:22" x14ac:dyDescent="0.25">
      <c r="A292" s="116" t="s">
        <v>226</v>
      </c>
      <c r="C292" s="126" t="s">
        <v>724</v>
      </c>
      <c r="D292" s="116" t="s">
        <v>270</v>
      </c>
      <c r="E292" s="116" t="s">
        <v>313</v>
      </c>
      <c r="F292" s="7">
        <f>VLOOKUP(C292,'WSS-33'!$C$1:$AR$730,8,)</f>
        <v>0</v>
      </c>
      <c r="G292" s="7">
        <f t="shared" si="88"/>
        <v>0</v>
      </c>
      <c r="H292" s="7">
        <f t="shared" si="88"/>
        <v>0</v>
      </c>
      <c r="I292" s="7">
        <f t="shared" si="88"/>
        <v>0</v>
      </c>
      <c r="J292" s="7">
        <f t="shared" si="88"/>
        <v>0</v>
      </c>
      <c r="K292" s="7">
        <f>(VLOOKUP($E292,$D$6:$AI$674,8,)/VLOOKUP($E292,$D$6:$AI$674,3,))*$F292</f>
        <v>0</v>
      </c>
      <c r="L292" s="7">
        <f>(VLOOKUP($E292,$D$6:$AI$674,L$2,)/VLOOKUP($E292,$D$6:$AI$674,3,))*$F292</f>
        <v>0</v>
      </c>
      <c r="M292" s="7">
        <f>(VLOOKUP($E292,$D$6:$AI$674,M$2,)/VLOOKUP($E292,$D$6:$AI$674,3,))*$F292</f>
        <v>0</v>
      </c>
      <c r="N292" s="7">
        <f>(VLOOKUP($E292,$D$6:$AI$674,11,)/VLOOKUP($E292,$D$6:$AI$674,3,))*$F292</f>
        <v>0</v>
      </c>
      <c r="O292" s="7">
        <f t="shared" si="89"/>
        <v>0</v>
      </c>
      <c r="P292" s="7">
        <f t="shared" si="89"/>
        <v>0</v>
      </c>
      <c r="Q292" s="7">
        <f t="shared" si="89"/>
        <v>0</v>
      </c>
      <c r="R292" s="7">
        <f>(VLOOKUP($E292,$D$6:$AI$674,15,)/VLOOKUP($E292,$D$6:$AI$674,3,))*$F292</f>
        <v>0</v>
      </c>
      <c r="S292" s="7">
        <f>(VLOOKUP($E292,$D$6:$AI$674,16,)/VLOOKUP($E292,$D$6:$AI$674,3,))*$F292</f>
        <v>0</v>
      </c>
      <c r="T292" s="7">
        <f>(VLOOKUP($E292,$D$6:$AI$674,17,)/VLOOKUP($E292,$D$6:$AI$674,3,))*$F292</f>
        <v>0</v>
      </c>
      <c r="U292" s="124">
        <f>SUM(G292:M292)</f>
        <v>0</v>
      </c>
      <c r="V292" s="109" t="str">
        <f>IF(ABS(F292-U292)&lt;0.01,"ok","err")</f>
        <v>ok</v>
      </c>
    </row>
    <row r="293" spans="1:22" x14ac:dyDescent="0.25">
      <c r="A293" s="116" t="s">
        <v>227</v>
      </c>
      <c r="D293" s="116" t="s">
        <v>336</v>
      </c>
      <c r="F293" s="123">
        <f>SUM(F291:F292)</f>
        <v>0</v>
      </c>
      <c r="G293" s="123">
        <f t="shared" ref="G293:T293" si="90">G291+G292</f>
        <v>0</v>
      </c>
      <c r="H293" s="123">
        <f t="shared" si="90"/>
        <v>0</v>
      </c>
      <c r="I293" s="123">
        <f t="shared" si="90"/>
        <v>0</v>
      </c>
      <c r="J293" s="123">
        <f t="shared" si="90"/>
        <v>0</v>
      </c>
      <c r="K293" s="123">
        <f t="shared" si="90"/>
        <v>0</v>
      </c>
      <c r="L293" s="123">
        <f t="shared" si="90"/>
        <v>0</v>
      </c>
      <c r="M293" s="123">
        <f t="shared" si="90"/>
        <v>0</v>
      </c>
      <c r="N293" s="123">
        <f t="shared" si="90"/>
        <v>0</v>
      </c>
      <c r="O293" s="123">
        <f t="shared" si="90"/>
        <v>0</v>
      </c>
      <c r="P293" s="123">
        <f t="shared" si="90"/>
        <v>0</v>
      </c>
      <c r="Q293" s="123">
        <f t="shared" si="90"/>
        <v>0</v>
      </c>
      <c r="R293" s="123">
        <f t="shared" si="90"/>
        <v>0</v>
      </c>
      <c r="S293" s="123">
        <f t="shared" si="90"/>
        <v>0</v>
      </c>
      <c r="T293" s="123">
        <f t="shared" si="90"/>
        <v>0</v>
      </c>
      <c r="U293" s="124">
        <f>SUM(G293:M293)</f>
        <v>0</v>
      </c>
      <c r="V293" s="109" t="str">
        <f>IF(ABS(F293-U293)&lt;0.01,"ok","err")</f>
        <v>ok</v>
      </c>
    </row>
    <row r="294" spans="1:22" x14ac:dyDescent="0.25">
      <c r="F294" s="7"/>
      <c r="G294" s="7"/>
      <c r="U294" s="124"/>
    </row>
    <row r="295" spans="1:22" x14ac:dyDescent="0.25">
      <c r="A295" s="110" t="s">
        <v>4</v>
      </c>
      <c r="F295" s="7"/>
      <c r="G295" s="7"/>
      <c r="U295" s="124"/>
    </row>
    <row r="296" spans="1:22" x14ac:dyDescent="0.25">
      <c r="A296" s="122" t="s">
        <v>854</v>
      </c>
      <c r="C296" s="126" t="s">
        <v>724</v>
      </c>
      <c r="D296" s="116" t="s">
        <v>271</v>
      </c>
      <c r="E296" s="116" t="s">
        <v>317</v>
      </c>
      <c r="F296" s="123">
        <f>VLOOKUP(C296,'WSS-33'!$C$1:$AR$730,9,)</f>
        <v>0</v>
      </c>
      <c r="G296" s="123">
        <f t="shared" ref="G296:J297" si="91">(VLOOKUP($E296,$D$6:$AI$674,G$2,)/VLOOKUP($E296,$D$6:$AI$674,3,))*$F296</f>
        <v>0</v>
      </c>
      <c r="H296" s="123">
        <f t="shared" si="91"/>
        <v>0</v>
      </c>
      <c r="I296" s="123">
        <f t="shared" si="91"/>
        <v>0</v>
      </c>
      <c r="J296" s="123">
        <f t="shared" si="91"/>
        <v>0</v>
      </c>
      <c r="K296" s="123">
        <f>(VLOOKUP($E296,$D$6:$AI$674,8,)/VLOOKUP($E296,$D$6:$AI$674,3,))*$F296</f>
        <v>0</v>
      </c>
      <c r="L296" s="123">
        <f>(VLOOKUP($E296,$D$6:$AI$674,L$2,)/VLOOKUP($E296,$D$6:$AI$674,3,))*$F296</f>
        <v>0</v>
      </c>
      <c r="M296" s="123">
        <f>(VLOOKUP($E296,$D$6:$AI$674,M$2,)/VLOOKUP($E296,$D$6:$AI$674,3,))*$F296</f>
        <v>0</v>
      </c>
      <c r="N296" s="123">
        <f>(VLOOKUP($E296,$D$6:$AI$674,11,)/VLOOKUP($E296,$D$6:$AI$674,3,))*$F296</f>
        <v>0</v>
      </c>
      <c r="O296" s="123">
        <f t="shared" ref="O296:Q297" si="92">(VLOOKUP($E296,$D$6:$AI$674,O$2,)/VLOOKUP($E296,$D$6:$AI$674,3,))*$F296</f>
        <v>0</v>
      </c>
      <c r="P296" s="123">
        <f t="shared" si="92"/>
        <v>0</v>
      </c>
      <c r="Q296" s="123">
        <f t="shared" si="92"/>
        <v>0</v>
      </c>
      <c r="R296" s="123">
        <f>(VLOOKUP($E296,$D$6:$AI$674,15,)/VLOOKUP($E296,$D$6:$AI$674,3,))*$F296</f>
        <v>0</v>
      </c>
      <c r="S296" s="123">
        <f>(VLOOKUP($E296,$D$6:$AI$674,16,)/VLOOKUP($E296,$D$6:$AI$674,3,))*$F296</f>
        <v>0</v>
      </c>
      <c r="T296" s="123">
        <f>(VLOOKUP($E296,$D$6:$AI$674,17,)/VLOOKUP($E296,$D$6:$AI$674,3,))*$F296</f>
        <v>0</v>
      </c>
      <c r="U296" s="124">
        <f>SUM(G296:M296)</f>
        <v>0</v>
      </c>
      <c r="V296" s="109" t="str">
        <f>IF(ABS(F296-U296)&lt;0.01,"ok","err")</f>
        <v>ok</v>
      </c>
    </row>
    <row r="297" spans="1:22" x14ac:dyDescent="0.25">
      <c r="A297" s="116" t="s">
        <v>850</v>
      </c>
      <c r="C297" s="126" t="s">
        <v>724</v>
      </c>
      <c r="D297" s="116" t="s">
        <v>272</v>
      </c>
      <c r="E297" s="116" t="s">
        <v>314</v>
      </c>
      <c r="F297" s="7">
        <f>VLOOKUP(C297,'WSS-33'!$C$1:$AR$730,10,)</f>
        <v>0</v>
      </c>
      <c r="G297" s="7">
        <f t="shared" si="91"/>
        <v>0</v>
      </c>
      <c r="H297" s="7">
        <f t="shared" si="91"/>
        <v>0</v>
      </c>
      <c r="I297" s="7">
        <f t="shared" si="91"/>
        <v>0</v>
      </c>
      <c r="J297" s="7">
        <f t="shared" si="91"/>
        <v>0</v>
      </c>
      <c r="K297" s="7">
        <f>(VLOOKUP($E297,$D$6:$AI$674,8,)/VLOOKUP($E297,$D$6:$AI$674,3,))*$F297</f>
        <v>0</v>
      </c>
      <c r="L297" s="7">
        <f>(VLOOKUP($E297,$D$6:$AI$674,L$2,)/VLOOKUP($E297,$D$6:$AI$674,3,))*$F297</f>
        <v>0</v>
      </c>
      <c r="M297" s="7">
        <f>(VLOOKUP($E297,$D$6:$AI$674,M$2,)/VLOOKUP($E297,$D$6:$AI$674,3,))*$F297</f>
        <v>0</v>
      </c>
      <c r="N297" s="7">
        <f>(VLOOKUP($E297,$D$6:$AI$674,11,)/VLOOKUP($E297,$D$6:$AI$674,3,))*$F297</f>
        <v>0</v>
      </c>
      <c r="O297" s="7">
        <f t="shared" si="92"/>
        <v>0</v>
      </c>
      <c r="P297" s="7">
        <f t="shared" si="92"/>
        <v>0</v>
      </c>
      <c r="Q297" s="7">
        <f t="shared" si="92"/>
        <v>0</v>
      </c>
      <c r="R297" s="7">
        <f>(VLOOKUP($E297,$D$6:$AI$674,15,)/VLOOKUP($E297,$D$6:$AI$674,3,))*$F297</f>
        <v>0</v>
      </c>
      <c r="S297" s="7">
        <f>(VLOOKUP($E297,$D$6:$AI$674,16,)/VLOOKUP($E297,$D$6:$AI$674,3,))*$F297</f>
        <v>0</v>
      </c>
      <c r="T297" s="7">
        <f>(VLOOKUP($E297,$D$6:$AI$674,17,)/VLOOKUP($E297,$D$6:$AI$674,3,))*$F297</f>
        <v>0</v>
      </c>
      <c r="U297" s="124">
        <f>SUM(G297:M297)</f>
        <v>0</v>
      </c>
      <c r="V297" s="109" t="str">
        <f>IF(ABS(F297-U297)&lt;0.01,"ok","err")</f>
        <v>ok</v>
      </c>
    </row>
    <row r="298" spans="1:22" x14ac:dyDescent="0.25">
      <c r="A298" s="116" t="s">
        <v>228</v>
      </c>
      <c r="D298" s="116" t="s">
        <v>337</v>
      </c>
      <c r="F298" s="123">
        <f>SUM(F296:F297)</f>
        <v>0</v>
      </c>
      <c r="G298" s="123">
        <f t="shared" ref="G298:T298" si="93">G296+G297</f>
        <v>0</v>
      </c>
      <c r="H298" s="123">
        <f t="shared" si="93"/>
        <v>0</v>
      </c>
      <c r="I298" s="123">
        <f t="shared" si="93"/>
        <v>0</v>
      </c>
      <c r="J298" s="123">
        <f t="shared" si="93"/>
        <v>0</v>
      </c>
      <c r="K298" s="123">
        <f t="shared" si="93"/>
        <v>0</v>
      </c>
      <c r="L298" s="123">
        <f t="shared" si="93"/>
        <v>0</v>
      </c>
      <c r="M298" s="123">
        <f t="shared" si="93"/>
        <v>0</v>
      </c>
      <c r="N298" s="123">
        <f t="shared" si="93"/>
        <v>0</v>
      </c>
      <c r="O298" s="123">
        <f t="shared" si="93"/>
        <v>0</v>
      </c>
      <c r="P298" s="123">
        <f t="shared" si="93"/>
        <v>0</v>
      </c>
      <c r="Q298" s="123">
        <f t="shared" si="93"/>
        <v>0</v>
      </c>
      <c r="R298" s="123">
        <f t="shared" si="93"/>
        <v>0</v>
      </c>
      <c r="S298" s="123">
        <f t="shared" si="93"/>
        <v>0</v>
      </c>
      <c r="T298" s="123">
        <f t="shared" si="93"/>
        <v>0</v>
      </c>
      <c r="U298" s="124">
        <f>SUM(G298:M298)</f>
        <v>0</v>
      </c>
      <c r="V298" s="109" t="str">
        <f>IF(ABS(F298-U298)&lt;0.01,"ok","err")</f>
        <v>ok</v>
      </c>
    </row>
    <row r="299" spans="1:22" x14ac:dyDescent="0.25">
      <c r="F299" s="7"/>
      <c r="U299" s="124"/>
    </row>
    <row r="300" spans="1:22" x14ac:dyDescent="0.25">
      <c r="A300" s="110" t="s">
        <v>6</v>
      </c>
      <c r="F300" s="7"/>
      <c r="U300" s="124"/>
    </row>
    <row r="301" spans="1:22" x14ac:dyDescent="0.25">
      <c r="A301" s="116" t="s">
        <v>226</v>
      </c>
      <c r="C301" s="126" t="s">
        <v>724</v>
      </c>
      <c r="D301" s="116" t="s">
        <v>273</v>
      </c>
      <c r="E301" s="116" t="s">
        <v>316</v>
      </c>
      <c r="F301" s="123">
        <f>VLOOKUP(C301,'WSS-33'!$C$1:$AR$730,11,)</f>
        <v>0</v>
      </c>
      <c r="G301" s="123">
        <f>(VLOOKUP($E301,$D$6:$AI$674,G$2,)/VLOOKUP($E301,$D$6:$AI$674,3,))*$F301</f>
        <v>0</v>
      </c>
      <c r="H301" s="123">
        <f>(VLOOKUP($E301,$D$6:$AI$674,H$2,)/VLOOKUP($E301,$D$6:$AI$674,3,))*$F301</f>
        <v>0</v>
      </c>
      <c r="I301" s="123">
        <f>(VLOOKUP($E301,$D$6:$AI$674,I$2,)/VLOOKUP($E301,$D$6:$AI$674,3,))*$F301</f>
        <v>0</v>
      </c>
      <c r="J301" s="123">
        <f>(VLOOKUP($E301,$D$6:$AI$674,J$2,)/VLOOKUP($E301,$D$6:$AI$674,3,))*$F301</f>
        <v>0</v>
      </c>
      <c r="K301" s="123">
        <f>(VLOOKUP($E301,$D$6:$AI$674,8,)/VLOOKUP($E301,$D$6:$AI$674,3,))*$F301</f>
        <v>0</v>
      </c>
      <c r="L301" s="123">
        <f>(VLOOKUP($E301,$D$6:$AI$674,L$2,)/VLOOKUP($E301,$D$6:$AI$674,3,))*$F301</f>
        <v>0</v>
      </c>
      <c r="M301" s="123">
        <f>(VLOOKUP($E301,$D$6:$AI$674,M$2,)/VLOOKUP($E301,$D$6:$AI$674,3,))*$F301</f>
        <v>0</v>
      </c>
      <c r="N301" s="123">
        <f>(VLOOKUP($E301,$D$6:$AI$674,11,)/VLOOKUP($E301,$D$6:$AI$674,3,))*$F301</f>
        <v>0</v>
      </c>
      <c r="O301" s="123">
        <f>(VLOOKUP($E301,$D$6:$AI$674,O$2,)/VLOOKUP($E301,$D$6:$AI$674,3,))*$F301</f>
        <v>0</v>
      </c>
      <c r="P301" s="123">
        <f>(VLOOKUP($E301,$D$6:$AI$674,P$2,)/VLOOKUP($E301,$D$6:$AI$674,3,))*$F301</f>
        <v>0</v>
      </c>
      <c r="Q301" s="123">
        <f>(VLOOKUP($E301,$D$6:$AI$674,Q$2,)/VLOOKUP($E301,$D$6:$AI$674,3,))*$F301</f>
        <v>0</v>
      </c>
      <c r="R301" s="123">
        <f>(VLOOKUP($E301,$D$6:$AI$674,15,)/VLOOKUP($E301,$D$6:$AI$674,3,))*$F301</f>
        <v>0</v>
      </c>
      <c r="S301" s="123">
        <f>(VLOOKUP($E301,$D$6:$AI$674,16,)/VLOOKUP($E301,$D$6:$AI$674,3,))*$F301</f>
        <v>0</v>
      </c>
      <c r="T301" s="123">
        <f>(VLOOKUP($E301,$D$6:$AI$674,17,)/VLOOKUP($E301,$D$6:$AI$674,3,))*$F301</f>
        <v>0</v>
      </c>
      <c r="U301" s="124">
        <f>SUM(G301:M301)</f>
        <v>0</v>
      </c>
      <c r="V301" s="109" t="str">
        <f>IF(ABS(F301-U301)&lt;0.01,"ok","err")</f>
        <v>ok</v>
      </c>
    </row>
    <row r="302" spans="1:22" x14ac:dyDescent="0.25">
      <c r="A302" s="122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124"/>
      <c r="V302" s="109"/>
    </row>
    <row r="303" spans="1:22" x14ac:dyDescent="0.25">
      <c r="A303" s="110" t="s">
        <v>7</v>
      </c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124"/>
      <c r="V303" s="109"/>
    </row>
    <row r="304" spans="1:22" x14ac:dyDescent="0.25">
      <c r="A304" s="122" t="s">
        <v>207</v>
      </c>
      <c r="C304" s="126" t="s">
        <v>724</v>
      </c>
      <c r="D304" s="116" t="s">
        <v>274</v>
      </c>
      <c r="E304" s="116" t="s">
        <v>317</v>
      </c>
      <c r="F304" s="123">
        <f>VLOOKUP(C304,'WSS-33'!$C$1:$AR$730,12,)</f>
        <v>0</v>
      </c>
      <c r="G304" s="123">
        <f>(VLOOKUP($E304,$D$6:$AI$674,G$2,)/VLOOKUP($E304,$D$6:$AI$674,3,))*$F304</f>
        <v>0</v>
      </c>
      <c r="H304" s="123">
        <f>(VLOOKUP($E304,$D$6:$AI$674,H$2,)/VLOOKUP($E304,$D$6:$AI$674,3,))*$F304</f>
        <v>0</v>
      </c>
      <c r="I304" s="123">
        <f>(VLOOKUP($E304,$D$6:$AI$674,I$2,)/VLOOKUP($E304,$D$6:$AI$674,3,))*$F304</f>
        <v>0</v>
      </c>
      <c r="J304" s="123">
        <f>(VLOOKUP($E304,$D$6:$AI$674,J$2,)/VLOOKUP($E304,$D$6:$AI$674,3,))*$F304</f>
        <v>0</v>
      </c>
      <c r="K304" s="123">
        <f>(VLOOKUP($E304,$D$6:$AI$674,8,)/VLOOKUP($E304,$D$6:$AI$674,3,))*$F304</f>
        <v>0</v>
      </c>
      <c r="L304" s="123">
        <f>(VLOOKUP($E304,$D$6:$AI$674,L$2,)/VLOOKUP($E304,$D$6:$AI$674,3,))*$F304</f>
        <v>0</v>
      </c>
      <c r="M304" s="123">
        <f>(VLOOKUP($E304,$D$6:$AI$674,M$2,)/VLOOKUP($E304,$D$6:$AI$674,3,))*$F304</f>
        <v>0</v>
      </c>
      <c r="N304" s="123">
        <f>(VLOOKUP($E304,$D$6:$AI$674,11,)/VLOOKUP($E304,$D$6:$AI$674,3,))*$F304</f>
        <v>0</v>
      </c>
      <c r="O304" s="123">
        <f>(VLOOKUP($E304,$D$6:$AI$674,O$2,)/VLOOKUP($E304,$D$6:$AI$674,3,))*$F304</f>
        <v>0</v>
      </c>
      <c r="P304" s="123">
        <f>(VLOOKUP($E304,$D$6:$AI$674,P$2,)/VLOOKUP($E304,$D$6:$AI$674,3,))*$F304</f>
        <v>0</v>
      </c>
      <c r="Q304" s="123">
        <f>(VLOOKUP($E304,$D$6:$AI$674,Q$2,)/VLOOKUP($E304,$D$6:$AI$674,3,))*$F304</f>
        <v>0</v>
      </c>
      <c r="R304" s="123">
        <f>(VLOOKUP($E304,$D$6:$AI$674,15,)/VLOOKUP($E304,$D$6:$AI$674,3,))*$F304</f>
        <v>0</v>
      </c>
      <c r="S304" s="123">
        <f>(VLOOKUP($E304,$D$6:$AI$674,16,)/VLOOKUP($E304,$D$6:$AI$674,3,))*$F304</f>
        <v>0</v>
      </c>
      <c r="T304" s="123">
        <f>(VLOOKUP($E304,$D$6:$AI$674,17,)/VLOOKUP($E304,$D$6:$AI$674,3,))*$F304</f>
        <v>0</v>
      </c>
      <c r="U304" s="124">
        <f>SUM(G304:M304)</f>
        <v>0</v>
      </c>
      <c r="V304" s="109" t="str">
        <f>IF(ABS(F304-U304)&lt;0.01,"ok","err")</f>
        <v>ok</v>
      </c>
    </row>
    <row r="305" spans="1:23" x14ac:dyDescent="0.25">
      <c r="F305" s="7"/>
      <c r="U305" s="124"/>
    </row>
    <row r="306" spans="1:23" x14ac:dyDescent="0.25">
      <c r="A306" s="110" t="s">
        <v>8</v>
      </c>
      <c r="F306" s="7"/>
      <c r="U306" s="124"/>
    </row>
    <row r="307" spans="1:23" x14ac:dyDescent="0.25">
      <c r="A307" s="122" t="s">
        <v>676</v>
      </c>
      <c r="C307" s="126" t="s">
        <v>724</v>
      </c>
      <c r="D307" s="116" t="s">
        <v>275</v>
      </c>
      <c r="E307" s="116" t="s">
        <v>680</v>
      </c>
      <c r="F307" s="123">
        <f>VLOOKUP(C307,'WSS-33'!$C$1:$AR$730,13,)</f>
        <v>0</v>
      </c>
      <c r="G307" s="123">
        <f t="shared" ref="G307:J310" si="94">(VLOOKUP($E307,$D$6:$AI$674,G$2,)/VLOOKUP($E307,$D$6:$AI$674,3,))*$F307</f>
        <v>0</v>
      </c>
      <c r="H307" s="123">
        <f t="shared" si="94"/>
        <v>0</v>
      </c>
      <c r="I307" s="123">
        <f t="shared" si="94"/>
        <v>0</v>
      </c>
      <c r="J307" s="123">
        <f t="shared" si="94"/>
        <v>0</v>
      </c>
      <c r="K307" s="123">
        <f>(VLOOKUP($E307,$D$6:$AI$674,8,)/VLOOKUP($E307,$D$6:$AI$674,3,))*$F307</f>
        <v>0</v>
      </c>
      <c r="L307" s="123">
        <f t="shared" ref="L307:M310" si="95">(VLOOKUP($E307,$D$6:$AI$674,L$2,)/VLOOKUP($E307,$D$6:$AI$674,3,))*$F307</f>
        <v>0</v>
      </c>
      <c r="M307" s="123">
        <f t="shared" si="95"/>
        <v>0</v>
      </c>
      <c r="N307" s="123">
        <f>(VLOOKUP($E307,$D$6:$AI$674,11,)/VLOOKUP($E307,$D$6:$AI$674,3,))*$F307</f>
        <v>0</v>
      </c>
      <c r="O307" s="123">
        <f t="shared" ref="O307:Q310" si="96">(VLOOKUP($E307,$D$6:$AI$674,O$2,)/VLOOKUP($E307,$D$6:$AI$674,3,))*$F307</f>
        <v>0</v>
      </c>
      <c r="P307" s="123">
        <f t="shared" si="96"/>
        <v>0</v>
      </c>
      <c r="Q307" s="123">
        <f t="shared" si="96"/>
        <v>0</v>
      </c>
      <c r="R307" s="123">
        <f>(VLOOKUP($E307,$D$6:$AI$674,15,)/VLOOKUP($E307,$D$6:$AI$674,3,))*$F307</f>
        <v>0</v>
      </c>
      <c r="S307" s="123">
        <f>(VLOOKUP($E307,$D$6:$AI$674,16,)/VLOOKUP($E307,$D$6:$AI$674,3,))*$F307</f>
        <v>0</v>
      </c>
      <c r="T307" s="123">
        <f>(VLOOKUP($E307,$D$6:$AI$674,17,)/VLOOKUP($E307,$D$6:$AI$674,3,))*$F307</f>
        <v>0</v>
      </c>
      <c r="U307" s="124">
        <f>SUM(G307:M307)</f>
        <v>0</v>
      </c>
      <c r="V307" s="109" t="str">
        <f>IF(ABS(F307-U307)&lt;0.01,"ok","err")</f>
        <v>ok</v>
      </c>
    </row>
    <row r="308" spans="1:23" x14ac:dyDescent="0.25">
      <c r="A308" s="122" t="s">
        <v>675</v>
      </c>
      <c r="C308" s="126" t="s">
        <v>724</v>
      </c>
      <c r="D308" s="116" t="s">
        <v>276</v>
      </c>
      <c r="E308" s="116" t="s">
        <v>873</v>
      </c>
      <c r="F308" s="7">
        <f>VLOOKUP(C308,'WSS-33'!$C$1:$AR$730,14,)</f>
        <v>0</v>
      </c>
      <c r="G308" s="7">
        <f t="shared" si="94"/>
        <v>0</v>
      </c>
      <c r="H308" s="7">
        <f t="shared" si="94"/>
        <v>0</v>
      </c>
      <c r="I308" s="7">
        <f t="shared" si="94"/>
        <v>0</v>
      </c>
      <c r="J308" s="7">
        <f t="shared" si="94"/>
        <v>0</v>
      </c>
      <c r="K308" s="7">
        <f>(VLOOKUP($E308,$D$6:$AI$674,8,)/VLOOKUP($E308,$D$6:$AI$674,3,))*$F308</f>
        <v>0</v>
      </c>
      <c r="L308" s="7">
        <f t="shared" si="95"/>
        <v>0</v>
      </c>
      <c r="M308" s="7">
        <f t="shared" si="95"/>
        <v>0</v>
      </c>
      <c r="N308" s="7">
        <f>(VLOOKUP($E308,$D$6:$AI$674,11,)/VLOOKUP($E308,$D$6:$AI$674,3,))*$F308</f>
        <v>0</v>
      </c>
      <c r="O308" s="7">
        <f t="shared" si="96"/>
        <v>0</v>
      </c>
      <c r="P308" s="7">
        <f t="shared" si="96"/>
        <v>0</v>
      </c>
      <c r="Q308" s="7">
        <f t="shared" si="96"/>
        <v>0</v>
      </c>
      <c r="R308" s="7">
        <f>(VLOOKUP($E308,$D$6:$AI$674,15,)/VLOOKUP($E308,$D$6:$AI$674,3,))*$F308</f>
        <v>0</v>
      </c>
      <c r="S308" s="7">
        <f>(VLOOKUP($E308,$D$6:$AI$674,16,)/VLOOKUP($E308,$D$6:$AI$674,3,))*$F308</f>
        <v>0</v>
      </c>
      <c r="T308" s="7">
        <f>(VLOOKUP($E308,$D$6:$AI$674,17,)/VLOOKUP($E308,$D$6:$AI$674,3,))*$F308</f>
        <v>0</v>
      </c>
      <c r="U308" s="124">
        <f>SUM(G308:M308)</f>
        <v>0</v>
      </c>
      <c r="V308" s="109" t="str">
        <f>IF(ABS(F308-U308)&lt;0.01,"ok","err")</f>
        <v>ok</v>
      </c>
      <c r="W308" s="125"/>
    </row>
    <row r="309" spans="1:23" x14ac:dyDescent="0.25">
      <c r="A309" s="122" t="s">
        <v>677</v>
      </c>
      <c r="C309" s="126" t="s">
        <v>724</v>
      </c>
      <c r="D309" s="116" t="s">
        <v>275</v>
      </c>
      <c r="E309" s="116" t="s">
        <v>318</v>
      </c>
      <c r="F309" s="7">
        <f>VLOOKUP(C309,'WSS-33'!$C$1:$AR$730,15,)</f>
        <v>0</v>
      </c>
      <c r="G309" s="7">
        <f t="shared" si="94"/>
        <v>0</v>
      </c>
      <c r="H309" s="7">
        <f t="shared" si="94"/>
        <v>0</v>
      </c>
      <c r="I309" s="7">
        <f t="shared" si="94"/>
        <v>0</v>
      </c>
      <c r="J309" s="7">
        <f t="shared" si="94"/>
        <v>0</v>
      </c>
      <c r="K309" s="7">
        <f>(VLOOKUP($E309,$D$6:$AI$674,8,)/VLOOKUP($E309,$D$6:$AI$674,3,))*$F309</f>
        <v>0</v>
      </c>
      <c r="L309" s="7">
        <f t="shared" si="95"/>
        <v>0</v>
      </c>
      <c r="M309" s="7">
        <f t="shared" si="95"/>
        <v>0</v>
      </c>
      <c r="N309" s="7">
        <f>(VLOOKUP($E309,$D$6:$AI$674,11,)/VLOOKUP($E309,$D$6:$AI$674,3,))*$F309</f>
        <v>0</v>
      </c>
      <c r="O309" s="7">
        <f t="shared" si="96"/>
        <v>0</v>
      </c>
      <c r="P309" s="7">
        <f t="shared" si="96"/>
        <v>0</v>
      </c>
      <c r="Q309" s="7">
        <f t="shared" si="96"/>
        <v>0</v>
      </c>
      <c r="R309" s="7"/>
      <c r="S309" s="7"/>
      <c r="T309" s="7"/>
      <c r="U309" s="124"/>
      <c r="V309" s="109"/>
    </row>
    <row r="310" spans="1:23" x14ac:dyDescent="0.25">
      <c r="A310" s="122" t="s">
        <v>674</v>
      </c>
      <c r="C310" s="126" t="s">
        <v>724</v>
      </c>
      <c r="D310" s="116" t="s">
        <v>276</v>
      </c>
      <c r="E310" s="116" t="s">
        <v>872</v>
      </c>
      <c r="F310" s="7">
        <f>VLOOKUP(C310,'WSS-33'!$C$1:$AR$730,16,)</f>
        <v>0</v>
      </c>
      <c r="G310" s="7">
        <f t="shared" si="94"/>
        <v>0</v>
      </c>
      <c r="H310" s="7">
        <f t="shared" si="94"/>
        <v>0</v>
      </c>
      <c r="I310" s="7">
        <f t="shared" si="94"/>
        <v>0</v>
      </c>
      <c r="J310" s="7">
        <f t="shared" si="94"/>
        <v>0</v>
      </c>
      <c r="K310" s="7">
        <f>(VLOOKUP($E310,$D$6:$AI$674,8,)/VLOOKUP($E310,$D$6:$AI$674,3,))*$F310</f>
        <v>0</v>
      </c>
      <c r="L310" s="7">
        <f t="shared" si="95"/>
        <v>0</v>
      </c>
      <c r="M310" s="7">
        <f t="shared" si="95"/>
        <v>0</v>
      </c>
      <c r="N310" s="7">
        <f>(VLOOKUP($E310,$D$6:$AI$674,11,)/VLOOKUP($E310,$D$6:$AI$674,3,))*$F310</f>
        <v>0</v>
      </c>
      <c r="O310" s="7">
        <f t="shared" si="96"/>
        <v>0</v>
      </c>
      <c r="P310" s="7">
        <f t="shared" si="96"/>
        <v>0</v>
      </c>
      <c r="Q310" s="7">
        <f t="shared" si="96"/>
        <v>0</v>
      </c>
      <c r="R310" s="7"/>
      <c r="S310" s="7"/>
      <c r="T310" s="7"/>
      <c r="U310" s="124"/>
      <c r="V310" s="109"/>
    </row>
    <row r="311" spans="1:23" x14ac:dyDescent="0.25">
      <c r="A311" s="116" t="s">
        <v>229</v>
      </c>
      <c r="F311" s="123">
        <f t="shared" ref="F311:Q311" si="97">SUM(F307:F310)</f>
        <v>0</v>
      </c>
      <c r="G311" s="123">
        <f t="shared" si="97"/>
        <v>0</v>
      </c>
      <c r="H311" s="123">
        <f t="shared" si="97"/>
        <v>0</v>
      </c>
      <c r="I311" s="123">
        <f t="shared" si="97"/>
        <v>0</v>
      </c>
      <c r="J311" s="123">
        <f t="shared" si="97"/>
        <v>0</v>
      </c>
      <c r="K311" s="123">
        <f t="shared" si="97"/>
        <v>0</v>
      </c>
      <c r="L311" s="123">
        <f t="shared" si="97"/>
        <v>0</v>
      </c>
      <c r="M311" s="123">
        <f t="shared" si="97"/>
        <v>0</v>
      </c>
      <c r="N311" s="123">
        <f t="shared" si="97"/>
        <v>0</v>
      </c>
      <c r="O311" s="123">
        <f t="shared" si="97"/>
        <v>0</v>
      </c>
      <c r="P311" s="123">
        <f t="shared" si="97"/>
        <v>0</v>
      </c>
      <c r="Q311" s="123">
        <f t="shared" si="97"/>
        <v>0</v>
      </c>
      <c r="R311" s="123">
        <f>R307+R308</f>
        <v>0</v>
      </c>
      <c r="S311" s="123">
        <f>S307+S308</f>
        <v>0</v>
      </c>
      <c r="T311" s="123">
        <f>T307+T308</f>
        <v>0</v>
      </c>
      <c r="U311" s="124">
        <f>SUM(G311:M311)</f>
        <v>0</v>
      </c>
      <c r="V311" s="109" t="str">
        <f>IF(ABS(F311-U311)&lt;0.01,"ok","err")</f>
        <v>ok</v>
      </c>
      <c r="W311" s="125"/>
    </row>
    <row r="312" spans="1:23" x14ac:dyDescent="0.25">
      <c r="F312" s="7"/>
      <c r="U312" s="124"/>
    </row>
    <row r="313" spans="1:23" x14ac:dyDescent="0.25">
      <c r="A313" s="110" t="s">
        <v>10</v>
      </c>
      <c r="F313" s="7"/>
      <c r="U313" s="124"/>
    </row>
    <row r="314" spans="1:23" x14ac:dyDescent="0.25">
      <c r="A314" s="122" t="s">
        <v>208</v>
      </c>
      <c r="C314" s="126" t="s">
        <v>724</v>
      </c>
      <c r="D314" s="116" t="s">
        <v>270</v>
      </c>
      <c r="E314" s="116" t="s">
        <v>319</v>
      </c>
      <c r="F314" s="123">
        <f>VLOOKUP(C314,'WSS-33'!$C$1:$AR$730,17,)</f>
        <v>0</v>
      </c>
      <c r="G314" s="123">
        <f>(VLOOKUP($E314,$D$6:$AI$674,G$2,)/VLOOKUP($E314,$D$6:$AI$674,3,))*$F314</f>
        <v>0</v>
      </c>
      <c r="H314" s="123">
        <f>(VLOOKUP($E314,$D$6:$AI$674,H$2,)/VLOOKUP($E314,$D$6:$AI$674,3,))*$F314</f>
        <v>0</v>
      </c>
      <c r="I314" s="123">
        <f>(VLOOKUP($E314,$D$6:$AI$674,I$2,)/VLOOKUP($E314,$D$6:$AI$674,3,))*$F314</f>
        <v>0</v>
      </c>
      <c r="J314" s="123">
        <f>(VLOOKUP($E314,$D$6:$AI$674,J$2,)/VLOOKUP($E314,$D$6:$AI$674,3,))*$F314</f>
        <v>0</v>
      </c>
      <c r="K314" s="123">
        <f>(VLOOKUP($E314,$D$6:$AI$674,8,)/VLOOKUP($E314,$D$6:$AI$674,3,))*$F314</f>
        <v>0</v>
      </c>
      <c r="L314" s="123">
        <f>(VLOOKUP($E314,$D$6:$AI$674,L$2,)/VLOOKUP($E314,$D$6:$AI$674,3,))*$F314</f>
        <v>0</v>
      </c>
      <c r="M314" s="123">
        <f>(VLOOKUP($E314,$D$6:$AI$674,M$2,)/VLOOKUP($E314,$D$6:$AI$674,3,))*$F314</f>
        <v>0</v>
      </c>
      <c r="N314" s="123">
        <f>(VLOOKUP($E314,$D$6:$AI$674,11,)/VLOOKUP($E314,$D$6:$AI$674,3,))*$F314</f>
        <v>0</v>
      </c>
      <c r="O314" s="123">
        <f>(VLOOKUP($E314,$D$6:$AI$674,O$2,)/VLOOKUP($E314,$D$6:$AI$674,3,))*$F314</f>
        <v>0</v>
      </c>
      <c r="P314" s="123">
        <f>(VLOOKUP($E314,$D$6:$AI$674,P$2,)/VLOOKUP($E314,$D$6:$AI$674,3,))*$F314</f>
        <v>0</v>
      </c>
      <c r="Q314" s="123">
        <f>(VLOOKUP($E314,$D$6:$AI$674,Q$2,)/VLOOKUP($E314,$D$6:$AI$674,3,))*$F314</f>
        <v>0</v>
      </c>
      <c r="R314" s="123">
        <f>(VLOOKUP($E314,$D$6:$AI$674,15,)/VLOOKUP($E314,$D$6:$AI$674,3,))*$F314</f>
        <v>0</v>
      </c>
      <c r="S314" s="123">
        <f>(VLOOKUP($E314,$D$6:$AI$674,16,)/VLOOKUP($E314,$D$6:$AI$674,3,))*$F314</f>
        <v>0</v>
      </c>
      <c r="T314" s="123">
        <f>(VLOOKUP($E314,$D$6:$AI$674,17,)/VLOOKUP($E314,$D$6:$AI$674,3,))*$F314</f>
        <v>0</v>
      </c>
      <c r="U314" s="124">
        <f>SUM(G314:M314)</f>
        <v>0</v>
      </c>
      <c r="V314" s="109" t="str">
        <f>IF(ABS(F314-U314)&lt;0.01,"ok","err")</f>
        <v>ok</v>
      </c>
      <c r="W314" s="125"/>
    </row>
    <row r="315" spans="1:23" x14ac:dyDescent="0.25">
      <c r="F315" s="7"/>
      <c r="U315" s="124"/>
    </row>
    <row r="316" spans="1:23" x14ac:dyDescent="0.25">
      <c r="A316" s="110" t="s">
        <v>11</v>
      </c>
      <c r="F316" s="7"/>
      <c r="U316" s="124"/>
    </row>
    <row r="317" spans="1:23" x14ac:dyDescent="0.25">
      <c r="A317" s="122" t="s">
        <v>208</v>
      </c>
      <c r="C317" s="126" t="s">
        <v>724</v>
      </c>
      <c r="D317" s="116" t="s">
        <v>277</v>
      </c>
      <c r="E317" s="116" t="s">
        <v>320</v>
      </c>
      <c r="F317" s="123">
        <f>VLOOKUP(C317,'WSS-33'!$C$1:$AR$730,18,)</f>
        <v>0</v>
      </c>
      <c r="G317" s="123">
        <f>(VLOOKUP($E317,$D$6:$AI$674,G$2,)/VLOOKUP($E317,$D$6:$AI$674,3,))*$F317</f>
        <v>0</v>
      </c>
      <c r="H317" s="123">
        <f>(VLOOKUP($E317,$D$6:$AI$674,H$2,)/VLOOKUP($E317,$D$6:$AI$674,3,))*$F317</f>
        <v>0</v>
      </c>
      <c r="I317" s="123">
        <f>(VLOOKUP($E317,$D$6:$AI$674,I$2,)/VLOOKUP($E317,$D$6:$AI$674,3,))*$F317</f>
        <v>0</v>
      </c>
      <c r="J317" s="123">
        <f>(VLOOKUP($E317,$D$6:$AI$674,J$2,)/VLOOKUP($E317,$D$6:$AI$674,3,))*$F317</f>
        <v>0</v>
      </c>
      <c r="K317" s="123">
        <f>(VLOOKUP($E317,$D$6:$AI$674,8,)/VLOOKUP($E317,$D$6:$AI$674,3,))*$F317</f>
        <v>0</v>
      </c>
      <c r="L317" s="123">
        <f>(VLOOKUP($E317,$D$6:$AI$674,L$2,)/VLOOKUP($E317,$D$6:$AI$674,3,))*$F317</f>
        <v>0</v>
      </c>
      <c r="M317" s="123">
        <f>(VLOOKUP($E317,$D$6:$AI$674,M$2,)/VLOOKUP($E317,$D$6:$AI$674,3,))*$F317</f>
        <v>0</v>
      </c>
      <c r="N317" s="123">
        <f>(VLOOKUP($E317,$D$6:$AI$674,11,)/VLOOKUP($E317,$D$6:$AI$674,3,))*$F317</f>
        <v>0</v>
      </c>
      <c r="O317" s="123">
        <f>(VLOOKUP($E317,$D$6:$AI$674,O$2,)/VLOOKUP($E317,$D$6:$AI$674,3,))*$F317</f>
        <v>0</v>
      </c>
      <c r="P317" s="123">
        <f>(VLOOKUP($E317,$D$6:$AI$674,P$2,)/VLOOKUP($E317,$D$6:$AI$674,3,))*$F317</f>
        <v>0</v>
      </c>
      <c r="Q317" s="123">
        <f>(VLOOKUP($E317,$D$6:$AI$674,Q$2,)/VLOOKUP($E317,$D$6:$AI$674,3,))*$F317</f>
        <v>0</v>
      </c>
      <c r="R317" s="123">
        <f>(VLOOKUP($E317,$D$6:$AI$674,15,)/VLOOKUP($E317,$D$6:$AI$674,3,))*$F317</f>
        <v>0</v>
      </c>
      <c r="S317" s="123">
        <f>(VLOOKUP($E317,$D$6:$AI$674,16,)/VLOOKUP($E317,$D$6:$AI$674,3,))*$F317</f>
        <v>0</v>
      </c>
      <c r="T317" s="123">
        <f>(VLOOKUP($E317,$D$6:$AI$674,17,)/VLOOKUP($E317,$D$6:$AI$674,3,))*$F317</f>
        <v>0</v>
      </c>
      <c r="U317" s="124">
        <f>SUM(G317:M317)</f>
        <v>0</v>
      </c>
      <c r="V317" s="109" t="str">
        <f>IF(ABS(F317-U317)&lt;0.01,"ok","err")</f>
        <v>ok</v>
      </c>
    </row>
    <row r="318" spans="1:23" x14ac:dyDescent="0.25">
      <c r="F318" s="7"/>
      <c r="U318" s="124"/>
    </row>
    <row r="319" spans="1:23" x14ac:dyDescent="0.25">
      <c r="A319" s="110" t="s">
        <v>12</v>
      </c>
      <c r="F319" s="7"/>
      <c r="U319" s="124"/>
    </row>
    <row r="320" spans="1:23" x14ac:dyDescent="0.25">
      <c r="A320" s="122" t="s">
        <v>208</v>
      </c>
      <c r="C320" s="126" t="s">
        <v>724</v>
      </c>
      <c r="D320" s="116" t="s">
        <v>278</v>
      </c>
      <c r="E320" s="116" t="s">
        <v>874</v>
      </c>
      <c r="F320" s="123">
        <f>VLOOKUP(C320,'WSS-33'!$C$1:$AR$730,19,)</f>
        <v>0</v>
      </c>
      <c r="G320" s="123">
        <f>(VLOOKUP($E320,$D$6:$AI$674,G$2,)/VLOOKUP($E320,$D$6:$AI$674,3,))*$F320</f>
        <v>0</v>
      </c>
      <c r="H320" s="123">
        <f>(VLOOKUP($E320,$D$6:$AI$674,H$2,)/VLOOKUP($E320,$D$6:$AI$674,3,))*$F320</f>
        <v>0</v>
      </c>
      <c r="I320" s="123">
        <f>(VLOOKUP($E320,$D$6:$AI$674,I$2,)/VLOOKUP($E320,$D$6:$AI$674,3,))*$F320</f>
        <v>0</v>
      </c>
      <c r="J320" s="123">
        <f>(VLOOKUP($E320,$D$6:$AI$674,J$2,)/VLOOKUP($E320,$D$6:$AI$674,3,))*$F320</f>
        <v>0</v>
      </c>
      <c r="K320" s="123">
        <f>(VLOOKUP($E320,$D$6:$AI$674,8,)/VLOOKUP($E320,$D$6:$AI$674,3,))*$F320</f>
        <v>0</v>
      </c>
      <c r="L320" s="123">
        <f>(VLOOKUP($E320,$D$6:$AI$674,L$2,)/VLOOKUP($E320,$D$6:$AI$674,3,))*$F320</f>
        <v>0</v>
      </c>
      <c r="M320" s="123">
        <f>(VLOOKUP($E320,$D$6:$AI$674,M$2,)/VLOOKUP($E320,$D$6:$AI$674,3,))*$F320</f>
        <v>0</v>
      </c>
      <c r="N320" s="123">
        <f>(VLOOKUP($E320,$D$6:$AI$674,11,)/VLOOKUP($E320,$D$6:$AI$674,3,))*$F320</f>
        <v>0</v>
      </c>
      <c r="O320" s="123">
        <f>(VLOOKUP($E320,$D$6:$AI$674,O$2,)/VLOOKUP($E320,$D$6:$AI$674,3,))*$F320</f>
        <v>0</v>
      </c>
      <c r="P320" s="123">
        <f>(VLOOKUP($E320,$D$6:$AI$674,P$2,)/VLOOKUP($E320,$D$6:$AI$674,3,))*$F320</f>
        <v>0</v>
      </c>
      <c r="Q320" s="123">
        <f>(VLOOKUP($E320,$D$6:$AI$674,Q$2,)/VLOOKUP($E320,$D$6:$AI$674,3,))*$F320</f>
        <v>0</v>
      </c>
      <c r="R320" s="123">
        <f>(VLOOKUP($E320,$D$6:$AI$674,15,)/VLOOKUP($E320,$D$6:$AI$674,3,))*$F320</f>
        <v>0</v>
      </c>
      <c r="S320" s="123">
        <f>(VLOOKUP($E320,$D$6:$AI$674,16,)/VLOOKUP($E320,$D$6:$AI$674,3,))*$F320</f>
        <v>0</v>
      </c>
      <c r="T320" s="123">
        <f>(VLOOKUP($E320,$D$6:$AI$674,17,)/VLOOKUP($E320,$D$6:$AI$674,3,))*$F320</f>
        <v>0</v>
      </c>
      <c r="U320" s="124">
        <f>SUM(G320:M320)</f>
        <v>0</v>
      </c>
      <c r="V320" s="109" t="str">
        <f>IF(ABS(F320-U320)&lt;0.01,"ok","err")</f>
        <v>ok</v>
      </c>
    </row>
    <row r="321" spans="1:24" x14ac:dyDescent="0.25">
      <c r="F321" s="7"/>
      <c r="U321" s="124"/>
    </row>
    <row r="322" spans="1:24" x14ac:dyDescent="0.25">
      <c r="A322" s="110" t="s">
        <v>13</v>
      </c>
      <c r="F322" s="7"/>
      <c r="U322" s="124"/>
    </row>
    <row r="323" spans="1:24" x14ac:dyDescent="0.25">
      <c r="A323" s="122" t="s">
        <v>208</v>
      </c>
      <c r="C323" s="126" t="s">
        <v>724</v>
      </c>
      <c r="D323" s="116" t="s">
        <v>279</v>
      </c>
      <c r="E323" s="116" t="s">
        <v>875</v>
      </c>
      <c r="F323" s="123">
        <f>VLOOKUP(C323,'WSS-33'!$C$1:$AR$730,20,)</f>
        <v>0</v>
      </c>
      <c r="G323" s="123">
        <f>(VLOOKUP($E323,$D$6:$AI$674,G$2,)/VLOOKUP($E323,$D$6:$AI$674,3,))*$F323</f>
        <v>0</v>
      </c>
      <c r="H323" s="123">
        <f>(VLOOKUP($E323,$D$6:$AI$674,H$2,)/VLOOKUP($E323,$D$6:$AI$674,3,))*$F323</f>
        <v>0</v>
      </c>
      <c r="I323" s="123">
        <f>(VLOOKUP($E323,$D$6:$AI$674,I$2,)/VLOOKUP($E323,$D$6:$AI$674,3,))*$F323</f>
        <v>0</v>
      </c>
      <c r="J323" s="123">
        <f>(VLOOKUP($E323,$D$6:$AI$674,J$2,)/VLOOKUP($E323,$D$6:$AI$674,3,))*$F323</f>
        <v>0</v>
      </c>
      <c r="K323" s="123">
        <f>(VLOOKUP($E323,$D$6:$AI$674,8,)/VLOOKUP($E323,$D$6:$AI$674,3,))*$F323</f>
        <v>0</v>
      </c>
      <c r="L323" s="123">
        <f>(VLOOKUP($E323,$D$6:$AI$674,L$2,)/VLOOKUP($E323,$D$6:$AI$674,3,))*$F323</f>
        <v>0</v>
      </c>
      <c r="M323" s="123">
        <f>(VLOOKUP($E323,$D$6:$AI$674,M$2,)/VLOOKUP($E323,$D$6:$AI$674,3,))*$F323</f>
        <v>0</v>
      </c>
      <c r="N323" s="123">
        <f>(VLOOKUP($E323,$D$6:$AI$674,11,)/VLOOKUP($E323,$D$6:$AI$674,3,))*$F323</f>
        <v>0</v>
      </c>
      <c r="O323" s="123">
        <f>(VLOOKUP($E323,$D$6:$AI$674,O$2,)/VLOOKUP($E323,$D$6:$AI$674,3,))*$F323</f>
        <v>0</v>
      </c>
      <c r="P323" s="123">
        <f>(VLOOKUP($E323,$D$6:$AI$674,P$2,)/VLOOKUP($E323,$D$6:$AI$674,3,))*$F323</f>
        <v>0</v>
      </c>
      <c r="Q323" s="123">
        <f>(VLOOKUP($E323,$D$6:$AI$674,Q$2,)/VLOOKUP($E323,$D$6:$AI$674,3,))*$F323</f>
        <v>0</v>
      </c>
      <c r="R323" s="123">
        <f>(VLOOKUP($E323,$D$6:$AI$674,15,)/VLOOKUP($E323,$D$6:$AI$674,3,))*$F323</f>
        <v>0</v>
      </c>
      <c r="S323" s="123">
        <f>(VLOOKUP($E323,$D$6:$AI$674,16,)/VLOOKUP($E323,$D$6:$AI$674,3,))*$F323</f>
        <v>0</v>
      </c>
      <c r="T323" s="123">
        <f>(VLOOKUP($E323,$D$6:$AI$674,17,)/VLOOKUP($E323,$D$6:$AI$674,3,))*$F323</f>
        <v>0</v>
      </c>
      <c r="U323" s="124">
        <f>SUM(G323:M323)</f>
        <v>0</v>
      </c>
      <c r="V323" s="109" t="str">
        <f>IF(ABS(F323-U323)&lt;0.01,"ok","err")</f>
        <v>ok</v>
      </c>
    </row>
    <row r="324" spans="1:24" x14ac:dyDescent="0.25">
      <c r="F324" s="7"/>
      <c r="U324" s="124"/>
    </row>
    <row r="325" spans="1:24" x14ac:dyDescent="0.25">
      <c r="A325" s="116" t="s">
        <v>14</v>
      </c>
      <c r="D325" s="116" t="s">
        <v>729</v>
      </c>
      <c r="F325" s="123">
        <f t="shared" ref="F325:T325" si="98">F288+F293+F298+F301+F304+F311+F314+F317+F320+F323</f>
        <v>0</v>
      </c>
      <c r="G325" s="123">
        <f t="shared" si="98"/>
        <v>0</v>
      </c>
      <c r="H325" s="123">
        <f t="shared" si="98"/>
        <v>0</v>
      </c>
      <c r="I325" s="123">
        <f t="shared" si="98"/>
        <v>0</v>
      </c>
      <c r="J325" s="123">
        <f t="shared" si="98"/>
        <v>0</v>
      </c>
      <c r="K325" s="123">
        <f t="shared" si="98"/>
        <v>0</v>
      </c>
      <c r="L325" s="123">
        <f t="shared" si="98"/>
        <v>0</v>
      </c>
      <c r="M325" s="123">
        <f t="shared" si="98"/>
        <v>0</v>
      </c>
      <c r="N325" s="123">
        <f t="shared" si="98"/>
        <v>0</v>
      </c>
      <c r="O325" s="123">
        <f t="shared" si="98"/>
        <v>0</v>
      </c>
      <c r="P325" s="123">
        <f t="shared" si="98"/>
        <v>0</v>
      </c>
      <c r="Q325" s="123">
        <f t="shared" si="98"/>
        <v>0</v>
      </c>
      <c r="R325" s="123">
        <f t="shared" si="98"/>
        <v>0</v>
      </c>
      <c r="S325" s="123">
        <f t="shared" si="98"/>
        <v>0</v>
      </c>
      <c r="T325" s="123">
        <f t="shared" si="98"/>
        <v>0</v>
      </c>
      <c r="U325" s="124">
        <f>SUM(G325:M325)</f>
        <v>0</v>
      </c>
      <c r="V325" s="109" t="str">
        <f>IF(ABS(F325-U325)&lt;0.01,"ok","err")</f>
        <v>ok</v>
      </c>
      <c r="W325" s="124"/>
      <c r="X325" s="109"/>
    </row>
    <row r="326" spans="1:24" x14ac:dyDescent="0.25">
      <c r="U326" s="124"/>
    </row>
    <row r="327" spans="1:24" x14ac:dyDescent="0.25">
      <c r="A327" s="121" t="s">
        <v>728</v>
      </c>
      <c r="U327" s="124"/>
    </row>
    <row r="328" spans="1:24" x14ac:dyDescent="0.25">
      <c r="U328" s="124"/>
    </row>
    <row r="329" spans="1:24" x14ac:dyDescent="0.25">
      <c r="A329" s="110" t="s">
        <v>452</v>
      </c>
      <c r="U329" s="124"/>
    </row>
    <row r="330" spans="1:24" x14ac:dyDescent="0.25">
      <c r="A330" s="122" t="s">
        <v>207</v>
      </c>
      <c r="C330" s="126" t="s">
        <v>725</v>
      </c>
      <c r="D330" s="116" t="s">
        <v>280</v>
      </c>
      <c r="E330" s="116" t="s">
        <v>310</v>
      </c>
      <c r="F330" s="123">
        <f>VLOOKUP(C330,'WSS-33'!$C$1:$AR$730,5,)</f>
        <v>0</v>
      </c>
      <c r="G330" s="123">
        <f t="shared" ref="G330:J331" si="99">(VLOOKUP($E330,$D$6:$AI$674,G$2,)/VLOOKUP($E330,$D$6:$AI$674,3,))*$F330</f>
        <v>0</v>
      </c>
      <c r="H330" s="123">
        <f t="shared" si="99"/>
        <v>0</v>
      </c>
      <c r="I330" s="123">
        <f t="shared" si="99"/>
        <v>0</v>
      </c>
      <c r="J330" s="123">
        <f t="shared" si="99"/>
        <v>0</v>
      </c>
      <c r="K330" s="123">
        <f>(VLOOKUP($E330,$D$6:$AI$674,8,)/VLOOKUP($E330,$D$6:$AI$674,3,))*$F330</f>
        <v>0</v>
      </c>
      <c r="L330" s="123">
        <f>(VLOOKUP($E330,$D$6:$AI$674,L$2,)/VLOOKUP($E330,$D$6:$AI$674,3,))*$F330</f>
        <v>0</v>
      </c>
      <c r="M330" s="123">
        <f>(VLOOKUP($E330,$D$6:$AI$674,M$2,)/VLOOKUP($E330,$D$6:$AI$674,3,))*$F330</f>
        <v>0</v>
      </c>
      <c r="N330" s="123">
        <f>(VLOOKUP($E330,$D$6:$AI$674,11,)/VLOOKUP($E330,$D$6:$AI$674,3,))*$F330</f>
        <v>0</v>
      </c>
      <c r="O330" s="123">
        <f t="shared" ref="O330:Q331" si="100">(VLOOKUP($E330,$D$6:$AI$674,O$2,)/VLOOKUP($E330,$D$6:$AI$674,3,))*$F330</f>
        <v>0</v>
      </c>
      <c r="P330" s="123">
        <f t="shared" si="100"/>
        <v>0</v>
      </c>
      <c r="Q330" s="123">
        <f t="shared" si="100"/>
        <v>0</v>
      </c>
      <c r="R330" s="123">
        <f>(VLOOKUP($E330,$D$6:$AI$674,15,)/VLOOKUP($E330,$D$6:$AI$674,3,))*$F330</f>
        <v>0</v>
      </c>
      <c r="S330" s="123">
        <f>(VLOOKUP($E330,$D$6:$AI$674,16,)/VLOOKUP($E330,$D$6:$AI$674,3,))*$F330</f>
        <v>0</v>
      </c>
      <c r="T330" s="123">
        <f>(VLOOKUP($E330,$D$6:$AI$674,17,)/VLOOKUP($E330,$D$6:$AI$674,3,))*$F330</f>
        <v>0</v>
      </c>
      <c r="U330" s="124">
        <f>SUM(G330:M330)</f>
        <v>0</v>
      </c>
      <c r="V330" s="109" t="str">
        <f>IF(ABS(F330-U330)&lt;0.01,"ok","err")</f>
        <v>ok</v>
      </c>
    </row>
    <row r="331" spans="1:24" x14ac:dyDescent="0.25">
      <c r="A331" s="122" t="s">
        <v>226</v>
      </c>
      <c r="C331" s="126" t="s">
        <v>725</v>
      </c>
      <c r="D331" s="116" t="s">
        <v>268</v>
      </c>
      <c r="E331" s="116" t="s">
        <v>311</v>
      </c>
      <c r="F331" s="7">
        <f>VLOOKUP(C331,'WSS-33'!$C$1:$AR$730,6,)</f>
        <v>0</v>
      </c>
      <c r="G331" s="7">
        <f t="shared" si="99"/>
        <v>0</v>
      </c>
      <c r="H331" s="7">
        <f t="shared" si="99"/>
        <v>0</v>
      </c>
      <c r="I331" s="7">
        <f t="shared" si="99"/>
        <v>0</v>
      </c>
      <c r="J331" s="7">
        <f t="shared" si="99"/>
        <v>0</v>
      </c>
      <c r="K331" s="7">
        <f>(VLOOKUP($E331,$D$6:$AI$674,8,)/VLOOKUP($E331,$D$6:$AI$674,3,))*$F331</f>
        <v>0</v>
      </c>
      <c r="L331" s="7">
        <f>(VLOOKUP($E331,$D$6:$AI$674,L$2,)/VLOOKUP($E331,$D$6:$AI$674,3,))*$F331</f>
        <v>0</v>
      </c>
      <c r="M331" s="7">
        <f>(VLOOKUP($E331,$D$6:$AI$674,M$2,)/VLOOKUP($E331,$D$6:$AI$674,3,))*$F331</f>
        <v>0</v>
      </c>
      <c r="N331" s="7">
        <f>(VLOOKUP($E331,$D$6:$AI$674,11,)/VLOOKUP($E331,$D$6:$AI$674,3,))*$F331</f>
        <v>0</v>
      </c>
      <c r="O331" s="7">
        <f t="shared" si="100"/>
        <v>0</v>
      </c>
      <c r="P331" s="7">
        <f t="shared" si="100"/>
        <v>0</v>
      </c>
      <c r="Q331" s="7">
        <f t="shared" si="100"/>
        <v>0</v>
      </c>
      <c r="R331" s="7">
        <f>(VLOOKUP($E331,$D$6:$AI$674,15,)/VLOOKUP($E331,$D$6:$AI$674,3,))*$F331</f>
        <v>0</v>
      </c>
      <c r="S331" s="7">
        <f>(VLOOKUP($E331,$D$6:$AI$674,16,)/VLOOKUP($E331,$D$6:$AI$674,3,))*$F331</f>
        <v>0</v>
      </c>
      <c r="T331" s="7">
        <f>(VLOOKUP($E331,$D$6:$AI$674,17,)/VLOOKUP($E331,$D$6:$AI$674,3,))*$F331</f>
        <v>0</v>
      </c>
      <c r="U331" s="124">
        <f>SUM(G331:M331)</f>
        <v>0</v>
      </c>
      <c r="V331" s="109" t="str">
        <f>IF(ABS(F331-U331)&lt;0.01,"ok","err")</f>
        <v>ok</v>
      </c>
    </row>
    <row r="332" spans="1:24" x14ac:dyDescent="0.25">
      <c r="A332" s="116" t="s">
        <v>654</v>
      </c>
      <c r="D332" s="116" t="s">
        <v>335</v>
      </c>
      <c r="F332" s="123">
        <f t="shared" ref="F332:T332" si="101">F330+F331</f>
        <v>0</v>
      </c>
      <c r="G332" s="123">
        <f t="shared" si="101"/>
        <v>0</v>
      </c>
      <c r="H332" s="123">
        <f t="shared" si="101"/>
        <v>0</v>
      </c>
      <c r="I332" s="123">
        <f t="shared" si="101"/>
        <v>0</v>
      </c>
      <c r="J332" s="123">
        <f t="shared" si="101"/>
        <v>0</v>
      </c>
      <c r="K332" s="123">
        <f t="shared" si="101"/>
        <v>0</v>
      </c>
      <c r="L332" s="123">
        <f t="shared" si="101"/>
        <v>0</v>
      </c>
      <c r="M332" s="123">
        <f t="shared" si="101"/>
        <v>0</v>
      </c>
      <c r="N332" s="123">
        <f t="shared" si="101"/>
        <v>0</v>
      </c>
      <c r="O332" s="123">
        <f t="shared" si="101"/>
        <v>0</v>
      </c>
      <c r="P332" s="123">
        <f t="shared" si="101"/>
        <v>0</v>
      </c>
      <c r="Q332" s="123">
        <f t="shared" si="101"/>
        <v>0</v>
      </c>
      <c r="R332" s="123">
        <f t="shared" si="101"/>
        <v>0</v>
      </c>
      <c r="S332" s="123">
        <f t="shared" si="101"/>
        <v>0</v>
      </c>
      <c r="T332" s="123">
        <f t="shared" si="101"/>
        <v>0</v>
      </c>
      <c r="U332" s="124">
        <f>SUM(G332:M332)</f>
        <v>0</v>
      </c>
      <c r="V332" s="109" t="str">
        <f>IF(ABS(F332-U332)&lt;0.01,"ok","err")</f>
        <v>ok</v>
      </c>
    </row>
    <row r="333" spans="1:24" x14ac:dyDescent="0.25">
      <c r="F333" s="7"/>
      <c r="G333" s="7"/>
      <c r="U333" s="124"/>
    </row>
    <row r="334" spans="1:24" x14ac:dyDescent="0.25">
      <c r="A334" s="110" t="s">
        <v>3</v>
      </c>
      <c r="F334" s="7"/>
      <c r="G334" s="7"/>
      <c r="U334" s="124"/>
    </row>
    <row r="335" spans="1:24" x14ac:dyDescent="0.25">
      <c r="A335" s="122" t="s">
        <v>207</v>
      </c>
      <c r="C335" s="126" t="s">
        <v>725</v>
      </c>
      <c r="D335" s="116" t="s">
        <v>269</v>
      </c>
      <c r="E335" s="116" t="s">
        <v>312</v>
      </c>
      <c r="F335" s="123">
        <f>VLOOKUP(C335,'WSS-33'!$C$1:$AR$730,7,)</f>
        <v>-688.63500222004996</v>
      </c>
      <c r="G335" s="123">
        <f t="shared" ref="G335:J336" si="102">(VLOOKUP($E335,$D$6:$AI$674,G$2,)/VLOOKUP($E335,$D$6:$AI$674,3,))*$F335</f>
        <v>-451.4554956598742</v>
      </c>
      <c r="H335" s="123">
        <f t="shared" si="102"/>
        <v>-213.45748300326326</v>
      </c>
      <c r="I335" s="123">
        <f t="shared" si="102"/>
        <v>-19.635114406912614</v>
      </c>
      <c r="J335" s="123">
        <f t="shared" si="102"/>
        <v>0</v>
      </c>
      <c r="K335" s="123">
        <f>(VLOOKUP($E335,$D$6:$AI$674,8,)/VLOOKUP($E335,$D$6:$AI$674,3,))*$F335</f>
        <v>-4.0869091499998706</v>
      </c>
      <c r="L335" s="123">
        <f>(VLOOKUP($E335,$D$6:$AI$674,L$2,)/VLOOKUP($E335,$D$6:$AI$674,3,))*$F335</f>
        <v>0</v>
      </c>
      <c r="M335" s="123">
        <f>(VLOOKUP($E335,$D$6:$AI$674,M$2,)/VLOOKUP($E335,$D$6:$AI$674,3,))*$F335</f>
        <v>0</v>
      </c>
      <c r="N335" s="123">
        <f>(VLOOKUP($E335,$D$6:$AI$674,11,)/VLOOKUP($E335,$D$6:$AI$674,3,))*$F335</f>
        <v>0</v>
      </c>
      <c r="O335" s="123">
        <f t="shared" ref="O335:Q336" si="103">(VLOOKUP($E335,$D$6:$AI$674,O$2,)/VLOOKUP($E335,$D$6:$AI$674,3,))*$F335</f>
        <v>0</v>
      </c>
      <c r="P335" s="123">
        <f t="shared" si="103"/>
        <v>0</v>
      </c>
      <c r="Q335" s="123">
        <f t="shared" si="103"/>
        <v>0</v>
      </c>
      <c r="R335" s="123">
        <f>(VLOOKUP($E335,$D$6:$AI$674,15,)/VLOOKUP($E335,$D$6:$AI$674,3,))*$F335</f>
        <v>0</v>
      </c>
      <c r="S335" s="123">
        <f>(VLOOKUP($E335,$D$6:$AI$674,16,)/VLOOKUP($E335,$D$6:$AI$674,3,))*$F335</f>
        <v>0</v>
      </c>
      <c r="T335" s="123">
        <f>(VLOOKUP($E335,$D$6:$AI$674,17,)/VLOOKUP($E335,$D$6:$AI$674,3,))*$F335</f>
        <v>0</v>
      </c>
      <c r="U335" s="124">
        <f>SUM(G335:M335)</f>
        <v>-688.63500222004996</v>
      </c>
      <c r="V335" s="109" t="str">
        <f>IF(ABS(F335-U335)&lt;0.01,"ok","err")</f>
        <v>ok</v>
      </c>
    </row>
    <row r="336" spans="1:24" x14ac:dyDescent="0.25">
      <c r="A336" s="116" t="s">
        <v>226</v>
      </c>
      <c r="C336" s="126" t="s">
        <v>725</v>
      </c>
      <c r="D336" s="116" t="s">
        <v>270</v>
      </c>
      <c r="E336" s="116" t="s">
        <v>313</v>
      </c>
      <c r="F336" s="7">
        <f>VLOOKUP(C336,'WSS-33'!$C$1:$AR$730,8,)</f>
        <v>0</v>
      </c>
      <c r="G336" s="7">
        <f t="shared" si="102"/>
        <v>0</v>
      </c>
      <c r="H336" s="7">
        <f t="shared" si="102"/>
        <v>0</v>
      </c>
      <c r="I336" s="7">
        <f t="shared" si="102"/>
        <v>0</v>
      </c>
      <c r="J336" s="7">
        <f t="shared" si="102"/>
        <v>0</v>
      </c>
      <c r="K336" s="7">
        <f>(VLOOKUP($E336,$D$6:$AI$674,8,)/VLOOKUP($E336,$D$6:$AI$674,3,))*$F336</f>
        <v>0</v>
      </c>
      <c r="L336" s="7">
        <f>(VLOOKUP($E336,$D$6:$AI$674,L$2,)/VLOOKUP($E336,$D$6:$AI$674,3,))*$F336</f>
        <v>0</v>
      </c>
      <c r="M336" s="7">
        <f>(VLOOKUP($E336,$D$6:$AI$674,M$2,)/VLOOKUP($E336,$D$6:$AI$674,3,))*$F336</f>
        <v>0</v>
      </c>
      <c r="N336" s="7">
        <f>(VLOOKUP($E336,$D$6:$AI$674,11,)/VLOOKUP($E336,$D$6:$AI$674,3,))*$F336</f>
        <v>0</v>
      </c>
      <c r="O336" s="7">
        <f t="shared" si="103"/>
        <v>0</v>
      </c>
      <c r="P336" s="7">
        <f t="shared" si="103"/>
        <v>0</v>
      </c>
      <c r="Q336" s="7">
        <f t="shared" si="103"/>
        <v>0</v>
      </c>
      <c r="R336" s="7">
        <f>(VLOOKUP($E336,$D$6:$AI$674,15,)/VLOOKUP($E336,$D$6:$AI$674,3,))*$F336</f>
        <v>0</v>
      </c>
      <c r="S336" s="7">
        <f>(VLOOKUP($E336,$D$6:$AI$674,16,)/VLOOKUP($E336,$D$6:$AI$674,3,))*$F336</f>
        <v>0</v>
      </c>
      <c r="T336" s="7">
        <f>(VLOOKUP($E336,$D$6:$AI$674,17,)/VLOOKUP($E336,$D$6:$AI$674,3,))*$F336</f>
        <v>0</v>
      </c>
      <c r="U336" s="124">
        <f>SUM(G336:M336)</f>
        <v>0</v>
      </c>
      <c r="V336" s="109" t="str">
        <f>IF(ABS(F336-U336)&lt;0.01,"ok","err")</f>
        <v>ok</v>
      </c>
    </row>
    <row r="337" spans="1:23" x14ac:dyDescent="0.25">
      <c r="A337" s="116" t="s">
        <v>227</v>
      </c>
      <c r="D337" s="116" t="s">
        <v>336</v>
      </c>
      <c r="F337" s="123">
        <f>SUM(F335:F336)</f>
        <v>-688.63500222004996</v>
      </c>
      <c r="G337" s="123">
        <f t="shared" ref="G337:T337" si="104">G335+G336</f>
        <v>-451.4554956598742</v>
      </c>
      <c r="H337" s="123">
        <f t="shared" si="104"/>
        <v>-213.45748300326326</v>
      </c>
      <c r="I337" s="123">
        <f t="shared" si="104"/>
        <v>-19.635114406912614</v>
      </c>
      <c r="J337" s="123">
        <f t="shared" si="104"/>
        <v>0</v>
      </c>
      <c r="K337" s="123">
        <f t="shared" si="104"/>
        <v>-4.0869091499998706</v>
      </c>
      <c r="L337" s="123">
        <f t="shared" si="104"/>
        <v>0</v>
      </c>
      <c r="M337" s="123">
        <f t="shared" si="104"/>
        <v>0</v>
      </c>
      <c r="N337" s="123">
        <f t="shared" si="104"/>
        <v>0</v>
      </c>
      <c r="O337" s="123">
        <f t="shared" si="104"/>
        <v>0</v>
      </c>
      <c r="P337" s="123">
        <f t="shared" si="104"/>
        <v>0</v>
      </c>
      <c r="Q337" s="123">
        <f t="shared" si="104"/>
        <v>0</v>
      </c>
      <c r="R337" s="123">
        <f t="shared" si="104"/>
        <v>0</v>
      </c>
      <c r="S337" s="123">
        <f t="shared" si="104"/>
        <v>0</v>
      </c>
      <c r="T337" s="123">
        <f t="shared" si="104"/>
        <v>0</v>
      </c>
      <c r="U337" s="124">
        <f>SUM(G337:M337)</f>
        <v>-688.63500222004996</v>
      </c>
      <c r="V337" s="109" t="str">
        <f>IF(ABS(F337-U337)&lt;0.01,"ok","err")</f>
        <v>ok</v>
      </c>
    </row>
    <row r="338" spans="1:23" x14ac:dyDescent="0.25">
      <c r="F338" s="7"/>
      <c r="G338" s="7"/>
      <c r="U338" s="124"/>
    </row>
    <row r="339" spans="1:23" x14ac:dyDescent="0.25">
      <c r="A339" s="110" t="s">
        <v>4</v>
      </c>
      <c r="F339" s="7"/>
      <c r="G339" s="7"/>
      <c r="U339" s="124"/>
    </row>
    <row r="340" spans="1:23" x14ac:dyDescent="0.25">
      <c r="A340" s="122" t="s">
        <v>854</v>
      </c>
      <c r="C340" s="126" t="s">
        <v>725</v>
      </c>
      <c r="D340" s="116" t="s">
        <v>271</v>
      </c>
      <c r="E340" s="116" t="s">
        <v>317</v>
      </c>
      <c r="F340" s="123">
        <f>VLOOKUP(C340,'WSS-33'!$C$1:$AR$730,9,)</f>
        <v>-62.496977862057058</v>
      </c>
      <c r="G340" s="123">
        <f t="shared" ref="G340:J341" si="105">(VLOOKUP($E340,$D$6:$AI$674,G$2,)/VLOOKUP($E340,$D$6:$AI$674,3,))*$F340</f>
        <v>-33.249214902389177</v>
      </c>
      <c r="H340" s="123">
        <f t="shared" si="105"/>
        <v>-16.12838532172217</v>
      </c>
      <c r="I340" s="123">
        <f t="shared" si="105"/>
        <v>-2.0132006778617568</v>
      </c>
      <c r="J340" s="123">
        <f t="shared" si="105"/>
        <v>-0.12919456906801835</v>
      </c>
      <c r="K340" s="123">
        <f>(VLOOKUP($E340,$D$6:$AI$674,8,)/VLOOKUP($E340,$D$6:$AI$674,3,))*$F340</f>
        <v>-10.976982391015937</v>
      </c>
      <c r="L340" s="123">
        <f>(VLOOKUP($E340,$D$6:$AI$674,L$2,)/VLOOKUP($E340,$D$6:$AI$674,3,))*$F340</f>
        <v>0</v>
      </c>
      <c r="M340" s="123">
        <f>(VLOOKUP($E340,$D$6:$AI$674,M$2,)/VLOOKUP($E340,$D$6:$AI$674,3,))*$F340</f>
        <v>0</v>
      </c>
      <c r="N340" s="123">
        <f>(VLOOKUP($E340,$D$6:$AI$674,11,)/VLOOKUP($E340,$D$6:$AI$674,3,))*$F340</f>
        <v>0</v>
      </c>
      <c r="O340" s="123">
        <f t="shared" ref="O340:Q341" si="106">(VLOOKUP($E340,$D$6:$AI$674,O$2,)/VLOOKUP($E340,$D$6:$AI$674,3,))*$F340</f>
        <v>0</v>
      </c>
      <c r="P340" s="123">
        <f t="shared" si="106"/>
        <v>0</v>
      </c>
      <c r="Q340" s="123">
        <f t="shared" si="106"/>
        <v>0</v>
      </c>
      <c r="R340" s="123">
        <f>(VLOOKUP($E340,$D$6:$AI$674,15,)/VLOOKUP($E340,$D$6:$AI$674,3,))*$F340</f>
        <v>0</v>
      </c>
      <c r="S340" s="123">
        <f>(VLOOKUP($E340,$D$6:$AI$674,16,)/VLOOKUP($E340,$D$6:$AI$674,3,))*$F340</f>
        <v>0</v>
      </c>
      <c r="T340" s="123">
        <f>(VLOOKUP($E340,$D$6:$AI$674,17,)/VLOOKUP($E340,$D$6:$AI$674,3,))*$F340</f>
        <v>0</v>
      </c>
      <c r="U340" s="124">
        <f>SUM(G340:M340)</f>
        <v>-62.496977862057058</v>
      </c>
      <c r="V340" s="109" t="str">
        <f>IF(ABS(F340-U340)&lt;0.01,"ok","err")</f>
        <v>ok</v>
      </c>
    </row>
    <row r="341" spans="1:23" x14ac:dyDescent="0.25">
      <c r="A341" s="116" t="s">
        <v>850</v>
      </c>
      <c r="C341" s="126" t="s">
        <v>725</v>
      </c>
      <c r="D341" s="116" t="s">
        <v>272</v>
      </c>
      <c r="E341" s="116" t="s">
        <v>314</v>
      </c>
      <c r="F341" s="7">
        <f>VLOOKUP(C341,'WSS-33'!$C$1:$AR$730,10,)</f>
        <v>-152.20139193875178</v>
      </c>
      <c r="G341" s="7">
        <f t="shared" si="105"/>
        <v>-99.780224090141928</v>
      </c>
      <c r="H341" s="7">
        <f t="shared" si="105"/>
        <v>-47.178150875429317</v>
      </c>
      <c r="I341" s="7">
        <f t="shared" si="105"/>
        <v>-4.3397325636575479</v>
      </c>
      <c r="J341" s="7">
        <f t="shared" si="105"/>
        <v>0</v>
      </c>
      <c r="K341" s="7">
        <f>(VLOOKUP($E341,$D$6:$AI$674,8,)/VLOOKUP($E341,$D$6:$AI$674,3,))*$F341</f>
        <v>-0.90328440952299072</v>
      </c>
      <c r="L341" s="7">
        <f>(VLOOKUP($E341,$D$6:$AI$674,L$2,)/VLOOKUP($E341,$D$6:$AI$674,3,))*$F341</f>
        <v>0</v>
      </c>
      <c r="M341" s="7">
        <f>(VLOOKUP($E341,$D$6:$AI$674,M$2,)/VLOOKUP($E341,$D$6:$AI$674,3,))*$F341</f>
        <v>0</v>
      </c>
      <c r="N341" s="7">
        <f>(VLOOKUP($E341,$D$6:$AI$674,11,)/VLOOKUP($E341,$D$6:$AI$674,3,))*$F341</f>
        <v>0</v>
      </c>
      <c r="O341" s="7">
        <f t="shared" si="106"/>
        <v>0</v>
      </c>
      <c r="P341" s="7">
        <f t="shared" si="106"/>
        <v>0</v>
      </c>
      <c r="Q341" s="7">
        <f t="shared" si="106"/>
        <v>0</v>
      </c>
      <c r="R341" s="7">
        <f>(VLOOKUP($E341,$D$6:$AI$674,15,)/VLOOKUP($E341,$D$6:$AI$674,3,))*$F341</f>
        <v>0</v>
      </c>
      <c r="S341" s="7">
        <f>(VLOOKUP($E341,$D$6:$AI$674,16,)/VLOOKUP($E341,$D$6:$AI$674,3,))*$F341</f>
        <v>0</v>
      </c>
      <c r="T341" s="7">
        <f>(VLOOKUP($E341,$D$6:$AI$674,17,)/VLOOKUP($E341,$D$6:$AI$674,3,))*$F341</f>
        <v>0</v>
      </c>
      <c r="U341" s="124">
        <f>SUM(G341:M341)</f>
        <v>-152.20139193875178</v>
      </c>
      <c r="V341" s="109" t="str">
        <f>IF(ABS(F341-U341)&lt;0.01,"ok","err")</f>
        <v>ok</v>
      </c>
    </row>
    <row r="342" spans="1:23" x14ac:dyDescent="0.25">
      <c r="A342" s="116" t="s">
        <v>228</v>
      </c>
      <c r="D342" s="116" t="s">
        <v>337</v>
      </c>
      <c r="F342" s="123">
        <f>SUM(F340:F341)</f>
        <v>-214.69836980080885</v>
      </c>
      <c r="G342" s="123">
        <f t="shared" ref="G342:T342" si="107">G340+G341</f>
        <v>-133.02943899253111</v>
      </c>
      <c r="H342" s="123">
        <f t="shared" si="107"/>
        <v>-63.306536197151487</v>
      </c>
      <c r="I342" s="123">
        <f t="shared" si="107"/>
        <v>-6.3529332415193043</v>
      </c>
      <c r="J342" s="123">
        <f t="shared" si="107"/>
        <v>-0.12919456906801835</v>
      </c>
      <c r="K342" s="123">
        <f t="shared" si="107"/>
        <v>-11.880266800538928</v>
      </c>
      <c r="L342" s="123">
        <f t="shared" si="107"/>
        <v>0</v>
      </c>
      <c r="M342" s="123">
        <f t="shared" si="107"/>
        <v>0</v>
      </c>
      <c r="N342" s="123">
        <f t="shared" si="107"/>
        <v>0</v>
      </c>
      <c r="O342" s="123">
        <f t="shared" si="107"/>
        <v>0</v>
      </c>
      <c r="P342" s="123">
        <f t="shared" si="107"/>
        <v>0</v>
      </c>
      <c r="Q342" s="123">
        <f t="shared" si="107"/>
        <v>0</v>
      </c>
      <c r="R342" s="123">
        <f t="shared" si="107"/>
        <v>0</v>
      </c>
      <c r="S342" s="123">
        <f t="shared" si="107"/>
        <v>0</v>
      </c>
      <c r="T342" s="123">
        <f t="shared" si="107"/>
        <v>0</v>
      </c>
      <c r="U342" s="124">
        <f>SUM(G342:M342)</f>
        <v>-214.69836980080882</v>
      </c>
      <c r="V342" s="109" t="str">
        <f>IF(ABS(F342-U342)&lt;0.01,"ok","err")</f>
        <v>ok</v>
      </c>
    </row>
    <row r="343" spans="1:23" x14ac:dyDescent="0.25">
      <c r="F343" s="7"/>
      <c r="U343" s="124"/>
    </row>
    <row r="344" spans="1:23" x14ac:dyDescent="0.25">
      <c r="A344" s="110" t="s">
        <v>6</v>
      </c>
      <c r="F344" s="7"/>
      <c r="U344" s="124"/>
    </row>
    <row r="345" spans="1:23" x14ac:dyDescent="0.25">
      <c r="A345" s="116" t="s">
        <v>226</v>
      </c>
      <c r="C345" s="126" t="s">
        <v>725</v>
      </c>
      <c r="D345" s="116" t="s">
        <v>273</v>
      </c>
      <c r="E345" s="116" t="s">
        <v>316</v>
      </c>
      <c r="F345" s="123">
        <f>VLOOKUP(C345,'WSS-33'!$C$1:$AR$730,11,)</f>
        <v>0</v>
      </c>
      <c r="G345" s="123">
        <f>(VLOOKUP($E345,$D$6:$AI$674,G$2,)/VLOOKUP($E345,$D$6:$AI$674,3,))*$F345</f>
        <v>0</v>
      </c>
      <c r="H345" s="123">
        <f>(VLOOKUP($E345,$D$6:$AI$674,H$2,)/VLOOKUP($E345,$D$6:$AI$674,3,))*$F345</f>
        <v>0</v>
      </c>
      <c r="I345" s="123">
        <f>(VLOOKUP($E345,$D$6:$AI$674,I$2,)/VLOOKUP($E345,$D$6:$AI$674,3,))*$F345</f>
        <v>0</v>
      </c>
      <c r="J345" s="123">
        <f>(VLOOKUP($E345,$D$6:$AI$674,J$2,)/VLOOKUP($E345,$D$6:$AI$674,3,))*$F345</f>
        <v>0</v>
      </c>
      <c r="K345" s="123">
        <f>(VLOOKUP($E345,$D$6:$AI$674,8,)/VLOOKUP($E345,$D$6:$AI$674,3,))*$F345</f>
        <v>0</v>
      </c>
      <c r="L345" s="123">
        <f>(VLOOKUP($E345,$D$6:$AI$674,L$2,)/VLOOKUP($E345,$D$6:$AI$674,3,))*$F345</f>
        <v>0</v>
      </c>
      <c r="M345" s="123">
        <f>(VLOOKUP($E345,$D$6:$AI$674,M$2,)/VLOOKUP($E345,$D$6:$AI$674,3,))*$F345</f>
        <v>0</v>
      </c>
      <c r="N345" s="123">
        <f>(VLOOKUP($E345,$D$6:$AI$674,11,)/VLOOKUP($E345,$D$6:$AI$674,3,))*$F345</f>
        <v>0</v>
      </c>
      <c r="O345" s="123">
        <f>(VLOOKUP($E345,$D$6:$AI$674,O$2,)/VLOOKUP($E345,$D$6:$AI$674,3,))*$F345</f>
        <v>0</v>
      </c>
      <c r="P345" s="123">
        <f>(VLOOKUP($E345,$D$6:$AI$674,P$2,)/VLOOKUP($E345,$D$6:$AI$674,3,))*$F345</f>
        <v>0</v>
      </c>
      <c r="Q345" s="123">
        <f>(VLOOKUP($E345,$D$6:$AI$674,Q$2,)/VLOOKUP($E345,$D$6:$AI$674,3,))*$F345</f>
        <v>0</v>
      </c>
      <c r="R345" s="123">
        <f>(VLOOKUP($E345,$D$6:$AI$674,15,)/VLOOKUP($E345,$D$6:$AI$674,3,))*$F345</f>
        <v>0</v>
      </c>
      <c r="S345" s="123">
        <f>(VLOOKUP($E345,$D$6:$AI$674,16,)/VLOOKUP($E345,$D$6:$AI$674,3,))*$F345</f>
        <v>0</v>
      </c>
      <c r="T345" s="123">
        <f>(VLOOKUP($E345,$D$6:$AI$674,17,)/VLOOKUP($E345,$D$6:$AI$674,3,))*$F345</f>
        <v>0</v>
      </c>
      <c r="U345" s="124">
        <f>SUM(G345:M345)</f>
        <v>0</v>
      </c>
      <c r="V345" s="109" t="str">
        <f>IF(ABS(F345-U345)&lt;0.01,"ok","err")</f>
        <v>ok</v>
      </c>
    </row>
    <row r="346" spans="1:23" x14ac:dyDescent="0.25">
      <c r="A346" s="122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124"/>
      <c r="V346" s="109"/>
    </row>
    <row r="347" spans="1:23" x14ac:dyDescent="0.25">
      <c r="A347" s="110" t="s">
        <v>7</v>
      </c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124"/>
      <c r="V347" s="109"/>
    </row>
    <row r="348" spans="1:23" x14ac:dyDescent="0.25">
      <c r="A348" s="122" t="s">
        <v>207</v>
      </c>
      <c r="C348" s="126" t="s">
        <v>725</v>
      </c>
      <c r="D348" s="116" t="s">
        <v>274</v>
      </c>
      <c r="E348" s="116" t="s">
        <v>317</v>
      </c>
      <c r="F348" s="123">
        <f>VLOOKUP(C348,'WSS-33'!$C$1:$AR$730,12,)</f>
        <v>-192.09578786313094</v>
      </c>
      <c r="G348" s="123">
        <f>(VLOOKUP($E348,$D$6:$AI$674,G$2,)/VLOOKUP($E348,$D$6:$AI$674,3,))*$F348</f>
        <v>-102.19748779856884</v>
      </c>
      <c r="H348" s="123">
        <f>(VLOOKUP($E348,$D$6:$AI$674,H$2,)/VLOOKUP($E348,$D$6:$AI$674,3,))*$F348</f>
        <v>-49.573515253404629</v>
      </c>
      <c r="I348" s="123">
        <f>(VLOOKUP($E348,$D$6:$AI$674,I$2,)/VLOOKUP($E348,$D$6:$AI$674,3,))*$F348</f>
        <v>-6.187937138240919</v>
      </c>
      <c r="J348" s="123">
        <f>(VLOOKUP($E348,$D$6:$AI$674,J$2,)/VLOOKUP($E348,$D$6:$AI$674,3,))*$F348</f>
        <v>-0.3971029221210699</v>
      </c>
      <c r="K348" s="123">
        <f>(VLOOKUP($E348,$D$6:$AI$674,8,)/VLOOKUP($E348,$D$6:$AI$674,3,))*$F348</f>
        <v>-33.739744750795488</v>
      </c>
      <c r="L348" s="123">
        <f>(VLOOKUP($E348,$D$6:$AI$674,L$2,)/VLOOKUP($E348,$D$6:$AI$674,3,))*$F348</f>
        <v>0</v>
      </c>
      <c r="M348" s="123">
        <f>(VLOOKUP($E348,$D$6:$AI$674,M$2,)/VLOOKUP($E348,$D$6:$AI$674,3,))*$F348</f>
        <v>0</v>
      </c>
      <c r="N348" s="123">
        <f>(VLOOKUP($E348,$D$6:$AI$674,11,)/VLOOKUP($E348,$D$6:$AI$674,3,))*$F348</f>
        <v>0</v>
      </c>
      <c r="O348" s="123">
        <f>(VLOOKUP($E348,$D$6:$AI$674,O$2,)/VLOOKUP($E348,$D$6:$AI$674,3,))*$F348</f>
        <v>0</v>
      </c>
      <c r="P348" s="123">
        <f>(VLOOKUP($E348,$D$6:$AI$674,P$2,)/VLOOKUP($E348,$D$6:$AI$674,3,))*$F348</f>
        <v>0</v>
      </c>
      <c r="Q348" s="123">
        <f>(VLOOKUP($E348,$D$6:$AI$674,Q$2,)/VLOOKUP($E348,$D$6:$AI$674,3,))*$F348</f>
        <v>0</v>
      </c>
      <c r="R348" s="123">
        <f>(VLOOKUP($E348,$D$6:$AI$674,15,)/VLOOKUP($E348,$D$6:$AI$674,3,))*$F348</f>
        <v>0</v>
      </c>
      <c r="S348" s="123">
        <f>(VLOOKUP($E348,$D$6:$AI$674,16,)/VLOOKUP($E348,$D$6:$AI$674,3,))*$F348</f>
        <v>0</v>
      </c>
      <c r="T348" s="123">
        <f>(VLOOKUP($E348,$D$6:$AI$674,17,)/VLOOKUP($E348,$D$6:$AI$674,3,))*$F348</f>
        <v>0</v>
      </c>
      <c r="U348" s="124">
        <f>SUM(G348:M348)</f>
        <v>-192.09578786313097</v>
      </c>
      <c r="V348" s="109" t="str">
        <f>IF(ABS(F348-U348)&lt;0.01,"ok","err")</f>
        <v>ok</v>
      </c>
    </row>
    <row r="349" spans="1:23" x14ac:dyDescent="0.25">
      <c r="F349" s="7"/>
      <c r="U349" s="124"/>
    </row>
    <row r="350" spans="1:23" x14ac:dyDescent="0.25">
      <c r="A350" s="110" t="s">
        <v>8</v>
      </c>
      <c r="F350" s="7"/>
      <c r="U350" s="124"/>
    </row>
    <row r="351" spans="1:23" x14ac:dyDescent="0.25">
      <c r="A351" s="122" t="s">
        <v>676</v>
      </c>
      <c r="C351" s="126" t="s">
        <v>725</v>
      </c>
      <c r="D351" s="116" t="s">
        <v>275</v>
      </c>
      <c r="E351" s="116" t="s">
        <v>680</v>
      </c>
      <c r="F351" s="123">
        <f>VLOOKUP(C351,'WSS-33'!$C$1:$AR$730,13,)</f>
        <v>-513.07490789742712</v>
      </c>
      <c r="G351" s="123">
        <f t="shared" ref="G351:J354" si="108">(VLOOKUP($E351,$D$6:$AI$674,G$2,)/VLOOKUP($E351,$D$6:$AI$674,3,))*$F351</f>
        <v>-332.64827534322427</v>
      </c>
      <c r="H351" s="123">
        <f t="shared" si="108"/>
        <v>-161.35958629676807</v>
      </c>
      <c r="I351" s="123">
        <f t="shared" si="108"/>
        <v>-19.067046257434782</v>
      </c>
      <c r="J351" s="123">
        <f t="shared" si="108"/>
        <v>0</v>
      </c>
      <c r="K351" s="123">
        <f>(VLOOKUP($E351,$D$6:$AI$674,8,)/VLOOKUP($E351,$D$6:$AI$674,3,))*$F351</f>
        <v>0</v>
      </c>
      <c r="L351" s="123">
        <f t="shared" ref="L351:M354" si="109">(VLOOKUP($E351,$D$6:$AI$674,L$2,)/VLOOKUP($E351,$D$6:$AI$674,3,))*$F351</f>
        <v>0</v>
      </c>
      <c r="M351" s="123">
        <f t="shared" si="109"/>
        <v>0</v>
      </c>
      <c r="N351" s="123">
        <f>(VLOOKUP($E351,$D$6:$AI$674,11,)/VLOOKUP($E351,$D$6:$AI$674,3,))*$F351</f>
        <v>0</v>
      </c>
      <c r="O351" s="123">
        <f t="shared" ref="O351:Q354" si="110">(VLOOKUP($E351,$D$6:$AI$674,O$2,)/VLOOKUP($E351,$D$6:$AI$674,3,))*$F351</f>
        <v>0</v>
      </c>
      <c r="P351" s="123">
        <f t="shared" si="110"/>
        <v>0</v>
      </c>
      <c r="Q351" s="123">
        <f t="shared" si="110"/>
        <v>0</v>
      </c>
      <c r="R351" s="123">
        <f>(VLOOKUP($E351,$D$6:$AI$674,15,)/VLOOKUP($E351,$D$6:$AI$674,3,))*$F351</f>
        <v>0</v>
      </c>
      <c r="S351" s="123">
        <f>(VLOOKUP($E351,$D$6:$AI$674,16,)/VLOOKUP($E351,$D$6:$AI$674,3,))*$F351</f>
        <v>0</v>
      </c>
      <c r="T351" s="123">
        <f>(VLOOKUP($E351,$D$6:$AI$674,17,)/VLOOKUP($E351,$D$6:$AI$674,3,))*$F351</f>
        <v>0</v>
      </c>
      <c r="U351" s="124">
        <f>SUM(G351:M351)</f>
        <v>-513.07490789742712</v>
      </c>
      <c r="V351" s="109" t="str">
        <f>IF(ABS(F351-U351)&lt;0.01,"ok","err")</f>
        <v>ok</v>
      </c>
    </row>
    <row r="352" spans="1:23" x14ac:dyDescent="0.25">
      <c r="A352" s="122" t="s">
        <v>675</v>
      </c>
      <c r="C352" s="126" t="s">
        <v>725</v>
      </c>
      <c r="D352" s="116" t="s">
        <v>276</v>
      </c>
      <c r="E352" s="116" t="s">
        <v>873</v>
      </c>
      <c r="F352" s="7">
        <f>VLOOKUP(C352,'WSS-33'!$C$1:$AR$730,14,)</f>
        <v>-1010.8907690762486</v>
      </c>
      <c r="G352" s="7">
        <f t="shared" si="108"/>
        <v>-931.95145628281921</v>
      </c>
      <c r="H352" s="7">
        <f t="shared" si="108"/>
        <v>-78.174064219121107</v>
      </c>
      <c r="I352" s="7">
        <f t="shared" si="108"/>
        <v>-0.76524857430837379</v>
      </c>
      <c r="J352" s="7">
        <f t="shared" si="108"/>
        <v>0</v>
      </c>
      <c r="K352" s="7">
        <f>(VLOOKUP($E352,$D$6:$AI$674,8,)/VLOOKUP($E352,$D$6:$AI$674,3,))*$F352</f>
        <v>0</v>
      </c>
      <c r="L352" s="7">
        <f t="shared" si="109"/>
        <v>0</v>
      </c>
      <c r="M352" s="7">
        <f t="shared" si="109"/>
        <v>0</v>
      </c>
      <c r="N352" s="7">
        <f>(VLOOKUP($E352,$D$6:$AI$674,11,)/VLOOKUP($E352,$D$6:$AI$674,3,))*$F352</f>
        <v>0</v>
      </c>
      <c r="O352" s="7">
        <f t="shared" si="110"/>
        <v>0</v>
      </c>
      <c r="P352" s="7">
        <f t="shared" si="110"/>
        <v>0</v>
      </c>
      <c r="Q352" s="7">
        <f t="shared" si="110"/>
        <v>0</v>
      </c>
      <c r="R352" s="7">
        <f>(VLOOKUP($E352,$D$6:$AI$674,15,)/VLOOKUP($E352,$D$6:$AI$674,3,))*$F352</f>
        <v>0</v>
      </c>
      <c r="S352" s="7">
        <f>(VLOOKUP($E352,$D$6:$AI$674,16,)/VLOOKUP($E352,$D$6:$AI$674,3,))*$F352</f>
        <v>0</v>
      </c>
      <c r="T352" s="7">
        <f>(VLOOKUP($E352,$D$6:$AI$674,17,)/VLOOKUP($E352,$D$6:$AI$674,3,))*$F352</f>
        <v>0</v>
      </c>
      <c r="U352" s="124">
        <f>SUM(G352:M352)</f>
        <v>-1010.8907690762487</v>
      </c>
      <c r="V352" s="109" t="str">
        <f>IF(ABS(F352-U352)&lt;0.01,"ok","err")</f>
        <v>ok</v>
      </c>
      <c r="W352" s="125"/>
    </row>
    <row r="353" spans="1:23" x14ac:dyDescent="0.25">
      <c r="A353" s="122" t="s">
        <v>677</v>
      </c>
      <c r="C353" s="126" t="s">
        <v>725</v>
      </c>
      <c r="D353" s="116" t="s">
        <v>275</v>
      </c>
      <c r="E353" s="116" t="s">
        <v>318</v>
      </c>
      <c r="F353" s="7">
        <f>VLOOKUP(C353,'WSS-33'!$C$1:$AR$730,15,)</f>
        <v>-87.693151362948356</v>
      </c>
      <c r="G353" s="7">
        <f t="shared" si="108"/>
        <v>-46.653910875018468</v>
      </c>
      <c r="H353" s="7">
        <f t="shared" si="108"/>
        <v>-22.630677252578181</v>
      </c>
      <c r="I353" s="7">
        <f t="shared" si="108"/>
        <v>-2.824839181142293</v>
      </c>
      <c r="J353" s="7">
        <f t="shared" si="108"/>
        <v>-0.18128042808020214</v>
      </c>
      <c r="K353" s="7">
        <f>(VLOOKUP($E353,$D$6:$AI$674,8,)/VLOOKUP($E353,$D$6:$AI$674,3,))*$F353</f>
        <v>-15.402443626129214</v>
      </c>
      <c r="L353" s="7">
        <f t="shared" si="109"/>
        <v>0</v>
      </c>
      <c r="M353" s="7">
        <f t="shared" si="109"/>
        <v>0</v>
      </c>
      <c r="N353" s="7">
        <f>(VLOOKUP($E353,$D$6:$AI$674,11,)/VLOOKUP($E353,$D$6:$AI$674,3,))*$F353</f>
        <v>0</v>
      </c>
      <c r="O353" s="7">
        <f t="shared" si="110"/>
        <v>0</v>
      </c>
      <c r="P353" s="7">
        <f t="shared" si="110"/>
        <v>0</v>
      </c>
      <c r="Q353" s="7">
        <f t="shared" si="110"/>
        <v>0</v>
      </c>
      <c r="R353" s="7"/>
      <c r="S353" s="7"/>
      <c r="T353" s="7"/>
      <c r="U353" s="124"/>
      <c r="V353" s="109"/>
    </row>
    <row r="354" spans="1:23" x14ac:dyDescent="0.25">
      <c r="A354" s="122" t="s">
        <v>674</v>
      </c>
      <c r="C354" s="126" t="s">
        <v>725</v>
      </c>
      <c r="D354" s="116" t="s">
        <v>276</v>
      </c>
      <c r="E354" s="116" t="s">
        <v>872</v>
      </c>
      <c r="F354" s="7">
        <f>VLOOKUP(C354,'WSS-33'!$C$1:$AR$730,16,)</f>
        <v>-74.423682006547594</v>
      </c>
      <c r="G354" s="7">
        <f t="shared" si="108"/>
        <v>-68.593196892328663</v>
      </c>
      <c r="H354" s="7">
        <f t="shared" si="108"/>
        <v>-5.75374279712317</v>
      </c>
      <c r="I354" s="7">
        <f t="shared" si="108"/>
        <v>-5.7929551768848557E-2</v>
      </c>
      <c r="J354" s="7">
        <f t="shared" si="108"/>
        <v>-1.1471198370069022E-3</v>
      </c>
      <c r="K354" s="7">
        <f>(VLOOKUP($E354,$D$6:$AI$674,8,)/VLOOKUP($E354,$D$6:$AI$674,3,))*$F354</f>
        <v>-1.7665645489906293E-2</v>
      </c>
      <c r="L354" s="7">
        <f t="shared" si="109"/>
        <v>0</v>
      </c>
      <c r="M354" s="7">
        <f t="shared" si="109"/>
        <v>0</v>
      </c>
      <c r="N354" s="7">
        <f>(VLOOKUP($E354,$D$6:$AI$674,11,)/VLOOKUP($E354,$D$6:$AI$674,3,))*$F354</f>
        <v>0</v>
      </c>
      <c r="O354" s="7">
        <f t="shared" si="110"/>
        <v>0</v>
      </c>
      <c r="P354" s="7">
        <f t="shared" si="110"/>
        <v>0</v>
      </c>
      <c r="Q354" s="7">
        <f t="shared" si="110"/>
        <v>0</v>
      </c>
      <c r="R354" s="7"/>
      <c r="S354" s="7"/>
      <c r="T354" s="7"/>
      <c r="U354" s="124"/>
      <c r="V354" s="109"/>
    </row>
    <row r="355" spans="1:23" x14ac:dyDescent="0.25">
      <c r="A355" s="116" t="s">
        <v>229</v>
      </c>
      <c r="F355" s="123">
        <f t="shared" ref="F355:Q355" si="111">SUM(F351:F354)</f>
        <v>-1686.0825103431716</v>
      </c>
      <c r="G355" s="123">
        <f t="shared" si="111"/>
        <v>-1379.8468393933906</v>
      </c>
      <c r="H355" s="123">
        <f t="shared" si="111"/>
        <v>-267.91807056559054</v>
      </c>
      <c r="I355" s="123">
        <f t="shared" si="111"/>
        <v>-22.715063564654297</v>
      </c>
      <c r="J355" s="123">
        <f t="shared" si="111"/>
        <v>-0.18242754791720905</v>
      </c>
      <c r="K355" s="123">
        <f t="shared" si="111"/>
        <v>-15.42010927161912</v>
      </c>
      <c r="L355" s="123">
        <f t="shared" si="111"/>
        <v>0</v>
      </c>
      <c r="M355" s="123">
        <f t="shared" si="111"/>
        <v>0</v>
      </c>
      <c r="N355" s="123">
        <f t="shared" si="111"/>
        <v>0</v>
      </c>
      <c r="O355" s="123">
        <f t="shared" si="111"/>
        <v>0</v>
      </c>
      <c r="P355" s="123">
        <f t="shared" si="111"/>
        <v>0</v>
      </c>
      <c r="Q355" s="123">
        <f t="shared" si="111"/>
        <v>0</v>
      </c>
      <c r="R355" s="123">
        <f>R351+R352</f>
        <v>0</v>
      </c>
      <c r="S355" s="123">
        <f>S351+S352</f>
        <v>0</v>
      </c>
      <c r="T355" s="123">
        <f>T351+T352</f>
        <v>0</v>
      </c>
      <c r="U355" s="124">
        <f>SUM(G355:M355)</f>
        <v>-1686.0825103431719</v>
      </c>
      <c r="V355" s="109" t="str">
        <f>IF(ABS(F355-U355)&lt;0.01,"ok","err")</f>
        <v>ok</v>
      </c>
      <c r="W355" s="125"/>
    </row>
    <row r="356" spans="1:23" x14ac:dyDescent="0.25">
      <c r="F356" s="7"/>
      <c r="U356" s="124"/>
    </row>
    <row r="357" spans="1:23" x14ac:dyDescent="0.25">
      <c r="A357" s="110" t="s">
        <v>10</v>
      </c>
      <c r="F357" s="7"/>
      <c r="U357" s="124"/>
    </row>
    <row r="358" spans="1:23" x14ac:dyDescent="0.25">
      <c r="A358" s="122" t="s">
        <v>208</v>
      </c>
      <c r="C358" s="126" t="s">
        <v>725</v>
      </c>
      <c r="D358" s="116" t="s">
        <v>270</v>
      </c>
      <c r="E358" s="116" t="s">
        <v>319</v>
      </c>
      <c r="F358" s="123">
        <f>VLOOKUP(C358,'WSS-33'!$C$1:$AR$730,17,)</f>
        <v>-1507.6607692174935</v>
      </c>
      <c r="G358" s="123">
        <f>(VLOOKUP($E358,$D$6:$AI$674,G$2,)/VLOOKUP($E358,$D$6:$AI$674,3,))*$F358</f>
        <v>-1115.5576395181665</v>
      </c>
      <c r="H358" s="123">
        <f>(VLOOKUP($E358,$D$6:$AI$674,H$2,)/VLOOKUP($E358,$D$6:$AI$674,3,))*$F358</f>
        <v>-381.81943636695843</v>
      </c>
      <c r="I358" s="123">
        <f>(VLOOKUP($E358,$D$6:$AI$674,I$2,)/VLOOKUP($E358,$D$6:$AI$674,3,))*$F358</f>
        <v>-7.7624382513413908</v>
      </c>
      <c r="J358" s="123">
        <f>(VLOOKUP($E358,$D$6:$AI$674,J$2,)/VLOOKUP($E358,$D$6:$AI$674,3,))*$F358</f>
        <v>-0.15373506591626765</v>
      </c>
      <c r="K358" s="123">
        <f>(VLOOKUP($E358,$D$6:$AI$674,8,)/VLOOKUP($E358,$D$6:$AI$674,3,))*$F358</f>
        <v>-2.367520015110522</v>
      </c>
      <c r="L358" s="123">
        <f>(VLOOKUP($E358,$D$6:$AI$674,L$2,)/VLOOKUP($E358,$D$6:$AI$674,3,))*$F358</f>
        <v>0</v>
      </c>
      <c r="M358" s="123">
        <f>(VLOOKUP($E358,$D$6:$AI$674,M$2,)/VLOOKUP($E358,$D$6:$AI$674,3,))*$F358</f>
        <v>0</v>
      </c>
      <c r="N358" s="123">
        <f>(VLOOKUP($E358,$D$6:$AI$674,11,)/VLOOKUP($E358,$D$6:$AI$674,3,))*$F358</f>
        <v>0</v>
      </c>
      <c r="O358" s="123">
        <f>(VLOOKUP($E358,$D$6:$AI$674,O$2,)/VLOOKUP($E358,$D$6:$AI$674,3,))*$F358</f>
        <v>0</v>
      </c>
      <c r="P358" s="123">
        <f>(VLOOKUP($E358,$D$6:$AI$674,P$2,)/VLOOKUP($E358,$D$6:$AI$674,3,))*$F358</f>
        <v>0</v>
      </c>
      <c r="Q358" s="123">
        <f>(VLOOKUP($E358,$D$6:$AI$674,Q$2,)/VLOOKUP($E358,$D$6:$AI$674,3,))*$F358</f>
        <v>0</v>
      </c>
      <c r="R358" s="123">
        <f>(VLOOKUP($E358,$D$6:$AI$674,15,)/VLOOKUP($E358,$D$6:$AI$674,3,))*$F358</f>
        <v>0</v>
      </c>
      <c r="S358" s="123">
        <f>(VLOOKUP($E358,$D$6:$AI$674,16,)/VLOOKUP($E358,$D$6:$AI$674,3,))*$F358</f>
        <v>0</v>
      </c>
      <c r="T358" s="123">
        <f>(VLOOKUP($E358,$D$6:$AI$674,17,)/VLOOKUP($E358,$D$6:$AI$674,3,))*$F358</f>
        <v>0</v>
      </c>
      <c r="U358" s="124">
        <f>SUM(G358:M358)</f>
        <v>-1507.660769217493</v>
      </c>
      <c r="V358" s="109" t="str">
        <f>IF(ABS(F358-U358)&lt;0.01,"ok","err")</f>
        <v>ok</v>
      </c>
      <c r="W358" s="125"/>
    </row>
    <row r="359" spans="1:23" x14ac:dyDescent="0.25">
      <c r="F359" s="7"/>
      <c r="U359" s="124"/>
    </row>
    <row r="360" spans="1:23" x14ac:dyDescent="0.25">
      <c r="A360" s="110" t="s">
        <v>11</v>
      </c>
      <c r="F360" s="7"/>
      <c r="U360" s="124"/>
    </row>
    <row r="361" spans="1:23" x14ac:dyDescent="0.25">
      <c r="A361" s="122" t="s">
        <v>208</v>
      </c>
      <c r="C361" s="126" t="s">
        <v>725</v>
      </c>
      <c r="D361" s="116" t="s">
        <v>277</v>
      </c>
      <c r="E361" s="116" t="s">
        <v>320</v>
      </c>
      <c r="F361" s="123">
        <f>VLOOKUP(C361,'WSS-33'!$C$1:$AR$730,18,)</f>
        <v>-364.15756055534507</v>
      </c>
      <c r="G361" s="123">
        <f>(VLOOKUP($E361,$D$6:$AI$674,G$2,)/VLOOKUP($E361,$D$6:$AI$674,3,))*$F361</f>
        <v>-240.34494423008874</v>
      </c>
      <c r="H361" s="123">
        <f>(VLOOKUP($E361,$D$6:$AI$674,H$2,)/VLOOKUP($E361,$D$6:$AI$674,3,))*$F361</f>
        <v>-105.4079337083266</v>
      </c>
      <c r="I361" s="123">
        <f>(VLOOKUP($E361,$D$6:$AI$674,I$2,)/VLOOKUP($E361,$D$6:$AI$674,3,))*$F361</f>
        <v>-7.9543143406718064</v>
      </c>
      <c r="J361" s="123">
        <f>(VLOOKUP($E361,$D$6:$AI$674,J$2,)/VLOOKUP($E361,$D$6:$AI$674,3,))*$F361</f>
        <v>-4.3428874258131987E-2</v>
      </c>
      <c r="K361" s="123">
        <f>(VLOOKUP($E361,$D$6:$AI$674,8,)/VLOOKUP($E361,$D$6:$AI$674,3,))*$F361</f>
        <v>-10.406939401999711</v>
      </c>
      <c r="L361" s="123">
        <f>(VLOOKUP($E361,$D$6:$AI$674,L$2,)/VLOOKUP($E361,$D$6:$AI$674,3,))*$F361</f>
        <v>0</v>
      </c>
      <c r="M361" s="123">
        <f>(VLOOKUP($E361,$D$6:$AI$674,M$2,)/VLOOKUP($E361,$D$6:$AI$674,3,))*$F361</f>
        <v>0</v>
      </c>
      <c r="N361" s="123">
        <f>(VLOOKUP($E361,$D$6:$AI$674,11,)/VLOOKUP($E361,$D$6:$AI$674,3,))*$F361</f>
        <v>0</v>
      </c>
      <c r="O361" s="123">
        <f>(VLOOKUP($E361,$D$6:$AI$674,O$2,)/VLOOKUP($E361,$D$6:$AI$674,3,))*$F361</f>
        <v>0</v>
      </c>
      <c r="P361" s="123">
        <f>(VLOOKUP($E361,$D$6:$AI$674,P$2,)/VLOOKUP($E361,$D$6:$AI$674,3,))*$F361</f>
        <v>0</v>
      </c>
      <c r="Q361" s="123">
        <f>(VLOOKUP($E361,$D$6:$AI$674,Q$2,)/VLOOKUP($E361,$D$6:$AI$674,3,))*$F361</f>
        <v>0</v>
      </c>
      <c r="R361" s="123">
        <f>(VLOOKUP($E361,$D$6:$AI$674,15,)/VLOOKUP($E361,$D$6:$AI$674,3,))*$F361</f>
        <v>0</v>
      </c>
      <c r="S361" s="123">
        <f>(VLOOKUP($E361,$D$6:$AI$674,16,)/VLOOKUP($E361,$D$6:$AI$674,3,))*$F361</f>
        <v>0</v>
      </c>
      <c r="T361" s="123">
        <f>(VLOOKUP($E361,$D$6:$AI$674,17,)/VLOOKUP($E361,$D$6:$AI$674,3,))*$F361</f>
        <v>0</v>
      </c>
      <c r="U361" s="124">
        <f>SUM(G361:M361)</f>
        <v>-364.15756055534501</v>
      </c>
      <c r="V361" s="109" t="str">
        <f>IF(ABS(F361-U361)&lt;0.01,"ok","err")</f>
        <v>ok</v>
      </c>
    </row>
    <row r="362" spans="1:23" x14ac:dyDescent="0.25">
      <c r="F362" s="7"/>
      <c r="U362" s="124"/>
    </row>
    <row r="363" spans="1:23" x14ac:dyDescent="0.25">
      <c r="A363" s="110" t="s">
        <v>12</v>
      </c>
      <c r="F363" s="7"/>
      <c r="U363" s="124"/>
    </row>
    <row r="364" spans="1:23" x14ac:dyDescent="0.25">
      <c r="A364" s="122" t="s">
        <v>208</v>
      </c>
      <c r="C364" s="126" t="s">
        <v>725</v>
      </c>
      <c r="D364" s="116" t="s">
        <v>278</v>
      </c>
      <c r="E364" s="116" t="s">
        <v>874</v>
      </c>
      <c r="F364" s="123">
        <f>VLOOKUP(C364,'WSS-33'!$C$1:$AR$730,19,)</f>
        <v>0</v>
      </c>
      <c r="G364" s="123">
        <f>(VLOOKUP($E364,$D$6:$AI$674,G$2,)/VLOOKUP($E364,$D$6:$AI$674,3,))*$F364</f>
        <v>0</v>
      </c>
      <c r="H364" s="123">
        <f>(VLOOKUP($E364,$D$6:$AI$674,H$2,)/VLOOKUP($E364,$D$6:$AI$674,3,))*$F364</f>
        <v>0</v>
      </c>
      <c r="I364" s="123">
        <f>(VLOOKUP($E364,$D$6:$AI$674,I$2,)/VLOOKUP($E364,$D$6:$AI$674,3,))*$F364</f>
        <v>0</v>
      </c>
      <c r="J364" s="123">
        <f>(VLOOKUP($E364,$D$6:$AI$674,J$2,)/VLOOKUP($E364,$D$6:$AI$674,3,))*$F364</f>
        <v>0</v>
      </c>
      <c r="K364" s="123">
        <f>(VLOOKUP($E364,$D$6:$AI$674,8,)/VLOOKUP($E364,$D$6:$AI$674,3,))*$F364</f>
        <v>0</v>
      </c>
      <c r="L364" s="123">
        <f>(VLOOKUP($E364,$D$6:$AI$674,L$2,)/VLOOKUP($E364,$D$6:$AI$674,3,))*$F364</f>
        <v>0</v>
      </c>
      <c r="M364" s="123">
        <f>(VLOOKUP($E364,$D$6:$AI$674,M$2,)/VLOOKUP($E364,$D$6:$AI$674,3,))*$F364</f>
        <v>0</v>
      </c>
      <c r="N364" s="123">
        <f>(VLOOKUP($E364,$D$6:$AI$674,11,)/VLOOKUP($E364,$D$6:$AI$674,3,))*$F364</f>
        <v>0</v>
      </c>
      <c r="O364" s="123">
        <f>(VLOOKUP($E364,$D$6:$AI$674,O$2,)/VLOOKUP($E364,$D$6:$AI$674,3,))*$F364</f>
        <v>0</v>
      </c>
      <c r="P364" s="123">
        <f>(VLOOKUP($E364,$D$6:$AI$674,P$2,)/VLOOKUP($E364,$D$6:$AI$674,3,))*$F364</f>
        <v>0</v>
      </c>
      <c r="Q364" s="123">
        <f>(VLOOKUP($E364,$D$6:$AI$674,Q$2,)/VLOOKUP($E364,$D$6:$AI$674,3,))*$F364</f>
        <v>0</v>
      </c>
      <c r="R364" s="123">
        <f>(VLOOKUP($E364,$D$6:$AI$674,15,)/VLOOKUP($E364,$D$6:$AI$674,3,))*$F364</f>
        <v>0</v>
      </c>
      <c r="S364" s="123">
        <f>(VLOOKUP($E364,$D$6:$AI$674,16,)/VLOOKUP($E364,$D$6:$AI$674,3,))*$F364</f>
        <v>0</v>
      </c>
      <c r="T364" s="123">
        <f>(VLOOKUP($E364,$D$6:$AI$674,17,)/VLOOKUP($E364,$D$6:$AI$674,3,))*$F364</f>
        <v>0</v>
      </c>
      <c r="U364" s="124">
        <f>SUM(G364:M364)</f>
        <v>0</v>
      </c>
      <c r="V364" s="109" t="str">
        <f>IF(ABS(F364-U364)&lt;0.01,"ok","err")</f>
        <v>ok</v>
      </c>
    </row>
    <row r="365" spans="1:23" x14ac:dyDescent="0.25">
      <c r="F365" s="7"/>
      <c r="U365" s="124"/>
    </row>
    <row r="366" spans="1:23" x14ac:dyDescent="0.25">
      <c r="A366" s="110" t="s">
        <v>13</v>
      </c>
      <c r="F366" s="7"/>
      <c r="U366" s="124"/>
    </row>
    <row r="367" spans="1:23" x14ac:dyDescent="0.25">
      <c r="A367" s="122" t="s">
        <v>208</v>
      </c>
      <c r="C367" s="126" t="s">
        <v>725</v>
      </c>
      <c r="D367" s="116" t="s">
        <v>279</v>
      </c>
      <c r="E367" s="116" t="s">
        <v>875</v>
      </c>
      <c r="F367" s="123">
        <f>VLOOKUP(C367,'WSS-33'!$C$1:$AR$730,20,)</f>
        <v>0</v>
      </c>
      <c r="G367" s="123">
        <f>(VLOOKUP($E367,$D$6:$AI$674,G$2,)/VLOOKUP($E367,$D$6:$AI$674,3,))*$F367</f>
        <v>0</v>
      </c>
      <c r="H367" s="123">
        <f>(VLOOKUP($E367,$D$6:$AI$674,H$2,)/VLOOKUP($E367,$D$6:$AI$674,3,))*$F367</f>
        <v>0</v>
      </c>
      <c r="I367" s="123">
        <f>(VLOOKUP($E367,$D$6:$AI$674,I$2,)/VLOOKUP($E367,$D$6:$AI$674,3,))*$F367</f>
        <v>0</v>
      </c>
      <c r="J367" s="123">
        <f>(VLOOKUP($E367,$D$6:$AI$674,J$2,)/VLOOKUP($E367,$D$6:$AI$674,3,))*$F367</f>
        <v>0</v>
      </c>
      <c r="K367" s="123">
        <f>(VLOOKUP($E367,$D$6:$AI$674,8,)/VLOOKUP($E367,$D$6:$AI$674,3,))*$F367</f>
        <v>0</v>
      </c>
      <c r="L367" s="123">
        <f>(VLOOKUP($E367,$D$6:$AI$674,L$2,)/VLOOKUP($E367,$D$6:$AI$674,3,))*$F367</f>
        <v>0</v>
      </c>
      <c r="M367" s="123">
        <f>(VLOOKUP($E367,$D$6:$AI$674,M$2,)/VLOOKUP($E367,$D$6:$AI$674,3,))*$F367</f>
        <v>0</v>
      </c>
      <c r="N367" s="123">
        <f>(VLOOKUP($E367,$D$6:$AI$674,11,)/VLOOKUP($E367,$D$6:$AI$674,3,))*$F367</f>
        <v>0</v>
      </c>
      <c r="O367" s="123">
        <f>(VLOOKUP($E367,$D$6:$AI$674,O$2,)/VLOOKUP($E367,$D$6:$AI$674,3,))*$F367</f>
        <v>0</v>
      </c>
      <c r="P367" s="123">
        <f>(VLOOKUP($E367,$D$6:$AI$674,P$2,)/VLOOKUP($E367,$D$6:$AI$674,3,))*$F367</f>
        <v>0</v>
      </c>
      <c r="Q367" s="123">
        <f>(VLOOKUP($E367,$D$6:$AI$674,Q$2,)/VLOOKUP($E367,$D$6:$AI$674,3,))*$F367</f>
        <v>0</v>
      </c>
      <c r="R367" s="123">
        <f>(VLOOKUP($E367,$D$6:$AI$674,15,)/VLOOKUP($E367,$D$6:$AI$674,3,))*$F367</f>
        <v>0</v>
      </c>
      <c r="S367" s="123">
        <f>(VLOOKUP($E367,$D$6:$AI$674,16,)/VLOOKUP($E367,$D$6:$AI$674,3,))*$F367</f>
        <v>0</v>
      </c>
      <c r="T367" s="123">
        <f>(VLOOKUP($E367,$D$6:$AI$674,17,)/VLOOKUP($E367,$D$6:$AI$674,3,))*$F367</f>
        <v>0</v>
      </c>
      <c r="U367" s="124">
        <f>SUM(G367:M367)</f>
        <v>0</v>
      </c>
      <c r="V367" s="109" t="str">
        <f>IF(ABS(F367-U367)&lt;0.01,"ok","err")</f>
        <v>ok</v>
      </c>
    </row>
    <row r="368" spans="1:23" x14ac:dyDescent="0.25">
      <c r="F368" s="7"/>
      <c r="U368" s="124"/>
    </row>
    <row r="369" spans="1:24" x14ac:dyDescent="0.25">
      <c r="A369" s="116" t="s">
        <v>14</v>
      </c>
      <c r="D369" s="116" t="s">
        <v>81</v>
      </c>
      <c r="F369" s="123">
        <f t="shared" ref="F369:T369" si="112">F332+F337+F342+F345+F348+F355+F358+F361+F364+F367</f>
        <v>-4653.3300000000008</v>
      </c>
      <c r="G369" s="123">
        <f t="shared" si="112"/>
        <v>-3422.43184559262</v>
      </c>
      <c r="H369" s="123">
        <f t="shared" si="112"/>
        <v>-1081.4829750946951</v>
      </c>
      <c r="I369" s="123">
        <f t="shared" si="112"/>
        <v>-70.607800943340322</v>
      </c>
      <c r="J369" s="123">
        <f t="shared" si="112"/>
        <v>-0.905888979280697</v>
      </c>
      <c r="K369" s="123">
        <f t="shared" si="112"/>
        <v>-77.901489390063645</v>
      </c>
      <c r="L369" s="123">
        <f t="shared" si="112"/>
        <v>0</v>
      </c>
      <c r="M369" s="123">
        <f t="shared" si="112"/>
        <v>0</v>
      </c>
      <c r="N369" s="123">
        <f t="shared" si="112"/>
        <v>0</v>
      </c>
      <c r="O369" s="123">
        <f t="shared" si="112"/>
        <v>0</v>
      </c>
      <c r="P369" s="123">
        <f t="shared" si="112"/>
        <v>0</v>
      </c>
      <c r="Q369" s="123">
        <f t="shared" si="112"/>
        <v>0</v>
      </c>
      <c r="R369" s="123">
        <f t="shared" si="112"/>
        <v>0</v>
      </c>
      <c r="S369" s="123">
        <f t="shared" si="112"/>
        <v>0</v>
      </c>
      <c r="T369" s="123">
        <f t="shared" si="112"/>
        <v>0</v>
      </c>
      <c r="U369" s="124">
        <f>SUM(G369:M369)</f>
        <v>-4653.33</v>
      </c>
      <c r="V369" s="109" t="str">
        <f>IF(ABS(F369-U369)&lt;0.01,"ok","err")</f>
        <v>ok</v>
      </c>
      <c r="W369" s="124"/>
      <c r="X369" s="109"/>
    </row>
    <row r="370" spans="1:24" x14ac:dyDescent="0.25">
      <c r="U370" s="124"/>
    </row>
    <row r="371" spans="1:24" x14ac:dyDescent="0.25">
      <c r="A371" s="121" t="s">
        <v>215</v>
      </c>
      <c r="U371" s="124"/>
    </row>
    <row r="372" spans="1:24" x14ac:dyDescent="0.25">
      <c r="U372" s="124"/>
    </row>
    <row r="373" spans="1:24" x14ac:dyDescent="0.25">
      <c r="A373" s="110" t="s">
        <v>452</v>
      </c>
      <c r="U373" s="124"/>
    </row>
    <row r="374" spans="1:24" x14ac:dyDescent="0.25">
      <c r="A374" s="122" t="s">
        <v>207</v>
      </c>
      <c r="C374" s="116" t="s">
        <v>177</v>
      </c>
      <c r="D374" s="116" t="s">
        <v>281</v>
      </c>
      <c r="E374" s="116" t="s">
        <v>310</v>
      </c>
      <c r="F374" s="123">
        <f>VLOOKUP(C374,'WSS-33'!$C$1:$AR$730,5,)</f>
        <v>0</v>
      </c>
      <c r="G374" s="123">
        <f t="shared" ref="G374:J375" si="113">(VLOOKUP($E374,$D$6:$AI$674,G$2,)/VLOOKUP($E374,$D$6:$AI$674,3,))*$F374</f>
        <v>0</v>
      </c>
      <c r="H374" s="123">
        <f t="shared" si="113"/>
        <v>0</v>
      </c>
      <c r="I374" s="123">
        <f t="shared" si="113"/>
        <v>0</v>
      </c>
      <c r="J374" s="123">
        <f t="shared" si="113"/>
        <v>0</v>
      </c>
      <c r="K374" s="123">
        <f>(VLOOKUP($E374,$D$6:$AI$674,8,)/VLOOKUP($E374,$D$6:$AI$674,3,))*$F374</f>
        <v>0</v>
      </c>
      <c r="L374" s="123">
        <f>(VLOOKUP($E374,$D$6:$AI$674,L$2,)/VLOOKUP($E374,$D$6:$AI$674,3,))*$F374</f>
        <v>0</v>
      </c>
      <c r="M374" s="123">
        <f>(VLOOKUP($E374,$D$6:$AI$674,M$2,)/VLOOKUP($E374,$D$6:$AI$674,3,))*$F374</f>
        <v>0</v>
      </c>
      <c r="N374" s="123">
        <f>(VLOOKUP($E374,$D$6:$AI$674,11,)/VLOOKUP($E374,$D$6:$AI$674,3,))*$F374</f>
        <v>0</v>
      </c>
      <c r="O374" s="123">
        <f t="shared" ref="O374:Q375" si="114">(VLOOKUP($E374,$D$6:$AI$674,O$2,)/VLOOKUP($E374,$D$6:$AI$674,3,))*$F374</f>
        <v>0</v>
      </c>
      <c r="P374" s="123">
        <f t="shared" si="114"/>
        <v>0</v>
      </c>
      <c r="Q374" s="123">
        <f t="shared" si="114"/>
        <v>0</v>
      </c>
      <c r="R374" s="123">
        <f>(VLOOKUP($E374,$D$6:$AI$674,15,)/VLOOKUP($E374,$D$6:$AI$674,3,))*$F374</f>
        <v>0</v>
      </c>
      <c r="S374" s="123">
        <f>(VLOOKUP($E374,$D$6:$AI$674,16,)/VLOOKUP($E374,$D$6:$AI$674,3,))*$F374</f>
        <v>0</v>
      </c>
      <c r="T374" s="123">
        <f>(VLOOKUP($E374,$D$6:$AI$674,17,)/VLOOKUP($E374,$D$6:$AI$674,3,))*$F374</f>
        <v>0</v>
      </c>
      <c r="U374" s="124">
        <f>SUM(G374:M374)</f>
        <v>0</v>
      </c>
      <c r="V374" s="109" t="str">
        <f>IF(ABS(F374-U374)&lt;0.01,"ok","err")</f>
        <v>ok</v>
      </c>
    </row>
    <row r="375" spans="1:24" x14ac:dyDescent="0.25">
      <c r="A375" s="122" t="s">
        <v>226</v>
      </c>
      <c r="C375" s="116" t="s">
        <v>177</v>
      </c>
      <c r="D375" s="116" t="s">
        <v>282</v>
      </c>
      <c r="E375" s="116" t="s">
        <v>311</v>
      </c>
      <c r="F375" s="7">
        <f>VLOOKUP(C375,'WSS-33'!$C$1:$AR$730,6,)</f>
        <v>0</v>
      </c>
      <c r="G375" s="7">
        <f t="shared" si="113"/>
        <v>0</v>
      </c>
      <c r="H375" s="7">
        <f t="shared" si="113"/>
        <v>0</v>
      </c>
      <c r="I375" s="7">
        <f t="shared" si="113"/>
        <v>0</v>
      </c>
      <c r="J375" s="7">
        <f t="shared" si="113"/>
        <v>0</v>
      </c>
      <c r="K375" s="7">
        <f>(VLOOKUP($E375,$D$6:$AI$674,8,)/VLOOKUP($E375,$D$6:$AI$674,3,))*$F375</f>
        <v>0</v>
      </c>
      <c r="L375" s="7">
        <f>(VLOOKUP($E375,$D$6:$AI$674,L$2,)/VLOOKUP($E375,$D$6:$AI$674,3,))*$F375</f>
        <v>0</v>
      </c>
      <c r="M375" s="7">
        <f>(VLOOKUP($E375,$D$6:$AI$674,M$2,)/VLOOKUP($E375,$D$6:$AI$674,3,))*$F375</f>
        <v>0</v>
      </c>
      <c r="N375" s="7">
        <f>(VLOOKUP($E375,$D$6:$AI$674,11,)/VLOOKUP($E375,$D$6:$AI$674,3,))*$F375</f>
        <v>0</v>
      </c>
      <c r="O375" s="7">
        <f t="shared" si="114"/>
        <v>0</v>
      </c>
      <c r="P375" s="7">
        <f t="shared" si="114"/>
        <v>0</v>
      </c>
      <c r="Q375" s="7">
        <f t="shared" si="114"/>
        <v>0</v>
      </c>
      <c r="R375" s="7">
        <f>(VLOOKUP($E375,$D$6:$AI$674,15,)/VLOOKUP($E375,$D$6:$AI$674,3,))*$F375</f>
        <v>0</v>
      </c>
      <c r="S375" s="7">
        <f>(VLOOKUP($E375,$D$6:$AI$674,16,)/VLOOKUP($E375,$D$6:$AI$674,3,))*$F375</f>
        <v>0</v>
      </c>
      <c r="T375" s="7">
        <f>(VLOOKUP($E375,$D$6:$AI$674,17,)/VLOOKUP($E375,$D$6:$AI$674,3,))*$F375</f>
        <v>0</v>
      </c>
      <c r="U375" s="124">
        <f>SUM(G375:M375)</f>
        <v>0</v>
      </c>
      <c r="V375" s="109" t="str">
        <f>IF(ABS(F375-U375)&lt;0.01,"ok","err")</f>
        <v>ok</v>
      </c>
    </row>
    <row r="376" spans="1:24" x14ac:dyDescent="0.25">
      <c r="A376" s="116" t="s">
        <v>654</v>
      </c>
      <c r="D376" s="116" t="s">
        <v>338</v>
      </c>
      <c r="F376" s="123">
        <f t="shared" ref="F376:T376" si="115">F374+F375</f>
        <v>0</v>
      </c>
      <c r="G376" s="123">
        <f t="shared" si="115"/>
        <v>0</v>
      </c>
      <c r="H376" s="123">
        <f t="shared" si="115"/>
        <v>0</v>
      </c>
      <c r="I376" s="123">
        <f t="shared" si="115"/>
        <v>0</v>
      </c>
      <c r="J376" s="123">
        <f t="shared" si="115"/>
        <v>0</v>
      </c>
      <c r="K376" s="123">
        <f t="shared" si="115"/>
        <v>0</v>
      </c>
      <c r="L376" s="123">
        <f t="shared" si="115"/>
        <v>0</v>
      </c>
      <c r="M376" s="123">
        <f t="shared" si="115"/>
        <v>0</v>
      </c>
      <c r="N376" s="123">
        <f t="shared" si="115"/>
        <v>0</v>
      </c>
      <c r="O376" s="123">
        <f t="shared" si="115"/>
        <v>0</v>
      </c>
      <c r="P376" s="123">
        <f t="shared" si="115"/>
        <v>0</v>
      </c>
      <c r="Q376" s="123">
        <f t="shared" si="115"/>
        <v>0</v>
      </c>
      <c r="R376" s="123">
        <f t="shared" si="115"/>
        <v>0</v>
      </c>
      <c r="S376" s="123">
        <f t="shared" si="115"/>
        <v>0</v>
      </c>
      <c r="T376" s="123">
        <f t="shared" si="115"/>
        <v>0</v>
      </c>
      <c r="U376" s="124">
        <f>SUM(G376:M376)</f>
        <v>0</v>
      </c>
      <c r="V376" s="109" t="str">
        <f>IF(ABS(F376-U376)&lt;0.01,"ok","err")</f>
        <v>ok</v>
      </c>
    </row>
    <row r="377" spans="1:24" x14ac:dyDescent="0.25">
      <c r="F377" s="7"/>
      <c r="G377" s="7"/>
      <c r="U377" s="124"/>
    </row>
    <row r="378" spans="1:24" x14ac:dyDescent="0.25">
      <c r="A378" s="110" t="s">
        <v>3</v>
      </c>
      <c r="F378" s="7"/>
      <c r="G378" s="7"/>
      <c r="U378" s="124"/>
    </row>
    <row r="379" spans="1:24" x14ac:dyDescent="0.25">
      <c r="A379" s="122" t="s">
        <v>207</v>
      </c>
      <c r="C379" s="116" t="s">
        <v>177</v>
      </c>
      <c r="D379" s="116" t="s">
        <v>283</v>
      </c>
      <c r="E379" s="116" t="s">
        <v>312</v>
      </c>
      <c r="F379" s="123">
        <f>VLOOKUP(C379,'WSS-33'!$C$1:$AR$730,7,)</f>
        <v>1836482.8551281544</v>
      </c>
      <c r="G379" s="123">
        <f t="shared" ref="G379:J380" si="116">(VLOOKUP($E379,$D$6:$AI$674,G$2,)/VLOOKUP($E379,$D$6:$AI$674,3,))*$F379</f>
        <v>1203961.8592721636</v>
      </c>
      <c r="H379" s="123">
        <f t="shared" si="116"/>
        <v>569258.03447475238</v>
      </c>
      <c r="I379" s="123">
        <f t="shared" si="116"/>
        <v>52363.807896090912</v>
      </c>
      <c r="J379" s="123">
        <f t="shared" si="116"/>
        <v>0</v>
      </c>
      <c r="K379" s="123">
        <f>(VLOOKUP($E379,$D$6:$AI$674,8,)/VLOOKUP($E379,$D$6:$AI$674,3,))*$F379</f>
        <v>10899.153485147395</v>
      </c>
      <c r="L379" s="123">
        <f>(VLOOKUP($E379,$D$6:$AI$674,L$2,)/VLOOKUP($E379,$D$6:$AI$674,3,))*$F379</f>
        <v>0</v>
      </c>
      <c r="M379" s="123">
        <f>(VLOOKUP($E379,$D$6:$AI$674,M$2,)/VLOOKUP($E379,$D$6:$AI$674,3,))*$F379</f>
        <v>0</v>
      </c>
      <c r="N379" s="123">
        <f>(VLOOKUP($E379,$D$6:$AI$674,11,)/VLOOKUP($E379,$D$6:$AI$674,3,))*$F379</f>
        <v>0</v>
      </c>
      <c r="O379" s="123">
        <f t="shared" ref="O379:Q380" si="117">(VLOOKUP($E379,$D$6:$AI$674,O$2,)/VLOOKUP($E379,$D$6:$AI$674,3,))*$F379</f>
        <v>0</v>
      </c>
      <c r="P379" s="123">
        <f t="shared" si="117"/>
        <v>0</v>
      </c>
      <c r="Q379" s="123">
        <f t="shared" si="117"/>
        <v>0</v>
      </c>
      <c r="R379" s="123">
        <f>(VLOOKUP($E379,$D$6:$AI$674,15,)/VLOOKUP($E379,$D$6:$AI$674,3,))*$F379</f>
        <v>0</v>
      </c>
      <c r="S379" s="123">
        <f>(VLOOKUP($E379,$D$6:$AI$674,16,)/VLOOKUP($E379,$D$6:$AI$674,3,))*$F379</f>
        <v>0</v>
      </c>
      <c r="T379" s="123">
        <f>(VLOOKUP($E379,$D$6:$AI$674,17,)/VLOOKUP($E379,$D$6:$AI$674,3,))*$F379</f>
        <v>0</v>
      </c>
      <c r="U379" s="124">
        <f>SUM(G379:M379)</f>
        <v>1836482.8551281542</v>
      </c>
      <c r="V379" s="109" t="str">
        <f>IF(ABS(F379-U379)&lt;0.01,"ok","err")</f>
        <v>ok</v>
      </c>
    </row>
    <row r="380" spans="1:24" x14ac:dyDescent="0.25">
      <c r="A380" s="116" t="s">
        <v>226</v>
      </c>
      <c r="C380" s="116" t="s">
        <v>177</v>
      </c>
      <c r="D380" s="116" t="s">
        <v>284</v>
      </c>
      <c r="E380" s="116" t="s">
        <v>313</v>
      </c>
      <c r="F380" s="7">
        <f>VLOOKUP(C380,'WSS-33'!$C$1:$AR$730,8,)</f>
        <v>0</v>
      </c>
      <c r="G380" s="7">
        <f t="shared" si="116"/>
        <v>0</v>
      </c>
      <c r="H380" s="7">
        <f t="shared" si="116"/>
        <v>0</v>
      </c>
      <c r="I380" s="7">
        <f t="shared" si="116"/>
        <v>0</v>
      </c>
      <c r="J380" s="7">
        <f t="shared" si="116"/>
        <v>0</v>
      </c>
      <c r="K380" s="7">
        <f>(VLOOKUP($E380,$D$6:$AI$674,8,)/VLOOKUP($E380,$D$6:$AI$674,3,))*$F380</f>
        <v>0</v>
      </c>
      <c r="L380" s="7">
        <f>(VLOOKUP($E380,$D$6:$AI$674,L$2,)/VLOOKUP($E380,$D$6:$AI$674,3,))*$F380</f>
        <v>0</v>
      </c>
      <c r="M380" s="7">
        <f>(VLOOKUP($E380,$D$6:$AI$674,M$2,)/VLOOKUP($E380,$D$6:$AI$674,3,))*$F380</f>
        <v>0</v>
      </c>
      <c r="N380" s="7">
        <f>(VLOOKUP($E380,$D$6:$AI$674,11,)/VLOOKUP($E380,$D$6:$AI$674,3,))*$F380</f>
        <v>0</v>
      </c>
      <c r="O380" s="7">
        <f t="shared" si="117"/>
        <v>0</v>
      </c>
      <c r="P380" s="7">
        <f t="shared" si="117"/>
        <v>0</v>
      </c>
      <c r="Q380" s="7">
        <f t="shared" si="117"/>
        <v>0</v>
      </c>
      <c r="R380" s="7">
        <f>(VLOOKUP($E380,$D$6:$AI$674,15,)/VLOOKUP($E380,$D$6:$AI$674,3,))*$F380</f>
        <v>0</v>
      </c>
      <c r="S380" s="7">
        <f>(VLOOKUP($E380,$D$6:$AI$674,16,)/VLOOKUP($E380,$D$6:$AI$674,3,))*$F380</f>
        <v>0</v>
      </c>
      <c r="T380" s="7">
        <f>(VLOOKUP($E380,$D$6:$AI$674,17,)/VLOOKUP($E380,$D$6:$AI$674,3,))*$F380</f>
        <v>0</v>
      </c>
      <c r="U380" s="124">
        <f>SUM(G380:M380)</f>
        <v>0</v>
      </c>
      <c r="V380" s="109" t="str">
        <f>IF(ABS(F380-U380)&lt;0.01,"ok","err")</f>
        <v>ok</v>
      </c>
      <c r="W380" s="125"/>
    </row>
    <row r="381" spans="1:24" x14ac:dyDescent="0.25">
      <c r="A381" s="116" t="s">
        <v>227</v>
      </c>
      <c r="D381" s="116" t="s">
        <v>339</v>
      </c>
      <c r="F381" s="123">
        <f>SUM(F379:F380)</f>
        <v>1836482.8551281544</v>
      </c>
      <c r="G381" s="123">
        <f t="shared" ref="G381:T381" si="118">G379+G380</f>
        <v>1203961.8592721636</v>
      </c>
      <c r="H381" s="123">
        <f t="shared" si="118"/>
        <v>569258.03447475238</v>
      </c>
      <c r="I381" s="123">
        <f t="shared" si="118"/>
        <v>52363.807896090912</v>
      </c>
      <c r="J381" s="123">
        <f t="shared" si="118"/>
        <v>0</v>
      </c>
      <c r="K381" s="123">
        <f t="shared" si="118"/>
        <v>10899.153485147395</v>
      </c>
      <c r="L381" s="123">
        <f t="shared" si="118"/>
        <v>0</v>
      </c>
      <c r="M381" s="123">
        <f t="shared" si="118"/>
        <v>0</v>
      </c>
      <c r="N381" s="123">
        <f t="shared" si="118"/>
        <v>0</v>
      </c>
      <c r="O381" s="123">
        <f t="shared" si="118"/>
        <v>0</v>
      </c>
      <c r="P381" s="123">
        <f t="shared" si="118"/>
        <v>0</v>
      </c>
      <c r="Q381" s="123">
        <f t="shared" si="118"/>
        <v>0</v>
      </c>
      <c r="R381" s="123">
        <f t="shared" si="118"/>
        <v>0</v>
      </c>
      <c r="S381" s="123">
        <f t="shared" si="118"/>
        <v>0</v>
      </c>
      <c r="T381" s="123">
        <f t="shared" si="118"/>
        <v>0</v>
      </c>
      <c r="U381" s="124">
        <f>SUM(G381:M381)</f>
        <v>1836482.8551281542</v>
      </c>
      <c r="V381" s="109" t="str">
        <f>IF(ABS(F381-U381)&lt;0.01,"ok","err")</f>
        <v>ok</v>
      </c>
      <c r="W381" s="125"/>
    </row>
    <row r="382" spans="1:24" x14ac:dyDescent="0.25">
      <c r="F382" s="7"/>
      <c r="G382" s="7"/>
      <c r="U382" s="124"/>
    </row>
    <row r="383" spans="1:24" x14ac:dyDescent="0.25">
      <c r="A383" s="110" t="s">
        <v>4</v>
      </c>
      <c r="F383" s="7"/>
      <c r="G383" s="7"/>
      <c r="U383" s="124"/>
    </row>
    <row r="384" spans="1:24" x14ac:dyDescent="0.25">
      <c r="A384" s="122" t="s">
        <v>854</v>
      </c>
      <c r="C384" s="116" t="s">
        <v>177</v>
      </c>
      <c r="D384" s="116" t="s">
        <v>285</v>
      </c>
      <c r="E384" s="116" t="s">
        <v>317</v>
      </c>
      <c r="F384" s="123">
        <f>VLOOKUP(C384,'WSS-33'!$C$1:$AR$730,9,)</f>
        <v>221681.17166734367</v>
      </c>
      <c r="G384" s="123">
        <f t="shared" ref="G384:J385" si="119">(VLOOKUP($E384,$D$6:$AI$674,G$2,)/VLOOKUP($E384,$D$6:$AI$674,3,))*$F384</f>
        <v>117937.30142999162</v>
      </c>
      <c r="H384" s="123">
        <f t="shared" si="119"/>
        <v>57208.515955975818</v>
      </c>
      <c r="I384" s="123">
        <f t="shared" si="119"/>
        <v>7140.9642567826304</v>
      </c>
      <c r="J384" s="123">
        <f t="shared" si="119"/>
        <v>458.26221401089032</v>
      </c>
      <c r="K384" s="123">
        <f>(VLOOKUP($E384,$D$6:$AI$674,8,)/VLOOKUP($E384,$D$6:$AI$674,3,))*$F384</f>
        <v>38936.127810582722</v>
      </c>
      <c r="L384" s="123">
        <f>(VLOOKUP($E384,$D$6:$AI$674,L$2,)/VLOOKUP($E384,$D$6:$AI$674,3,))*$F384</f>
        <v>0</v>
      </c>
      <c r="M384" s="123">
        <f>(VLOOKUP($E384,$D$6:$AI$674,M$2,)/VLOOKUP($E384,$D$6:$AI$674,3,))*$F384</f>
        <v>0</v>
      </c>
      <c r="N384" s="123">
        <f>(VLOOKUP($E384,$D$6:$AI$674,11,)/VLOOKUP($E384,$D$6:$AI$674,3,))*$F384</f>
        <v>0</v>
      </c>
      <c r="O384" s="123">
        <f t="shared" ref="O384:Q385" si="120">(VLOOKUP($E384,$D$6:$AI$674,O$2,)/VLOOKUP($E384,$D$6:$AI$674,3,))*$F384</f>
        <v>0</v>
      </c>
      <c r="P384" s="123">
        <f t="shared" si="120"/>
        <v>0</v>
      </c>
      <c r="Q384" s="123">
        <f t="shared" si="120"/>
        <v>0</v>
      </c>
      <c r="R384" s="123">
        <f>(VLOOKUP($E384,$D$6:$AI$674,15,)/VLOOKUP($E384,$D$6:$AI$674,3,))*$F384</f>
        <v>0</v>
      </c>
      <c r="S384" s="123">
        <f>(VLOOKUP($E384,$D$6:$AI$674,16,)/VLOOKUP($E384,$D$6:$AI$674,3,))*$F384</f>
        <v>0</v>
      </c>
      <c r="T384" s="123">
        <f>(VLOOKUP($E384,$D$6:$AI$674,17,)/VLOOKUP($E384,$D$6:$AI$674,3,))*$F384</f>
        <v>0</v>
      </c>
      <c r="U384" s="124">
        <f>SUM(G384:M384)</f>
        <v>221681.1716673437</v>
      </c>
      <c r="V384" s="109" t="str">
        <f>IF(ABS(F384-U384)&lt;0.01,"ok","err")</f>
        <v>ok</v>
      </c>
    </row>
    <row r="385" spans="1:23" x14ac:dyDescent="0.25">
      <c r="A385" s="116" t="s">
        <v>850</v>
      </c>
      <c r="C385" s="116" t="s">
        <v>177</v>
      </c>
      <c r="D385" s="116" t="s">
        <v>286</v>
      </c>
      <c r="E385" s="116" t="s">
        <v>314</v>
      </c>
      <c r="F385" s="7">
        <f>VLOOKUP(C385,'WSS-33'!$C$1:$AR$730,10,)</f>
        <v>539869.03124906647</v>
      </c>
      <c r="G385" s="7">
        <f t="shared" si="119"/>
        <v>353927.46565049229</v>
      </c>
      <c r="H385" s="7">
        <f t="shared" si="119"/>
        <v>167344.21600749786</v>
      </c>
      <c r="I385" s="7">
        <f t="shared" si="119"/>
        <v>15393.336323524834</v>
      </c>
      <c r="J385" s="7">
        <f t="shared" si="119"/>
        <v>0</v>
      </c>
      <c r="K385" s="7">
        <f>(VLOOKUP($E385,$D$6:$AI$674,8,)/VLOOKUP($E385,$D$6:$AI$674,3,))*$F385</f>
        <v>3204.0132675514697</v>
      </c>
      <c r="L385" s="7">
        <f>(VLOOKUP($E385,$D$6:$AI$674,L$2,)/VLOOKUP($E385,$D$6:$AI$674,3,))*$F385</f>
        <v>0</v>
      </c>
      <c r="M385" s="7">
        <f>(VLOOKUP($E385,$D$6:$AI$674,M$2,)/VLOOKUP($E385,$D$6:$AI$674,3,))*$F385</f>
        <v>0</v>
      </c>
      <c r="N385" s="7">
        <f>(VLOOKUP($E385,$D$6:$AI$674,11,)/VLOOKUP($E385,$D$6:$AI$674,3,))*$F385</f>
        <v>0</v>
      </c>
      <c r="O385" s="7">
        <f t="shared" si="120"/>
        <v>0</v>
      </c>
      <c r="P385" s="7">
        <f t="shared" si="120"/>
        <v>0</v>
      </c>
      <c r="Q385" s="7">
        <f t="shared" si="120"/>
        <v>0</v>
      </c>
      <c r="R385" s="7">
        <f>(VLOOKUP($E385,$D$6:$AI$674,15,)/VLOOKUP($E385,$D$6:$AI$674,3,))*$F385</f>
        <v>0</v>
      </c>
      <c r="S385" s="7">
        <f>(VLOOKUP($E385,$D$6:$AI$674,16,)/VLOOKUP($E385,$D$6:$AI$674,3,))*$F385</f>
        <v>0</v>
      </c>
      <c r="T385" s="7">
        <f>(VLOOKUP($E385,$D$6:$AI$674,17,)/VLOOKUP($E385,$D$6:$AI$674,3,))*$F385</f>
        <v>0</v>
      </c>
      <c r="U385" s="124">
        <f>SUM(G385:M385)</f>
        <v>539869.03124906647</v>
      </c>
      <c r="V385" s="109" t="str">
        <f>IF(ABS(F385-U385)&lt;0.01,"ok","err")</f>
        <v>ok</v>
      </c>
    </row>
    <row r="386" spans="1:23" x14ac:dyDescent="0.25">
      <c r="A386" s="116" t="s">
        <v>228</v>
      </c>
      <c r="D386" s="116" t="s">
        <v>340</v>
      </c>
      <c r="F386" s="123">
        <f>SUM(F384:F385)</f>
        <v>761550.20291641017</v>
      </c>
      <c r="G386" s="123">
        <f t="shared" ref="G386:T386" si="121">G384+G385</f>
        <v>471864.7670804839</v>
      </c>
      <c r="H386" s="123">
        <f t="shared" si="121"/>
        <v>224552.73196347366</v>
      </c>
      <c r="I386" s="123">
        <f t="shared" si="121"/>
        <v>22534.300580307463</v>
      </c>
      <c r="J386" s="123">
        <f t="shared" si="121"/>
        <v>458.26221401089032</v>
      </c>
      <c r="K386" s="123">
        <f t="shared" si="121"/>
        <v>42140.141078134191</v>
      </c>
      <c r="L386" s="123">
        <f t="shared" si="121"/>
        <v>0</v>
      </c>
      <c r="M386" s="123">
        <f t="shared" si="121"/>
        <v>0</v>
      </c>
      <c r="N386" s="123">
        <f t="shared" si="121"/>
        <v>0</v>
      </c>
      <c r="O386" s="123">
        <f t="shared" si="121"/>
        <v>0</v>
      </c>
      <c r="P386" s="123">
        <f t="shared" si="121"/>
        <v>0</v>
      </c>
      <c r="Q386" s="123">
        <f t="shared" si="121"/>
        <v>0</v>
      </c>
      <c r="R386" s="123">
        <f t="shared" si="121"/>
        <v>0</v>
      </c>
      <c r="S386" s="123">
        <f t="shared" si="121"/>
        <v>0</v>
      </c>
      <c r="T386" s="123">
        <f t="shared" si="121"/>
        <v>0</v>
      </c>
      <c r="U386" s="124">
        <f>SUM(G386:M386)</f>
        <v>761550.20291641017</v>
      </c>
      <c r="V386" s="109" t="str">
        <f>IF(ABS(F386-U386)&lt;0.01,"ok","err")</f>
        <v>ok</v>
      </c>
    </row>
    <row r="387" spans="1:23" x14ac:dyDescent="0.25">
      <c r="F387" s="7"/>
      <c r="U387" s="124"/>
    </row>
    <row r="388" spans="1:23" x14ac:dyDescent="0.25">
      <c r="A388" s="110" t="s">
        <v>6</v>
      </c>
      <c r="F388" s="7"/>
      <c r="U388" s="124"/>
    </row>
    <row r="389" spans="1:23" x14ac:dyDescent="0.25">
      <c r="A389" s="116" t="s">
        <v>226</v>
      </c>
      <c r="C389" s="116" t="s">
        <v>177</v>
      </c>
      <c r="D389" s="116" t="s">
        <v>287</v>
      </c>
      <c r="E389" s="116" t="s">
        <v>316</v>
      </c>
      <c r="F389" s="123">
        <f>VLOOKUP(C389,'WSS-33'!$C$1:$AR$730,11,)</f>
        <v>0</v>
      </c>
      <c r="G389" s="123">
        <f>(VLOOKUP($E389,$D$6:$AI$674,G$2,)/VLOOKUP($E389,$D$6:$AI$674,3,))*$F389</f>
        <v>0</v>
      </c>
      <c r="H389" s="123">
        <f>(VLOOKUP($E389,$D$6:$AI$674,H$2,)/VLOOKUP($E389,$D$6:$AI$674,3,))*$F389</f>
        <v>0</v>
      </c>
      <c r="I389" s="123">
        <f>(VLOOKUP($E389,$D$6:$AI$674,I$2,)/VLOOKUP($E389,$D$6:$AI$674,3,))*$F389</f>
        <v>0</v>
      </c>
      <c r="J389" s="123">
        <f>(VLOOKUP($E389,$D$6:$AI$674,J$2,)/VLOOKUP($E389,$D$6:$AI$674,3,))*$F389</f>
        <v>0</v>
      </c>
      <c r="K389" s="123">
        <f>(VLOOKUP($E389,$D$6:$AI$674,8,)/VLOOKUP($E389,$D$6:$AI$674,3,))*$F389</f>
        <v>0</v>
      </c>
      <c r="L389" s="123">
        <f>(VLOOKUP($E389,$D$6:$AI$674,L$2,)/VLOOKUP($E389,$D$6:$AI$674,3,))*$F389</f>
        <v>0</v>
      </c>
      <c r="M389" s="123">
        <f>(VLOOKUP($E389,$D$6:$AI$674,M$2,)/VLOOKUP($E389,$D$6:$AI$674,3,))*$F389</f>
        <v>0</v>
      </c>
      <c r="N389" s="123">
        <f>(VLOOKUP($E389,$D$6:$AI$674,11,)/VLOOKUP($E389,$D$6:$AI$674,3,))*$F389</f>
        <v>0</v>
      </c>
      <c r="O389" s="123">
        <f>(VLOOKUP($E389,$D$6:$AI$674,O$2,)/VLOOKUP($E389,$D$6:$AI$674,3,))*$F389</f>
        <v>0</v>
      </c>
      <c r="P389" s="123">
        <f>(VLOOKUP($E389,$D$6:$AI$674,P$2,)/VLOOKUP($E389,$D$6:$AI$674,3,))*$F389</f>
        <v>0</v>
      </c>
      <c r="Q389" s="123">
        <f>(VLOOKUP($E389,$D$6:$AI$674,Q$2,)/VLOOKUP($E389,$D$6:$AI$674,3,))*$F389</f>
        <v>0</v>
      </c>
      <c r="R389" s="123">
        <f>(VLOOKUP($E389,$D$6:$AI$674,15,)/VLOOKUP($E389,$D$6:$AI$674,3,))*$F389</f>
        <v>0</v>
      </c>
      <c r="S389" s="123">
        <f>(VLOOKUP($E389,$D$6:$AI$674,16,)/VLOOKUP($E389,$D$6:$AI$674,3,))*$F389</f>
        <v>0</v>
      </c>
      <c r="T389" s="123">
        <f>(VLOOKUP($E389,$D$6:$AI$674,17,)/VLOOKUP($E389,$D$6:$AI$674,3,))*$F389</f>
        <v>0</v>
      </c>
      <c r="U389" s="124">
        <f>SUM(G389:M389)</f>
        <v>0</v>
      </c>
      <c r="V389" s="109" t="str">
        <f>IF(ABS(F389-U389)&lt;0.01,"ok","err")</f>
        <v>ok</v>
      </c>
    </row>
    <row r="390" spans="1:23" x14ac:dyDescent="0.25">
      <c r="A390" s="122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124"/>
      <c r="V390" s="109"/>
    </row>
    <row r="391" spans="1:23" x14ac:dyDescent="0.25">
      <c r="A391" s="110" t="s">
        <v>7</v>
      </c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124"/>
      <c r="V391" s="109"/>
    </row>
    <row r="392" spans="1:23" x14ac:dyDescent="0.25">
      <c r="A392" s="122" t="s">
        <v>207</v>
      </c>
      <c r="C392" s="116" t="s">
        <v>177</v>
      </c>
      <c r="D392" s="116" t="s">
        <v>288</v>
      </c>
      <c r="E392" s="116" t="s">
        <v>317</v>
      </c>
      <c r="F392" s="123">
        <f>VLOOKUP(C392,'WSS-33'!$C$1:$AR$730,12,)</f>
        <v>465921.57045312616</v>
      </c>
      <c r="G392" s="123">
        <f>(VLOOKUP($E392,$D$6:$AI$674,G$2,)/VLOOKUP($E392,$D$6:$AI$674,3,))*$F392</f>
        <v>247876.40864567008</v>
      </c>
      <c r="H392" s="123">
        <f>(VLOOKUP($E392,$D$6:$AI$674,H$2,)/VLOOKUP($E392,$D$6:$AI$674,3,))*$F392</f>
        <v>120238.81594012494</v>
      </c>
      <c r="I392" s="123">
        <f>(VLOOKUP($E392,$D$6:$AI$674,I$2,)/VLOOKUP($E392,$D$6:$AI$674,3,))*$F392</f>
        <v>15008.62367356357</v>
      </c>
      <c r="J392" s="123">
        <f>(VLOOKUP($E392,$D$6:$AI$674,J$2,)/VLOOKUP($E392,$D$6:$AI$674,3,))*$F392</f>
        <v>963.15915702431244</v>
      </c>
      <c r="K392" s="123">
        <f>(VLOOKUP($E392,$D$6:$AI$674,8,)/VLOOKUP($E392,$D$6:$AI$674,3,))*$F392</f>
        <v>81834.563036743275</v>
      </c>
      <c r="L392" s="123">
        <f>(VLOOKUP($E392,$D$6:$AI$674,L$2,)/VLOOKUP($E392,$D$6:$AI$674,3,))*$F392</f>
        <v>0</v>
      </c>
      <c r="M392" s="123">
        <f>(VLOOKUP($E392,$D$6:$AI$674,M$2,)/VLOOKUP($E392,$D$6:$AI$674,3,))*$F392</f>
        <v>0</v>
      </c>
      <c r="N392" s="123">
        <f>(VLOOKUP($E392,$D$6:$AI$674,11,)/VLOOKUP($E392,$D$6:$AI$674,3,))*$F392</f>
        <v>0</v>
      </c>
      <c r="O392" s="123">
        <f>(VLOOKUP($E392,$D$6:$AI$674,O$2,)/VLOOKUP($E392,$D$6:$AI$674,3,))*$F392</f>
        <v>0</v>
      </c>
      <c r="P392" s="123">
        <f>(VLOOKUP($E392,$D$6:$AI$674,P$2,)/VLOOKUP($E392,$D$6:$AI$674,3,))*$F392</f>
        <v>0</v>
      </c>
      <c r="Q392" s="123">
        <f>(VLOOKUP($E392,$D$6:$AI$674,Q$2,)/VLOOKUP($E392,$D$6:$AI$674,3,))*$F392</f>
        <v>0</v>
      </c>
      <c r="R392" s="123">
        <f>(VLOOKUP($E392,$D$6:$AI$674,15,)/VLOOKUP($E392,$D$6:$AI$674,3,))*$F392</f>
        <v>0</v>
      </c>
      <c r="S392" s="123">
        <f>(VLOOKUP($E392,$D$6:$AI$674,16,)/VLOOKUP($E392,$D$6:$AI$674,3,))*$F392</f>
        <v>0</v>
      </c>
      <c r="T392" s="123">
        <f>(VLOOKUP($E392,$D$6:$AI$674,17,)/VLOOKUP($E392,$D$6:$AI$674,3,))*$F392</f>
        <v>0</v>
      </c>
      <c r="U392" s="124">
        <f>SUM(G392:M392)</f>
        <v>465921.57045312616</v>
      </c>
      <c r="V392" s="109" t="str">
        <f>IF(ABS(F392-U392)&lt;0.01,"ok","err")</f>
        <v>ok</v>
      </c>
    </row>
    <row r="393" spans="1:23" x14ac:dyDescent="0.25">
      <c r="F393" s="7"/>
      <c r="U393" s="124"/>
    </row>
    <row r="394" spans="1:23" x14ac:dyDescent="0.25">
      <c r="A394" s="110" t="s">
        <v>8</v>
      </c>
      <c r="F394" s="7"/>
      <c r="U394" s="124"/>
    </row>
    <row r="395" spans="1:23" x14ac:dyDescent="0.25">
      <c r="A395" s="122" t="s">
        <v>676</v>
      </c>
      <c r="C395" s="116" t="s">
        <v>177</v>
      </c>
      <c r="D395" s="116" t="s">
        <v>289</v>
      </c>
      <c r="E395" s="116" t="s">
        <v>680</v>
      </c>
      <c r="F395" s="123">
        <f>VLOOKUP(C395,'WSS-33'!$C$1:$AR$730,13,)</f>
        <v>1260522.8864603527</v>
      </c>
      <c r="G395" s="123">
        <f t="shared" ref="G395:J398" si="122">(VLOOKUP($E395,$D$6:$AI$674,G$2,)/VLOOKUP($E395,$D$6:$AI$674,3,))*$F395</f>
        <v>817250.57639249624</v>
      </c>
      <c r="H395" s="123">
        <f t="shared" si="122"/>
        <v>396428.37399780471</v>
      </c>
      <c r="I395" s="123">
        <f t="shared" si="122"/>
        <v>46843.936070051735</v>
      </c>
      <c r="J395" s="123">
        <f t="shared" si="122"/>
        <v>0</v>
      </c>
      <c r="K395" s="123">
        <f>(VLOOKUP($E395,$D$6:$AI$674,8,)/VLOOKUP($E395,$D$6:$AI$674,3,))*$F395</f>
        <v>0</v>
      </c>
      <c r="L395" s="123">
        <f t="shared" ref="L395:M398" si="123">(VLOOKUP($E395,$D$6:$AI$674,L$2,)/VLOOKUP($E395,$D$6:$AI$674,3,))*$F395</f>
        <v>0</v>
      </c>
      <c r="M395" s="123">
        <f t="shared" si="123"/>
        <v>0</v>
      </c>
      <c r="N395" s="123">
        <f>(VLOOKUP($E395,$D$6:$AI$674,11,)/VLOOKUP($E395,$D$6:$AI$674,3,))*$F395</f>
        <v>0</v>
      </c>
      <c r="O395" s="123">
        <f t="shared" ref="O395:Q398" si="124">(VLOOKUP($E395,$D$6:$AI$674,O$2,)/VLOOKUP($E395,$D$6:$AI$674,3,))*$F395</f>
        <v>0</v>
      </c>
      <c r="P395" s="123">
        <f t="shared" si="124"/>
        <v>0</v>
      </c>
      <c r="Q395" s="123">
        <f t="shared" si="124"/>
        <v>0</v>
      </c>
      <c r="R395" s="123">
        <f>(VLOOKUP($E395,$D$6:$AI$674,15,)/VLOOKUP($E395,$D$6:$AI$674,3,))*$F395</f>
        <v>0</v>
      </c>
      <c r="S395" s="123">
        <f>(VLOOKUP($E395,$D$6:$AI$674,16,)/VLOOKUP($E395,$D$6:$AI$674,3,))*$F395</f>
        <v>0</v>
      </c>
      <c r="T395" s="123">
        <f>(VLOOKUP($E395,$D$6:$AI$674,17,)/VLOOKUP($E395,$D$6:$AI$674,3,))*$F395</f>
        <v>0</v>
      </c>
      <c r="U395" s="124">
        <f>SUM(G395:M395)</f>
        <v>1260522.8864603527</v>
      </c>
      <c r="V395" s="109" t="str">
        <f>IF(ABS(F395-U395)&lt;0.01,"ok","err")</f>
        <v>ok</v>
      </c>
    </row>
    <row r="396" spans="1:23" x14ac:dyDescent="0.25">
      <c r="A396" s="122" t="s">
        <v>675</v>
      </c>
      <c r="C396" s="116" t="s">
        <v>177</v>
      </c>
      <c r="D396" s="116" t="s">
        <v>290</v>
      </c>
      <c r="E396" s="116" t="s">
        <v>873</v>
      </c>
      <c r="F396" s="7">
        <f>VLOOKUP(C396,'WSS-33'!$C$1:$AR$730,14,)</f>
        <v>2483557.3334778328</v>
      </c>
      <c r="G396" s="7">
        <f t="shared" si="122"/>
        <v>2289619.160150785</v>
      </c>
      <c r="H396" s="7">
        <f t="shared" si="122"/>
        <v>192058.10995443081</v>
      </c>
      <c r="I396" s="7">
        <f t="shared" si="122"/>
        <v>1880.0633726171316</v>
      </c>
      <c r="J396" s="7">
        <f t="shared" si="122"/>
        <v>0</v>
      </c>
      <c r="K396" s="7">
        <f>(VLOOKUP($E396,$D$6:$AI$674,8,)/VLOOKUP($E396,$D$6:$AI$674,3,))*$F396</f>
        <v>0</v>
      </c>
      <c r="L396" s="7">
        <f t="shared" si="123"/>
        <v>0</v>
      </c>
      <c r="M396" s="7">
        <f t="shared" si="123"/>
        <v>0</v>
      </c>
      <c r="N396" s="7">
        <f>(VLOOKUP($E396,$D$6:$AI$674,11,)/VLOOKUP($E396,$D$6:$AI$674,3,))*$F396</f>
        <v>0</v>
      </c>
      <c r="O396" s="7">
        <f t="shared" si="124"/>
        <v>0</v>
      </c>
      <c r="P396" s="7">
        <f t="shared" si="124"/>
        <v>0</v>
      </c>
      <c r="Q396" s="7">
        <f t="shared" si="124"/>
        <v>0</v>
      </c>
      <c r="R396" s="7">
        <f>(VLOOKUP($E396,$D$6:$AI$674,15,)/VLOOKUP($E396,$D$6:$AI$674,3,))*$F396</f>
        <v>0</v>
      </c>
      <c r="S396" s="7">
        <f>(VLOOKUP($E396,$D$6:$AI$674,16,)/VLOOKUP($E396,$D$6:$AI$674,3,))*$F396</f>
        <v>0</v>
      </c>
      <c r="T396" s="7">
        <f>(VLOOKUP($E396,$D$6:$AI$674,17,)/VLOOKUP($E396,$D$6:$AI$674,3,))*$F396</f>
        <v>0</v>
      </c>
      <c r="U396" s="124">
        <f>SUM(G396:M396)</f>
        <v>2483557.3334778328</v>
      </c>
      <c r="V396" s="109" t="str">
        <f>IF(ABS(F396-U396)&lt;0.01,"ok","err")</f>
        <v>ok</v>
      </c>
      <c r="W396" s="125"/>
    </row>
    <row r="397" spans="1:23" x14ac:dyDescent="0.25">
      <c r="A397" s="122" t="s">
        <v>677</v>
      </c>
      <c r="C397" s="116" t="s">
        <v>177</v>
      </c>
      <c r="D397" s="116" t="s">
        <v>289</v>
      </c>
      <c r="E397" s="116" t="s">
        <v>318</v>
      </c>
      <c r="F397" s="7">
        <f>VLOOKUP(C397,'WSS-33'!$C$1:$AR$730,15,)</f>
        <v>215444.61164904022</v>
      </c>
      <c r="G397" s="7">
        <f t="shared" si="122"/>
        <v>114619.36940521588</v>
      </c>
      <c r="H397" s="7">
        <f t="shared" si="122"/>
        <v>55599.067843472571</v>
      </c>
      <c r="I397" s="7">
        <f t="shared" si="122"/>
        <v>6940.0673928720844</v>
      </c>
      <c r="J397" s="7">
        <f t="shared" si="122"/>
        <v>445.36991566952173</v>
      </c>
      <c r="K397" s="7">
        <f>(VLOOKUP($E397,$D$6:$AI$674,8,)/VLOOKUP($E397,$D$6:$AI$674,3,))*$F397</f>
        <v>37840.737091810173</v>
      </c>
      <c r="L397" s="7">
        <f t="shared" si="123"/>
        <v>0</v>
      </c>
      <c r="M397" s="7">
        <f t="shared" si="123"/>
        <v>0</v>
      </c>
      <c r="N397" s="7">
        <f>(VLOOKUP($E397,$D$6:$AI$674,11,)/VLOOKUP($E397,$D$6:$AI$674,3,))*$F397</f>
        <v>0</v>
      </c>
      <c r="O397" s="7">
        <f t="shared" si="124"/>
        <v>0</v>
      </c>
      <c r="P397" s="7">
        <f t="shared" si="124"/>
        <v>0</v>
      </c>
      <c r="Q397" s="7">
        <f t="shared" si="124"/>
        <v>0</v>
      </c>
      <c r="R397" s="7"/>
      <c r="S397" s="7"/>
      <c r="T397" s="7"/>
      <c r="U397" s="124"/>
      <c r="V397" s="109"/>
    </row>
    <row r="398" spans="1:23" x14ac:dyDescent="0.25">
      <c r="A398" s="122" t="s">
        <v>674</v>
      </c>
      <c r="C398" s="116" t="s">
        <v>177</v>
      </c>
      <c r="D398" s="116" t="s">
        <v>290</v>
      </c>
      <c r="E398" s="116" t="s">
        <v>872</v>
      </c>
      <c r="F398" s="7">
        <f>VLOOKUP(C398,'WSS-33'!$C$1:$AR$730,16,)</f>
        <v>182844.16762523813</v>
      </c>
      <c r="G398" s="7">
        <f t="shared" si="122"/>
        <v>168519.82665179757</v>
      </c>
      <c r="H398" s="7">
        <f t="shared" si="122"/>
        <v>14135.800381082192</v>
      </c>
      <c r="I398" s="7">
        <f t="shared" si="122"/>
        <v>142.32137390281756</v>
      </c>
      <c r="J398" s="7">
        <f t="shared" si="122"/>
        <v>2.8182450277785658</v>
      </c>
      <c r="K398" s="7">
        <f>(VLOOKUP($E398,$D$6:$AI$674,8,)/VLOOKUP($E398,$D$6:$AI$674,3,))*$F398</f>
        <v>43.400973427789907</v>
      </c>
      <c r="L398" s="7">
        <f t="shared" si="123"/>
        <v>0</v>
      </c>
      <c r="M398" s="7">
        <f t="shared" si="123"/>
        <v>0</v>
      </c>
      <c r="N398" s="7">
        <f>(VLOOKUP($E398,$D$6:$AI$674,11,)/VLOOKUP($E398,$D$6:$AI$674,3,))*$F398</f>
        <v>0</v>
      </c>
      <c r="O398" s="7">
        <f t="shared" si="124"/>
        <v>0</v>
      </c>
      <c r="P398" s="7">
        <f t="shared" si="124"/>
        <v>0</v>
      </c>
      <c r="Q398" s="7">
        <f t="shared" si="124"/>
        <v>0</v>
      </c>
      <c r="R398" s="7"/>
      <c r="S398" s="7"/>
      <c r="T398" s="7"/>
      <c r="U398" s="124"/>
      <c r="V398" s="109"/>
    </row>
    <row r="399" spans="1:23" x14ac:dyDescent="0.25">
      <c r="A399" s="116" t="s">
        <v>229</v>
      </c>
      <c r="F399" s="123">
        <f>SUM(F395:F398)</f>
        <v>4142368.9992124639</v>
      </c>
      <c r="G399" s="123">
        <f t="shared" ref="G399:Q399" si="125">SUM(G395:G398)</f>
        <v>3390008.9326002947</v>
      </c>
      <c r="H399" s="123">
        <f t="shared" si="125"/>
        <v>658221.35217679036</v>
      </c>
      <c r="I399" s="123">
        <f t="shared" si="125"/>
        <v>55806.388209443765</v>
      </c>
      <c r="J399" s="123">
        <f t="shared" si="125"/>
        <v>448.1881606973003</v>
      </c>
      <c r="K399" s="123">
        <f t="shared" si="125"/>
        <v>37884.138065237967</v>
      </c>
      <c r="L399" s="123">
        <f t="shared" si="125"/>
        <v>0</v>
      </c>
      <c r="M399" s="123">
        <f t="shared" si="125"/>
        <v>0</v>
      </c>
      <c r="N399" s="123">
        <f t="shared" si="125"/>
        <v>0</v>
      </c>
      <c r="O399" s="123">
        <f t="shared" si="125"/>
        <v>0</v>
      </c>
      <c r="P399" s="123">
        <f t="shared" si="125"/>
        <v>0</v>
      </c>
      <c r="Q399" s="123">
        <f t="shared" si="125"/>
        <v>0</v>
      </c>
      <c r="R399" s="123">
        <f>R395+R396</f>
        <v>0</v>
      </c>
      <c r="S399" s="123">
        <f>S395+S396</f>
        <v>0</v>
      </c>
      <c r="T399" s="123">
        <f>T395+T396</f>
        <v>0</v>
      </c>
      <c r="U399" s="124">
        <f>SUM(G399:M399)</f>
        <v>4142368.9992124643</v>
      </c>
      <c r="V399" s="109" t="str">
        <f>IF(ABS(F399-U399)&lt;0.01,"ok","err")</f>
        <v>ok</v>
      </c>
      <c r="W399" s="125"/>
    </row>
    <row r="400" spans="1:23" x14ac:dyDescent="0.25">
      <c r="F400" s="7"/>
      <c r="U400" s="124"/>
    </row>
    <row r="401" spans="1:24" x14ac:dyDescent="0.25">
      <c r="A401" s="110" t="s">
        <v>10</v>
      </c>
      <c r="F401" s="7"/>
      <c r="U401" s="124"/>
    </row>
    <row r="402" spans="1:24" x14ac:dyDescent="0.25">
      <c r="A402" s="122" t="s">
        <v>208</v>
      </c>
      <c r="C402" s="116" t="s">
        <v>177</v>
      </c>
      <c r="D402" s="116" t="s">
        <v>284</v>
      </c>
      <c r="E402" s="116" t="s">
        <v>319</v>
      </c>
      <c r="F402" s="123">
        <f>VLOOKUP(C402,'WSS-33'!$C$1:$AR$730,17,)</f>
        <v>3656778.1163680828</v>
      </c>
      <c r="G402" s="123">
        <f>(VLOOKUP($E402,$D$6:$AI$674,G$2,)/VLOOKUP($E402,$D$6:$AI$674,3,))*$F402</f>
        <v>2705745.7798378146</v>
      </c>
      <c r="H402" s="123">
        <f>(VLOOKUP($E402,$D$6:$AI$674,H$2,)/VLOOKUP($E402,$D$6:$AI$674,3,))*$F402</f>
        <v>926089.60040484474</v>
      </c>
      <c r="I402" s="123">
        <f>(VLOOKUP($E402,$D$6:$AI$674,I$2,)/VLOOKUP($E402,$D$6:$AI$674,3,))*$F402</f>
        <v>18827.520690809237</v>
      </c>
      <c r="J402" s="123">
        <f>(VLOOKUP($E402,$D$6:$AI$674,J$2,)/VLOOKUP($E402,$D$6:$AI$674,3,))*$F402</f>
        <v>372.87898991547848</v>
      </c>
      <c r="K402" s="123">
        <f>(VLOOKUP($E402,$D$6:$AI$674,8,)/VLOOKUP($E402,$D$6:$AI$674,3,))*$F402</f>
        <v>5742.3364446983696</v>
      </c>
      <c r="L402" s="123">
        <f>(VLOOKUP($E402,$D$6:$AI$674,L$2,)/VLOOKUP($E402,$D$6:$AI$674,3,))*$F402</f>
        <v>0</v>
      </c>
      <c r="M402" s="123">
        <f>(VLOOKUP($E402,$D$6:$AI$674,M$2,)/VLOOKUP($E402,$D$6:$AI$674,3,))*$F402</f>
        <v>0</v>
      </c>
      <c r="N402" s="123">
        <f>(VLOOKUP($E402,$D$6:$AI$674,11,)/VLOOKUP($E402,$D$6:$AI$674,3,))*$F402</f>
        <v>0</v>
      </c>
      <c r="O402" s="123">
        <f>(VLOOKUP($E402,$D$6:$AI$674,O$2,)/VLOOKUP($E402,$D$6:$AI$674,3,))*$F402</f>
        <v>0</v>
      </c>
      <c r="P402" s="123">
        <f>(VLOOKUP($E402,$D$6:$AI$674,P$2,)/VLOOKUP($E402,$D$6:$AI$674,3,))*$F402</f>
        <v>0</v>
      </c>
      <c r="Q402" s="123">
        <f>(VLOOKUP($E402,$D$6:$AI$674,Q$2,)/VLOOKUP($E402,$D$6:$AI$674,3,))*$F402</f>
        <v>0</v>
      </c>
      <c r="R402" s="123">
        <f>(VLOOKUP($E402,$D$6:$AI$674,15,)/VLOOKUP($E402,$D$6:$AI$674,3,))*$F402</f>
        <v>0</v>
      </c>
      <c r="S402" s="123">
        <f>(VLOOKUP($E402,$D$6:$AI$674,16,)/VLOOKUP($E402,$D$6:$AI$674,3,))*$F402</f>
        <v>0</v>
      </c>
      <c r="T402" s="123">
        <f>(VLOOKUP($E402,$D$6:$AI$674,17,)/VLOOKUP($E402,$D$6:$AI$674,3,))*$F402</f>
        <v>0</v>
      </c>
      <c r="U402" s="124">
        <f>SUM(G402:M402)</f>
        <v>3656778.1163680824</v>
      </c>
      <c r="V402" s="109" t="str">
        <f>IF(ABS(F402-U402)&lt;0.01,"ok","err")</f>
        <v>ok</v>
      </c>
      <c r="W402" s="125"/>
    </row>
    <row r="403" spans="1:24" x14ac:dyDescent="0.25">
      <c r="F403" s="7"/>
      <c r="U403" s="124"/>
    </row>
    <row r="404" spans="1:24" x14ac:dyDescent="0.25">
      <c r="A404" s="110" t="s">
        <v>11</v>
      </c>
      <c r="F404" s="7"/>
      <c r="U404" s="124"/>
    </row>
    <row r="405" spans="1:24" x14ac:dyDescent="0.25">
      <c r="A405" s="122" t="s">
        <v>208</v>
      </c>
      <c r="C405" s="116" t="s">
        <v>177</v>
      </c>
      <c r="D405" s="116" t="s">
        <v>291</v>
      </c>
      <c r="E405" s="116" t="s">
        <v>320</v>
      </c>
      <c r="F405" s="123">
        <f>VLOOKUP(C405,'WSS-33'!$C$1:$AR$730,18,)</f>
        <v>883251.34243555379</v>
      </c>
      <c r="G405" s="123">
        <f>(VLOOKUP($E405,$D$6:$AI$674,G$2,)/VLOOKUP($E405,$D$6:$AI$674,3,))*$F405</f>
        <v>582948.20054013655</v>
      </c>
      <c r="H405" s="123">
        <f>(VLOOKUP($E405,$D$6:$AI$674,H$2,)/VLOOKUP($E405,$D$6:$AI$674,3,))*$F405</f>
        <v>255663.23217141509</v>
      </c>
      <c r="I405" s="123">
        <f>(VLOOKUP($E405,$D$6:$AI$674,I$2,)/VLOOKUP($E405,$D$6:$AI$674,3,))*$F405</f>
        <v>19292.909390206063</v>
      </c>
      <c r="J405" s="123">
        <f>(VLOOKUP($E405,$D$6:$AI$674,J$2,)/VLOOKUP($E405,$D$6:$AI$674,3,))*$F405</f>
        <v>105.33520553702786</v>
      </c>
      <c r="K405" s="123">
        <f>(VLOOKUP($E405,$D$6:$AI$674,8,)/VLOOKUP($E405,$D$6:$AI$674,3,))*$F405</f>
        <v>25241.665128258959</v>
      </c>
      <c r="L405" s="123">
        <f>(VLOOKUP($E405,$D$6:$AI$674,L$2,)/VLOOKUP($E405,$D$6:$AI$674,3,))*$F405</f>
        <v>0</v>
      </c>
      <c r="M405" s="123">
        <f>(VLOOKUP($E405,$D$6:$AI$674,M$2,)/VLOOKUP($E405,$D$6:$AI$674,3,))*$F405</f>
        <v>0</v>
      </c>
      <c r="N405" s="123">
        <f>(VLOOKUP($E405,$D$6:$AI$674,11,)/VLOOKUP($E405,$D$6:$AI$674,3,))*$F405</f>
        <v>0</v>
      </c>
      <c r="O405" s="123">
        <f>(VLOOKUP($E405,$D$6:$AI$674,O$2,)/VLOOKUP($E405,$D$6:$AI$674,3,))*$F405</f>
        <v>0</v>
      </c>
      <c r="P405" s="123">
        <f>(VLOOKUP($E405,$D$6:$AI$674,P$2,)/VLOOKUP($E405,$D$6:$AI$674,3,))*$F405</f>
        <v>0</v>
      </c>
      <c r="Q405" s="123">
        <f>(VLOOKUP($E405,$D$6:$AI$674,Q$2,)/VLOOKUP($E405,$D$6:$AI$674,3,))*$F405</f>
        <v>0</v>
      </c>
      <c r="R405" s="123">
        <f>(VLOOKUP($E405,$D$6:$AI$674,15,)/VLOOKUP($E405,$D$6:$AI$674,3,))*$F405</f>
        <v>0</v>
      </c>
      <c r="S405" s="123">
        <f>(VLOOKUP($E405,$D$6:$AI$674,16,)/VLOOKUP($E405,$D$6:$AI$674,3,))*$F405</f>
        <v>0</v>
      </c>
      <c r="T405" s="123">
        <f>(VLOOKUP($E405,$D$6:$AI$674,17,)/VLOOKUP($E405,$D$6:$AI$674,3,))*$F405</f>
        <v>0</v>
      </c>
      <c r="U405" s="124">
        <f>SUM(G405:M405)</f>
        <v>883251.34243555379</v>
      </c>
      <c r="V405" s="109" t="str">
        <f>IF(ABS(F405-U405)&lt;0.01,"ok","err")</f>
        <v>ok</v>
      </c>
    </row>
    <row r="406" spans="1:24" x14ac:dyDescent="0.25">
      <c r="F406" s="7"/>
      <c r="U406" s="124"/>
    </row>
    <row r="407" spans="1:24" x14ac:dyDescent="0.25">
      <c r="A407" s="110" t="s">
        <v>12</v>
      </c>
      <c r="F407" s="7"/>
      <c r="U407" s="124"/>
    </row>
    <row r="408" spans="1:24" x14ac:dyDescent="0.25">
      <c r="A408" s="122" t="s">
        <v>208</v>
      </c>
      <c r="C408" s="116" t="s">
        <v>177</v>
      </c>
      <c r="D408" s="116" t="s">
        <v>292</v>
      </c>
      <c r="E408" s="116" t="s">
        <v>874</v>
      </c>
      <c r="F408" s="123">
        <f>VLOOKUP(C408,'WSS-33'!$C$1:$AR$730,19,)</f>
        <v>0</v>
      </c>
      <c r="G408" s="123">
        <f>(VLOOKUP($E408,$D$6:$AI$674,G$2,)/VLOOKUP($E408,$D$6:$AI$674,3,))*$F408</f>
        <v>0</v>
      </c>
      <c r="H408" s="123">
        <f>(VLOOKUP($E408,$D$6:$AI$674,H$2,)/VLOOKUP($E408,$D$6:$AI$674,3,))*$F408</f>
        <v>0</v>
      </c>
      <c r="I408" s="123">
        <f>(VLOOKUP($E408,$D$6:$AI$674,I$2,)/VLOOKUP($E408,$D$6:$AI$674,3,))*$F408</f>
        <v>0</v>
      </c>
      <c r="J408" s="123">
        <f>(VLOOKUP($E408,$D$6:$AI$674,J$2,)/VLOOKUP($E408,$D$6:$AI$674,3,))*$F408</f>
        <v>0</v>
      </c>
      <c r="K408" s="123">
        <f>(VLOOKUP($E408,$D$6:$AI$674,8,)/VLOOKUP($E408,$D$6:$AI$674,3,))*$F408</f>
        <v>0</v>
      </c>
      <c r="L408" s="123">
        <f>(VLOOKUP($E408,$D$6:$AI$674,L$2,)/VLOOKUP($E408,$D$6:$AI$674,3,))*$F408</f>
        <v>0</v>
      </c>
      <c r="M408" s="123">
        <f>(VLOOKUP($E408,$D$6:$AI$674,M$2,)/VLOOKUP($E408,$D$6:$AI$674,3,))*$F408</f>
        <v>0</v>
      </c>
      <c r="N408" s="123">
        <f>(VLOOKUP($E408,$D$6:$AI$674,11,)/VLOOKUP($E408,$D$6:$AI$674,3,))*$F408</f>
        <v>0</v>
      </c>
      <c r="O408" s="123">
        <f>(VLOOKUP($E408,$D$6:$AI$674,O$2,)/VLOOKUP($E408,$D$6:$AI$674,3,))*$F408</f>
        <v>0</v>
      </c>
      <c r="P408" s="123">
        <f>(VLOOKUP($E408,$D$6:$AI$674,P$2,)/VLOOKUP($E408,$D$6:$AI$674,3,))*$F408</f>
        <v>0</v>
      </c>
      <c r="Q408" s="123">
        <f>(VLOOKUP($E408,$D$6:$AI$674,Q$2,)/VLOOKUP($E408,$D$6:$AI$674,3,))*$F408</f>
        <v>0</v>
      </c>
      <c r="R408" s="123">
        <f>(VLOOKUP($E408,$D$6:$AI$674,15,)/VLOOKUP($E408,$D$6:$AI$674,3,))*$F408</f>
        <v>0</v>
      </c>
      <c r="S408" s="123">
        <f>(VLOOKUP($E408,$D$6:$AI$674,16,)/VLOOKUP($E408,$D$6:$AI$674,3,))*$F408</f>
        <v>0</v>
      </c>
      <c r="T408" s="123">
        <f>(VLOOKUP($E408,$D$6:$AI$674,17,)/VLOOKUP($E408,$D$6:$AI$674,3,))*$F408</f>
        <v>0</v>
      </c>
      <c r="U408" s="124">
        <f>SUM(G408:M408)</f>
        <v>0</v>
      </c>
      <c r="V408" s="109" t="str">
        <f>IF(ABS(F408-U408)&lt;0.01,"ok","err")</f>
        <v>ok</v>
      </c>
    </row>
    <row r="409" spans="1:24" x14ac:dyDescent="0.25">
      <c r="F409" s="7"/>
      <c r="U409" s="124"/>
    </row>
    <row r="410" spans="1:24" x14ac:dyDescent="0.25">
      <c r="A410" s="110" t="s">
        <v>13</v>
      </c>
      <c r="F410" s="7"/>
      <c r="U410" s="124"/>
    </row>
    <row r="411" spans="1:24" x14ac:dyDescent="0.25">
      <c r="A411" s="122" t="s">
        <v>208</v>
      </c>
      <c r="C411" s="116" t="s">
        <v>177</v>
      </c>
      <c r="D411" s="116" t="s">
        <v>293</v>
      </c>
      <c r="E411" s="116" t="s">
        <v>875</v>
      </c>
      <c r="F411" s="123">
        <f>VLOOKUP(C411,'WSS-33'!$C$1:$AR$730,20,)</f>
        <v>0</v>
      </c>
      <c r="G411" s="123">
        <f>(VLOOKUP($E411,$D$6:$AI$674,G$2,)/VLOOKUP($E411,$D$6:$AI$674,3,))*$F411</f>
        <v>0</v>
      </c>
      <c r="H411" s="123">
        <f>(VLOOKUP($E411,$D$6:$AI$674,H$2,)/VLOOKUP($E411,$D$6:$AI$674,3,))*$F411</f>
        <v>0</v>
      </c>
      <c r="I411" s="123">
        <f>(VLOOKUP($E411,$D$6:$AI$674,I$2,)/VLOOKUP($E411,$D$6:$AI$674,3,))*$F411</f>
        <v>0</v>
      </c>
      <c r="J411" s="123">
        <f>(VLOOKUP($E411,$D$6:$AI$674,J$2,)/VLOOKUP($E411,$D$6:$AI$674,3,))*$F411</f>
        <v>0</v>
      </c>
      <c r="K411" s="123">
        <f>(VLOOKUP($E411,$D$6:$AI$674,8,)/VLOOKUP($E411,$D$6:$AI$674,3,))*$F411</f>
        <v>0</v>
      </c>
      <c r="L411" s="123">
        <f>(VLOOKUP($E411,$D$6:$AI$674,L$2,)/VLOOKUP($E411,$D$6:$AI$674,3,))*$F411</f>
        <v>0</v>
      </c>
      <c r="M411" s="123">
        <f>(VLOOKUP($E411,$D$6:$AI$674,M$2,)/VLOOKUP($E411,$D$6:$AI$674,3,))*$F411</f>
        <v>0</v>
      </c>
      <c r="N411" s="123">
        <f>(VLOOKUP($E411,$D$6:$AI$674,11,)/VLOOKUP($E411,$D$6:$AI$674,3,))*$F411</f>
        <v>0</v>
      </c>
      <c r="O411" s="123">
        <f>(VLOOKUP($E411,$D$6:$AI$674,O$2,)/VLOOKUP($E411,$D$6:$AI$674,3,))*$F411</f>
        <v>0</v>
      </c>
      <c r="P411" s="123">
        <f>(VLOOKUP($E411,$D$6:$AI$674,P$2,)/VLOOKUP($E411,$D$6:$AI$674,3,))*$F411</f>
        <v>0</v>
      </c>
      <c r="Q411" s="123">
        <f>(VLOOKUP($E411,$D$6:$AI$674,Q$2,)/VLOOKUP($E411,$D$6:$AI$674,3,))*$F411</f>
        <v>0</v>
      </c>
      <c r="R411" s="123">
        <f>(VLOOKUP($E411,$D$6:$AI$674,15,)/VLOOKUP($E411,$D$6:$AI$674,3,))*$F411</f>
        <v>0</v>
      </c>
      <c r="S411" s="123">
        <f>(VLOOKUP($E411,$D$6:$AI$674,16,)/VLOOKUP($E411,$D$6:$AI$674,3,))*$F411</f>
        <v>0</v>
      </c>
      <c r="T411" s="123">
        <f>(VLOOKUP($E411,$D$6:$AI$674,17,)/VLOOKUP($E411,$D$6:$AI$674,3,))*$F411</f>
        <v>0</v>
      </c>
      <c r="U411" s="124">
        <f>SUM(G411:M411)</f>
        <v>0</v>
      </c>
      <c r="V411" s="109" t="str">
        <f>IF(ABS(F411-U411)&lt;0.01,"ok","err")</f>
        <v>ok</v>
      </c>
    </row>
    <row r="412" spans="1:24" x14ac:dyDescent="0.25">
      <c r="F412" s="7"/>
      <c r="U412" s="124"/>
    </row>
    <row r="413" spans="1:24" x14ac:dyDescent="0.25">
      <c r="A413" s="116" t="s">
        <v>14</v>
      </c>
      <c r="D413" s="116" t="s">
        <v>295</v>
      </c>
      <c r="F413" s="123">
        <f t="shared" ref="F413:T413" si="126">F376+F381+F386+F389+F392+F399+F402+F405+F408+F411</f>
        <v>11746353.086513791</v>
      </c>
      <c r="G413" s="123">
        <f t="shared" si="126"/>
        <v>8602405.9479765631</v>
      </c>
      <c r="H413" s="123">
        <f t="shared" si="126"/>
        <v>2754023.7671314008</v>
      </c>
      <c r="I413" s="123">
        <f t="shared" si="126"/>
        <v>183833.55044042101</v>
      </c>
      <c r="J413" s="123">
        <f t="shared" si="126"/>
        <v>2347.8237271850094</v>
      </c>
      <c r="K413" s="123">
        <f t="shared" si="126"/>
        <v>203741.99723822012</v>
      </c>
      <c r="L413" s="123">
        <f t="shared" si="126"/>
        <v>0</v>
      </c>
      <c r="M413" s="123">
        <f t="shared" si="126"/>
        <v>0</v>
      </c>
      <c r="N413" s="123">
        <f t="shared" si="126"/>
        <v>0</v>
      </c>
      <c r="O413" s="123">
        <f t="shared" si="126"/>
        <v>0</v>
      </c>
      <c r="P413" s="123">
        <f t="shared" si="126"/>
        <v>0</v>
      </c>
      <c r="Q413" s="123">
        <f t="shared" si="126"/>
        <v>0</v>
      </c>
      <c r="R413" s="123">
        <f t="shared" si="126"/>
        <v>0</v>
      </c>
      <c r="S413" s="123">
        <f t="shared" si="126"/>
        <v>0</v>
      </c>
      <c r="T413" s="123">
        <f t="shared" si="126"/>
        <v>0</v>
      </c>
      <c r="U413" s="124">
        <f>SUM(G413:M413)</f>
        <v>11746353.086513791</v>
      </c>
      <c r="V413" s="109" t="str">
        <f>IF(ABS(F413-U413)&lt;0.01,"ok","err")</f>
        <v>ok</v>
      </c>
      <c r="W413" s="124"/>
      <c r="X413" s="109"/>
    </row>
    <row r="414" spans="1:24" x14ac:dyDescent="0.25">
      <c r="U414" s="124"/>
    </row>
    <row r="415" spans="1:24" x14ac:dyDescent="0.25">
      <c r="U415" s="124"/>
    </row>
    <row r="417" spans="1:22" x14ac:dyDescent="0.25">
      <c r="U417" s="124"/>
    </row>
    <row r="418" spans="1:22" x14ac:dyDescent="0.25">
      <c r="A418" s="121" t="s">
        <v>651</v>
      </c>
      <c r="U418" s="124"/>
    </row>
    <row r="419" spans="1:22" x14ac:dyDescent="0.25">
      <c r="U419" s="124"/>
    </row>
    <row r="420" spans="1:22" x14ac:dyDescent="0.25">
      <c r="A420" s="110" t="s">
        <v>452</v>
      </c>
      <c r="U420" s="124"/>
    </row>
    <row r="421" spans="1:22" x14ac:dyDescent="0.25">
      <c r="A421" s="122" t="s">
        <v>207</v>
      </c>
      <c r="C421" s="116" t="s">
        <v>307</v>
      </c>
      <c r="D421" s="116" t="s">
        <v>381</v>
      </c>
      <c r="E421" s="116" t="s">
        <v>310</v>
      </c>
      <c r="F421" s="123">
        <f>VLOOKUP(C421,'WSS-33'!$C$1:$AR$730,5,)</f>
        <v>0</v>
      </c>
      <c r="G421" s="123">
        <f t="shared" ref="G421:J422" si="127">(VLOOKUP($E421,$D$6:$AI$674,G$2,)/VLOOKUP($E421,$D$6:$AI$674,3,))*$F421</f>
        <v>0</v>
      </c>
      <c r="H421" s="123">
        <f t="shared" si="127"/>
        <v>0</v>
      </c>
      <c r="I421" s="123">
        <f t="shared" si="127"/>
        <v>0</v>
      </c>
      <c r="J421" s="123">
        <f t="shared" si="127"/>
        <v>0</v>
      </c>
      <c r="K421" s="123">
        <f>(VLOOKUP($E421,$D$6:$AI$674,8,)/VLOOKUP($E421,$D$6:$AI$674,3,))*$F421</f>
        <v>0</v>
      </c>
      <c r="L421" s="123">
        <f>(VLOOKUP($E421,$D$6:$AI$674,L$2,)/VLOOKUP($E421,$D$6:$AI$674,3,))*$F421</f>
        <v>0</v>
      </c>
      <c r="M421" s="123">
        <f>(VLOOKUP($E421,$D$6:$AI$674,M$2,)/VLOOKUP($E421,$D$6:$AI$674,3,))*$F421</f>
        <v>0</v>
      </c>
      <c r="N421" s="123">
        <f>(VLOOKUP($E421,$D$6:$AI$674,11,)/VLOOKUP($E421,$D$6:$AI$674,3,))*$F421</f>
        <v>0</v>
      </c>
      <c r="O421" s="123">
        <f t="shared" ref="O421:Q422" si="128">(VLOOKUP($E421,$D$6:$AI$674,O$2,)/VLOOKUP($E421,$D$6:$AI$674,3,))*$F421</f>
        <v>0</v>
      </c>
      <c r="P421" s="123">
        <f t="shared" si="128"/>
        <v>0</v>
      </c>
      <c r="Q421" s="123">
        <f t="shared" si="128"/>
        <v>0</v>
      </c>
      <c r="R421" s="123">
        <f>(VLOOKUP($E421,$D$6:$AI$674,15,)/VLOOKUP($E421,$D$6:$AI$674,3,))*$F421</f>
        <v>0</v>
      </c>
      <c r="S421" s="123">
        <f>(VLOOKUP($E421,$D$6:$AI$674,16,)/VLOOKUP($E421,$D$6:$AI$674,3,))*$F421</f>
        <v>0</v>
      </c>
      <c r="T421" s="123">
        <f>(VLOOKUP($E421,$D$6:$AI$674,17,)/VLOOKUP($E421,$D$6:$AI$674,3,))*$F421</f>
        <v>0</v>
      </c>
      <c r="U421" s="124">
        <f>SUM(G421:M421)</f>
        <v>0</v>
      </c>
      <c r="V421" s="109" t="str">
        <f>IF(ABS(F421-U421)&lt;0.01,"ok","err")</f>
        <v>ok</v>
      </c>
    </row>
    <row r="422" spans="1:22" x14ac:dyDescent="0.25">
      <c r="A422" s="122" t="s">
        <v>226</v>
      </c>
      <c r="C422" s="116" t="s">
        <v>307</v>
      </c>
      <c r="D422" s="116" t="s">
        <v>365</v>
      </c>
      <c r="E422" s="116" t="s">
        <v>311</v>
      </c>
      <c r="F422" s="7">
        <f>VLOOKUP(C422,'WSS-33'!$C$1:$AR$730,6,)</f>
        <v>0</v>
      </c>
      <c r="G422" s="7">
        <f t="shared" si="127"/>
        <v>0</v>
      </c>
      <c r="H422" s="7">
        <f t="shared" si="127"/>
        <v>0</v>
      </c>
      <c r="I422" s="7">
        <f t="shared" si="127"/>
        <v>0</v>
      </c>
      <c r="J422" s="7">
        <f t="shared" si="127"/>
        <v>0</v>
      </c>
      <c r="K422" s="7">
        <f>(VLOOKUP($E422,$D$6:$AI$674,8,)/VLOOKUP($E422,$D$6:$AI$674,3,))*$F422</f>
        <v>0</v>
      </c>
      <c r="L422" s="7">
        <f>(VLOOKUP($E422,$D$6:$AI$674,L$2,)/VLOOKUP($E422,$D$6:$AI$674,3,))*$F422</f>
        <v>0</v>
      </c>
      <c r="M422" s="7">
        <f>(VLOOKUP($E422,$D$6:$AI$674,M$2,)/VLOOKUP($E422,$D$6:$AI$674,3,))*$F422</f>
        <v>0</v>
      </c>
      <c r="N422" s="7">
        <f>(VLOOKUP($E422,$D$6:$AI$674,11,)/VLOOKUP($E422,$D$6:$AI$674,3,))*$F422</f>
        <v>0</v>
      </c>
      <c r="O422" s="7">
        <f t="shared" si="128"/>
        <v>0</v>
      </c>
      <c r="P422" s="7">
        <f t="shared" si="128"/>
        <v>0</v>
      </c>
      <c r="Q422" s="7">
        <f t="shared" si="128"/>
        <v>0</v>
      </c>
      <c r="R422" s="7">
        <f>(VLOOKUP($E422,$D$6:$AI$674,15,)/VLOOKUP($E422,$D$6:$AI$674,3,))*$F422</f>
        <v>0</v>
      </c>
      <c r="S422" s="7">
        <f>(VLOOKUP($E422,$D$6:$AI$674,16,)/VLOOKUP($E422,$D$6:$AI$674,3,))*$F422</f>
        <v>0</v>
      </c>
      <c r="T422" s="7">
        <f>(VLOOKUP($E422,$D$6:$AI$674,17,)/VLOOKUP($E422,$D$6:$AI$674,3,))*$F422</f>
        <v>0</v>
      </c>
      <c r="U422" s="124">
        <f>SUM(G422:M422)</f>
        <v>0</v>
      </c>
      <c r="V422" s="109" t="str">
        <f>IF(ABS(F422-U422)&lt;0.01,"ok","err")</f>
        <v>ok</v>
      </c>
    </row>
    <row r="423" spans="1:22" x14ac:dyDescent="0.25">
      <c r="A423" s="116" t="s">
        <v>654</v>
      </c>
      <c r="D423" s="116" t="s">
        <v>366</v>
      </c>
      <c r="F423" s="123">
        <f t="shared" ref="F423:T423" si="129">F421+F422</f>
        <v>0</v>
      </c>
      <c r="G423" s="123">
        <f t="shared" si="129"/>
        <v>0</v>
      </c>
      <c r="H423" s="123">
        <f t="shared" si="129"/>
        <v>0</v>
      </c>
      <c r="I423" s="123">
        <f t="shared" si="129"/>
        <v>0</v>
      </c>
      <c r="J423" s="123">
        <f t="shared" si="129"/>
        <v>0</v>
      </c>
      <c r="K423" s="123">
        <f t="shared" si="129"/>
        <v>0</v>
      </c>
      <c r="L423" s="123">
        <f t="shared" si="129"/>
        <v>0</v>
      </c>
      <c r="M423" s="123">
        <f t="shared" si="129"/>
        <v>0</v>
      </c>
      <c r="N423" s="123">
        <f t="shared" si="129"/>
        <v>0</v>
      </c>
      <c r="O423" s="123">
        <f t="shared" si="129"/>
        <v>0</v>
      </c>
      <c r="P423" s="123">
        <f t="shared" si="129"/>
        <v>0</v>
      </c>
      <c r="Q423" s="123">
        <f t="shared" si="129"/>
        <v>0</v>
      </c>
      <c r="R423" s="123">
        <f t="shared" si="129"/>
        <v>0</v>
      </c>
      <c r="S423" s="123">
        <f t="shared" si="129"/>
        <v>0</v>
      </c>
      <c r="T423" s="123">
        <f t="shared" si="129"/>
        <v>0</v>
      </c>
      <c r="U423" s="124">
        <f>SUM(G423:M423)</f>
        <v>0</v>
      </c>
      <c r="V423" s="109" t="str">
        <f>IF(ABS(F423-U423)&lt;0.01,"ok","err")</f>
        <v>ok</v>
      </c>
    </row>
    <row r="424" spans="1:22" x14ac:dyDescent="0.25">
      <c r="F424" s="7"/>
      <c r="G424" s="7"/>
      <c r="U424" s="124"/>
    </row>
    <row r="425" spans="1:22" x14ac:dyDescent="0.25">
      <c r="A425" s="110" t="s">
        <v>3</v>
      </c>
      <c r="F425" s="7"/>
      <c r="G425" s="7"/>
      <c r="U425" s="124"/>
    </row>
    <row r="426" spans="1:22" x14ac:dyDescent="0.25">
      <c r="A426" s="122" t="s">
        <v>207</v>
      </c>
      <c r="C426" s="116" t="s">
        <v>307</v>
      </c>
      <c r="D426" s="116" t="s">
        <v>367</v>
      </c>
      <c r="E426" s="116" t="s">
        <v>312</v>
      </c>
      <c r="F426" s="123">
        <f>VLOOKUP(C426,'WSS-33'!$C$1:$AR$730,7,)</f>
        <v>2740490.8902051682</v>
      </c>
      <c r="G426" s="123">
        <f t="shared" ref="G426:J427" si="130">(VLOOKUP($E426,$D$6:$AI$674,G$2,)/VLOOKUP($E426,$D$6:$AI$674,3,))*$F426</f>
        <v>1796611.6581358435</v>
      </c>
      <c r="H426" s="123">
        <f t="shared" si="130"/>
        <v>849475.10035169625</v>
      </c>
      <c r="I426" s="123">
        <f t="shared" si="130"/>
        <v>78139.873789171106</v>
      </c>
      <c r="J426" s="123">
        <f t="shared" si="130"/>
        <v>0</v>
      </c>
      <c r="K426" s="123">
        <f>(VLOOKUP($E426,$D$6:$AI$674,8,)/VLOOKUP($E426,$D$6:$AI$674,3,))*$F426</f>
        <v>16264.257928457497</v>
      </c>
      <c r="L426" s="123">
        <f>(VLOOKUP($E426,$D$6:$AI$674,L$2,)/VLOOKUP($E426,$D$6:$AI$674,3,))*$F426</f>
        <v>0</v>
      </c>
      <c r="M426" s="123">
        <f>(VLOOKUP($E426,$D$6:$AI$674,M$2,)/VLOOKUP($E426,$D$6:$AI$674,3,))*$F426</f>
        <v>0</v>
      </c>
      <c r="N426" s="123">
        <f>(VLOOKUP($E426,$D$6:$AI$674,11,)/VLOOKUP($E426,$D$6:$AI$674,3,))*$F426</f>
        <v>0</v>
      </c>
      <c r="O426" s="123">
        <f t="shared" ref="O426:Q427" si="131">(VLOOKUP($E426,$D$6:$AI$674,O$2,)/VLOOKUP($E426,$D$6:$AI$674,3,))*$F426</f>
        <v>0</v>
      </c>
      <c r="P426" s="123">
        <f t="shared" si="131"/>
        <v>0</v>
      </c>
      <c r="Q426" s="123">
        <f t="shared" si="131"/>
        <v>0</v>
      </c>
      <c r="R426" s="123">
        <f>(VLOOKUP($E426,$D$6:$AI$674,15,)/VLOOKUP($E426,$D$6:$AI$674,3,))*$F426</f>
        <v>0</v>
      </c>
      <c r="S426" s="123">
        <f>(VLOOKUP($E426,$D$6:$AI$674,16,)/VLOOKUP($E426,$D$6:$AI$674,3,))*$F426</f>
        <v>0</v>
      </c>
      <c r="T426" s="123">
        <f>(VLOOKUP($E426,$D$6:$AI$674,17,)/VLOOKUP($E426,$D$6:$AI$674,3,))*$F426</f>
        <v>0</v>
      </c>
      <c r="U426" s="124">
        <f>SUM(G426:M426)</f>
        <v>2740490.8902051686</v>
      </c>
      <c r="V426" s="109" t="str">
        <f>IF(ABS(F426-U426)&lt;0.01,"ok","err")</f>
        <v>ok</v>
      </c>
    </row>
    <row r="427" spans="1:22" x14ac:dyDescent="0.25">
      <c r="A427" s="116" t="s">
        <v>226</v>
      </c>
      <c r="C427" s="116" t="s">
        <v>307</v>
      </c>
      <c r="D427" s="116" t="s">
        <v>368</v>
      </c>
      <c r="E427" s="116" t="s">
        <v>313</v>
      </c>
      <c r="F427" s="7">
        <f>VLOOKUP(C427,'WSS-33'!$C$1:$AR$730,8,)</f>
        <v>0</v>
      </c>
      <c r="G427" s="7">
        <f t="shared" si="130"/>
        <v>0</v>
      </c>
      <c r="H427" s="7">
        <f t="shared" si="130"/>
        <v>0</v>
      </c>
      <c r="I427" s="7">
        <f t="shared" si="130"/>
        <v>0</v>
      </c>
      <c r="J427" s="7">
        <f t="shared" si="130"/>
        <v>0</v>
      </c>
      <c r="K427" s="7">
        <f>(VLOOKUP($E427,$D$6:$AI$674,8,)/VLOOKUP($E427,$D$6:$AI$674,3,))*$F427</f>
        <v>0</v>
      </c>
      <c r="L427" s="7">
        <f>(VLOOKUP($E427,$D$6:$AI$674,L$2,)/VLOOKUP($E427,$D$6:$AI$674,3,))*$F427</f>
        <v>0</v>
      </c>
      <c r="M427" s="7">
        <f>(VLOOKUP($E427,$D$6:$AI$674,M$2,)/VLOOKUP($E427,$D$6:$AI$674,3,))*$F427</f>
        <v>0</v>
      </c>
      <c r="N427" s="7">
        <f>(VLOOKUP($E427,$D$6:$AI$674,11,)/VLOOKUP($E427,$D$6:$AI$674,3,))*$F427</f>
        <v>0</v>
      </c>
      <c r="O427" s="7">
        <f t="shared" si="131"/>
        <v>0</v>
      </c>
      <c r="P427" s="7">
        <f t="shared" si="131"/>
        <v>0</v>
      </c>
      <c r="Q427" s="7">
        <f t="shared" si="131"/>
        <v>0</v>
      </c>
      <c r="R427" s="7">
        <f>(VLOOKUP($E427,$D$6:$AI$674,15,)/VLOOKUP($E427,$D$6:$AI$674,3,))*$F427</f>
        <v>0</v>
      </c>
      <c r="S427" s="7">
        <f>(VLOOKUP($E427,$D$6:$AI$674,16,)/VLOOKUP($E427,$D$6:$AI$674,3,))*$F427</f>
        <v>0</v>
      </c>
      <c r="T427" s="7">
        <f>(VLOOKUP($E427,$D$6:$AI$674,17,)/VLOOKUP($E427,$D$6:$AI$674,3,))*$F427</f>
        <v>0</v>
      </c>
      <c r="U427" s="124">
        <f>SUM(G427:M427)</f>
        <v>0</v>
      </c>
      <c r="V427" s="109" t="str">
        <f>IF(ABS(F427-U427)&lt;0.01,"ok","err")</f>
        <v>ok</v>
      </c>
    </row>
    <row r="428" spans="1:22" x14ac:dyDescent="0.25">
      <c r="A428" s="116" t="s">
        <v>227</v>
      </c>
      <c r="D428" s="116" t="s">
        <v>369</v>
      </c>
      <c r="F428" s="123">
        <f>SUM(F426:F427)</f>
        <v>2740490.8902051682</v>
      </c>
      <c r="G428" s="123">
        <f t="shared" ref="G428:T428" si="132">G426+G427</f>
        <v>1796611.6581358435</v>
      </c>
      <c r="H428" s="123">
        <f t="shared" si="132"/>
        <v>849475.10035169625</v>
      </c>
      <c r="I428" s="123">
        <f t="shared" si="132"/>
        <v>78139.873789171106</v>
      </c>
      <c r="J428" s="123">
        <f t="shared" si="132"/>
        <v>0</v>
      </c>
      <c r="K428" s="123">
        <f t="shared" si="132"/>
        <v>16264.257928457497</v>
      </c>
      <c r="L428" s="123">
        <f t="shared" si="132"/>
        <v>0</v>
      </c>
      <c r="M428" s="123">
        <f t="shared" si="132"/>
        <v>0</v>
      </c>
      <c r="N428" s="123">
        <f t="shared" si="132"/>
        <v>0</v>
      </c>
      <c r="O428" s="123">
        <f t="shared" si="132"/>
        <v>0</v>
      </c>
      <c r="P428" s="123">
        <f t="shared" si="132"/>
        <v>0</v>
      </c>
      <c r="Q428" s="123">
        <f t="shared" si="132"/>
        <v>0</v>
      </c>
      <c r="R428" s="123">
        <f t="shared" si="132"/>
        <v>0</v>
      </c>
      <c r="S428" s="123">
        <f t="shared" si="132"/>
        <v>0</v>
      </c>
      <c r="T428" s="123">
        <f t="shared" si="132"/>
        <v>0</v>
      </c>
      <c r="U428" s="124">
        <f>SUM(G428:M428)</f>
        <v>2740490.8902051686</v>
      </c>
      <c r="V428" s="109" t="str">
        <f>IF(ABS(F428-U428)&lt;0.01,"ok","err")</f>
        <v>ok</v>
      </c>
    </row>
    <row r="429" spans="1:22" x14ac:dyDescent="0.25">
      <c r="F429" s="7"/>
      <c r="G429" s="7"/>
      <c r="U429" s="124"/>
    </row>
    <row r="430" spans="1:22" x14ac:dyDescent="0.25">
      <c r="A430" s="110" t="s">
        <v>4</v>
      </c>
      <c r="F430" s="7"/>
      <c r="G430" s="7"/>
      <c r="U430" s="124"/>
    </row>
    <row r="431" spans="1:22" x14ac:dyDescent="0.25">
      <c r="A431" s="122" t="s">
        <v>854</v>
      </c>
      <c r="C431" s="116" t="s">
        <v>307</v>
      </c>
      <c r="D431" s="116" t="s">
        <v>370</v>
      </c>
      <c r="E431" s="116" t="s">
        <v>317</v>
      </c>
      <c r="F431" s="123">
        <f>VLOOKUP(C431,'WSS-33'!$C$1:$AR$730,9,)</f>
        <v>330803.64991589828</v>
      </c>
      <c r="G431" s="123">
        <f t="shared" ref="G431:J432" si="133">(VLOOKUP($E431,$D$6:$AI$674,G$2,)/VLOOKUP($E431,$D$6:$AI$674,3,))*$F431</f>
        <v>175991.89629337369</v>
      </c>
      <c r="H431" s="123">
        <f t="shared" si="133"/>
        <v>85369.387675861668</v>
      </c>
      <c r="I431" s="123">
        <f t="shared" si="133"/>
        <v>10656.101383330306</v>
      </c>
      <c r="J431" s="123">
        <f t="shared" si="133"/>
        <v>683.84162657181935</v>
      </c>
      <c r="K431" s="123">
        <f>(VLOOKUP($E431,$D$6:$AI$674,8,)/VLOOKUP($E431,$D$6:$AI$674,3,))*$F431</f>
        <v>58102.422936760806</v>
      </c>
      <c r="L431" s="123">
        <f>(VLOOKUP($E431,$D$6:$AI$674,L$2,)/VLOOKUP($E431,$D$6:$AI$674,3,))*$F431</f>
        <v>0</v>
      </c>
      <c r="M431" s="123">
        <f>(VLOOKUP($E431,$D$6:$AI$674,M$2,)/VLOOKUP($E431,$D$6:$AI$674,3,))*$F431</f>
        <v>0</v>
      </c>
      <c r="N431" s="123">
        <f>(VLOOKUP($E431,$D$6:$AI$674,11,)/VLOOKUP($E431,$D$6:$AI$674,3,))*$F431</f>
        <v>0</v>
      </c>
      <c r="O431" s="123">
        <f t="shared" ref="O431:Q432" si="134">(VLOOKUP($E431,$D$6:$AI$674,O$2,)/VLOOKUP($E431,$D$6:$AI$674,3,))*$F431</f>
        <v>0</v>
      </c>
      <c r="P431" s="123">
        <f t="shared" si="134"/>
        <v>0</v>
      </c>
      <c r="Q431" s="123">
        <f t="shared" si="134"/>
        <v>0</v>
      </c>
      <c r="R431" s="123">
        <f>(VLOOKUP($E431,$D$6:$AI$674,15,)/VLOOKUP($E431,$D$6:$AI$674,3,))*$F431</f>
        <v>0</v>
      </c>
      <c r="S431" s="123">
        <f>(VLOOKUP($E431,$D$6:$AI$674,16,)/VLOOKUP($E431,$D$6:$AI$674,3,))*$F431</f>
        <v>0</v>
      </c>
      <c r="T431" s="123">
        <f>(VLOOKUP($E431,$D$6:$AI$674,17,)/VLOOKUP($E431,$D$6:$AI$674,3,))*$F431</f>
        <v>0</v>
      </c>
      <c r="U431" s="124">
        <f>SUM(G431:M431)</f>
        <v>330803.64991589834</v>
      </c>
      <c r="V431" s="109" t="str">
        <f>IF(ABS(F431-U431)&lt;0.01,"ok","err")</f>
        <v>ok</v>
      </c>
    </row>
    <row r="432" spans="1:22" x14ac:dyDescent="0.25">
      <c r="A432" s="116" t="s">
        <v>850</v>
      </c>
      <c r="C432" s="116" t="s">
        <v>307</v>
      </c>
      <c r="D432" s="116" t="s">
        <v>371</v>
      </c>
      <c r="E432" s="116" t="s">
        <v>314</v>
      </c>
      <c r="F432" s="7">
        <f>VLOOKUP(C432,'WSS-33'!$C$1:$AR$730,10,)</f>
        <v>805619.37069579237</v>
      </c>
      <c r="G432" s="7">
        <f t="shared" si="133"/>
        <v>528148.13527942903</v>
      </c>
      <c r="H432" s="7">
        <f t="shared" si="133"/>
        <v>249719.34707502136</v>
      </c>
      <c r="I432" s="7">
        <f t="shared" si="133"/>
        <v>22970.70067748622</v>
      </c>
      <c r="J432" s="7">
        <f t="shared" si="133"/>
        <v>0</v>
      </c>
      <c r="K432" s="7">
        <f>(VLOOKUP($E432,$D$6:$AI$674,8,)/VLOOKUP($E432,$D$6:$AI$674,3,))*$F432</f>
        <v>4781.1876638557378</v>
      </c>
      <c r="L432" s="7">
        <f>(VLOOKUP($E432,$D$6:$AI$674,L$2,)/VLOOKUP($E432,$D$6:$AI$674,3,))*$F432</f>
        <v>0</v>
      </c>
      <c r="M432" s="7">
        <f>(VLOOKUP($E432,$D$6:$AI$674,M$2,)/VLOOKUP($E432,$D$6:$AI$674,3,))*$F432</f>
        <v>0</v>
      </c>
      <c r="N432" s="7">
        <f>(VLOOKUP($E432,$D$6:$AI$674,11,)/VLOOKUP($E432,$D$6:$AI$674,3,))*$F432</f>
        <v>0</v>
      </c>
      <c r="O432" s="7">
        <f t="shared" si="134"/>
        <v>0</v>
      </c>
      <c r="P432" s="7">
        <f t="shared" si="134"/>
        <v>0</v>
      </c>
      <c r="Q432" s="7">
        <f t="shared" si="134"/>
        <v>0</v>
      </c>
      <c r="R432" s="7">
        <f>(VLOOKUP($E432,$D$6:$AI$674,15,)/VLOOKUP($E432,$D$6:$AI$674,3,))*$F432</f>
        <v>0</v>
      </c>
      <c r="S432" s="7">
        <f>(VLOOKUP($E432,$D$6:$AI$674,16,)/VLOOKUP($E432,$D$6:$AI$674,3,))*$F432</f>
        <v>0</v>
      </c>
      <c r="T432" s="7">
        <f>(VLOOKUP($E432,$D$6:$AI$674,17,)/VLOOKUP($E432,$D$6:$AI$674,3,))*$F432</f>
        <v>0</v>
      </c>
      <c r="U432" s="124">
        <f>SUM(G432:M432)</f>
        <v>805619.37069579237</v>
      </c>
      <c r="V432" s="109" t="str">
        <f>IF(ABS(F432-U432)&lt;0.01,"ok","err")</f>
        <v>ok</v>
      </c>
    </row>
    <row r="433" spans="1:23" x14ac:dyDescent="0.25">
      <c r="A433" s="116" t="s">
        <v>228</v>
      </c>
      <c r="D433" s="116" t="s">
        <v>372</v>
      </c>
      <c r="F433" s="123">
        <f>SUM(F431:F432)</f>
        <v>1136423.0206116906</v>
      </c>
      <c r="G433" s="123">
        <f t="shared" ref="G433:T433" si="135">G431+G432</f>
        <v>704140.03157280269</v>
      </c>
      <c r="H433" s="123">
        <f t="shared" si="135"/>
        <v>335088.73475088301</v>
      </c>
      <c r="I433" s="123">
        <f t="shared" si="135"/>
        <v>33626.802060816524</v>
      </c>
      <c r="J433" s="123">
        <f t="shared" si="135"/>
        <v>683.84162657181935</v>
      </c>
      <c r="K433" s="123">
        <f t="shared" si="135"/>
        <v>62883.610600616543</v>
      </c>
      <c r="L433" s="123">
        <f t="shared" si="135"/>
        <v>0</v>
      </c>
      <c r="M433" s="123">
        <f t="shared" si="135"/>
        <v>0</v>
      </c>
      <c r="N433" s="123">
        <f t="shared" si="135"/>
        <v>0</v>
      </c>
      <c r="O433" s="123">
        <f t="shared" si="135"/>
        <v>0</v>
      </c>
      <c r="P433" s="123">
        <f t="shared" si="135"/>
        <v>0</v>
      </c>
      <c r="Q433" s="123">
        <f t="shared" si="135"/>
        <v>0</v>
      </c>
      <c r="R433" s="123">
        <f t="shared" si="135"/>
        <v>0</v>
      </c>
      <c r="S433" s="123">
        <f t="shared" si="135"/>
        <v>0</v>
      </c>
      <c r="T433" s="123">
        <f t="shared" si="135"/>
        <v>0</v>
      </c>
      <c r="U433" s="124">
        <f>SUM(G433:M433)</f>
        <v>1136423.0206116904</v>
      </c>
      <c r="V433" s="109" t="str">
        <f>IF(ABS(F433-U433)&lt;0.01,"ok","err")</f>
        <v>ok</v>
      </c>
    </row>
    <row r="434" spans="1:23" x14ac:dyDescent="0.25">
      <c r="F434" s="7"/>
      <c r="U434" s="124"/>
    </row>
    <row r="435" spans="1:23" x14ac:dyDescent="0.25">
      <c r="A435" s="110" t="s">
        <v>6</v>
      </c>
      <c r="F435" s="7"/>
      <c r="U435" s="124"/>
    </row>
    <row r="436" spans="1:23" x14ac:dyDescent="0.25">
      <c r="A436" s="116" t="s">
        <v>226</v>
      </c>
      <c r="C436" s="116" t="s">
        <v>307</v>
      </c>
      <c r="D436" s="116" t="s">
        <v>373</v>
      </c>
      <c r="E436" s="116" t="s">
        <v>316</v>
      </c>
      <c r="F436" s="123">
        <f>VLOOKUP(C436,'WSS-33'!$C$1:$AR$730,11,)</f>
        <v>0</v>
      </c>
      <c r="G436" s="123">
        <f>(VLOOKUP($E436,$D$6:$AI$674,G$2,)/VLOOKUP($E436,$D$6:$AI$674,3,))*$F436</f>
        <v>0</v>
      </c>
      <c r="H436" s="123">
        <f>(VLOOKUP($E436,$D$6:$AI$674,H$2,)/VLOOKUP($E436,$D$6:$AI$674,3,))*$F436</f>
        <v>0</v>
      </c>
      <c r="I436" s="123">
        <f>(VLOOKUP($E436,$D$6:$AI$674,I$2,)/VLOOKUP($E436,$D$6:$AI$674,3,))*$F436</f>
        <v>0</v>
      </c>
      <c r="J436" s="123">
        <f>(VLOOKUP($E436,$D$6:$AI$674,J$2,)/VLOOKUP($E436,$D$6:$AI$674,3,))*$F436</f>
        <v>0</v>
      </c>
      <c r="K436" s="123">
        <f>(VLOOKUP($E436,$D$6:$AI$674,8,)/VLOOKUP($E436,$D$6:$AI$674,3,))*$F436</f>
        <v>0</v>
      </c>
      <c r="L436" s="123">
        <f>(VLOOKUP($E436,$D$6:$AI$674,L$2,)/VLOOKUP($E436,$D$6:$AI$674,3,))*$F436</f>
        <v>0</v>
      </c>
      <c r="M436" s="123">
        <f>(VLOOKUP($E436,$D$6:$AI$674,M$2,)/VLOOKUP($E436,$D$6:$AI$674,3,))*$F436</f>
        <v>0</v>
      </c>
      <c r="N436" s="123">
        <f>(VLOOKUP($E436,$D$6:$AI$674,11,)/VLOOKUP($E436,$D$6:$AI$674,3,))*$F436</f>
        <v>0</v>
      </c>
      <c r="O436" s="123">
        <f>(VLOOKUP($E436,$D$6:$AI$674,O$2,)/VLOOKUP($E436,$D$6:$AI$674,3,))*$F436</f>
        <v>0</v>
      </c>
      <c r="P436" s="123">
        <f>(VLOOKUP($E436,$D$6:$AI$674,P$2,)/VLOOKUP($E436,$D$6:$AI$674,3,))*$F436</f>
        <v>0</v>
      </c>
      <c r="Q436" s="123">
        <f>(VLOOKUP($E436,$D$6:$AI$674,Q$2,)/VLOOKUP($E436,$D$6:$AI$674,3,))*$F436</f>
        <v>0</v>
      </c>
      <c r="R436" s="123">
        <f>(VLOOKUP($E436,$D$6:$AI$674,15,)/VLOOKUP($E436,$D$6:$AI$674,3,))*$F436</f>
        <v>0</v>
      </c>
      <c r="S436" s="123">
        <f>(VLOOKUP($E436,$D$6:$AI$674,16,)/VLOOKUP($E436,$D$6:$AI$674,3,))*$F436</f>
        <v>0</v>
      </c>
      <c r="T436" s="123">
        <f>(VLOOKUP($E436,$D$6:$AI$674,17,)/VLOOKUP($E436,$D$6:$AI$674,3,))*$F436</f>
        <v>0</v>
      </c>
      <c r="U436" s="124">
        <f>SUM(G436:M436)</f>
        <v>0</v>
      </c>
      <c r="V436" s="109" t="str">
        <f>IF(ABS(F436-U436)&lt;0.01,"ok","err")</f>
        <v>ok</v>
      </c>
    </row>
    <row r="437" spans="1:23" x14ac:dyDescent="0.25">
      <c r="A437" s="122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124"/>
      <c r="V437" s="109"/>
    </row>
    <row r="438" spans="1:23" x14ac:dyDescent="0.25">
      <c r="A438" s="110" t="s">
        <v>7</v>
      </c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124"/>
      <c r="V438" s="109"/>
    </row>
    <row r="439" spans="1:23" x14ac:dyDescent="0.25">
      <c r="A439" s="122" t="s">
        <v>207</v>
      </c>
      <c r="C439" s="116" t="s">
        <v>307</v>
      </c>
      <c r="D439" s="116" t="s">
        <v>374</v>
      </c>
      <c r="E439" s="116" t="s">
        <v>317</v>
      </c>
      <c r="F439" s="123">
        <f>VLOOKUP(C439,'WSS-33'!$C$1:$AR$730,12,)</f>
        <v>695271.29851031234</v>
      </c>
      <c r="G439" s="123">
        <f>(VLOOKUP($E439,$D$6:$AI$674,G$2,)/VLOOKUP($E439,$D$6:$AI$674,3,))*$F439</f>
        <v>369893.48302019894</v>
      </c>
      <c r="H439" s="123">
        <f>(VLOOKUP($E439,$D$6:$AI$674,H$2,)/VLOOKUP($E439,$D$6:$AI$674,3,))*$F439</f>
        <v>179426.33050607712</v>
      </c>
      <c r="I439" s="123">
        <f>(VLOOKUP($E439,$D$6:$AI$674,I$2,)/VLOOKUP($E439,$D$6:$AI$674,3,))*$F439</f>
        <v>22396.613361821102</v>
      </c>
      <c r="J439" s="123">
        <f>(VLOOKUP($E439,$D$6:$AI$674,J$2,)/VLOOKUP($E439,$D$6:$AI$674,3,))*$F439</f>
        <v>1437.2739109827542</v>
      </c>
      <c r="K439" s="123">
        <f>(VLOOKUP($E439,$D$6:$AI$674,8,)/VLOOKUP($E439,$D$6:$AI$674,3,))*$F439</f>
        <v>122117.59771123245</v>
      </c>
      <c r="L439" s="123">
        <f>(VLOOKUP($E439,$D$6:$AI$674,L$2,)/VLOOKUP($E439,$D$6:$AI$674,3,))*$F439</f>
        <v>0</v>
      </c>
      <c r="M439" s="123">
        <f>(VLOOKUP($E439,$D$6:$AI$674,M$2,)/VLOOKUP($E439,$D$6:$AI$674,3,))*$F439</f>
        <v>0</v>
      </c>
      <c r="N439" s="123">
        <f>(VLOOKUP($E439,$D$6:$AI$674,11,)/VLOOKUP($E439,$D$6:$AI$674,3,))*$F439</f>
        <v>0</v>
      </c>
      <c r="O439" s="123">
        <f>(VLOOKUP($E439,$D$6:$AI$674,O$2,)/VLOOKUP($E439,$D$6:$AI$674,3,))*$F439</f>
        <v>0</v>
      </c>
      <c r="P439" s="123">
        <f>(VLOOKUP($E439,$D$6:$AI$674,P$2,)/VLOOKUP($E439,$D$6:$AI$674,3,))*$F439</f>
        <v>0</v>
      </c>
      <c r="Q439" s="123">
        <f>(VLOOKUP($E439,$D$6:$AI$674,Q$2,)/VLOOKUP($E439,$D$6:$AI$674,3,))*$F439</f>
        <v>0</v>
      </c>
      <c r="R439" s="123">
        <f>(VLOOKUP($E439,$D$6:$AI$674,15,)/VLOOKUP($E439,$D$6:$AI$674,3,))*$F439</f>
        <v>0</v>
      </c>
      <c r="S439" s="123">
        <f>(VLOOKUP($E439,$D$6:$AI$674,16,)/VLOOKUP($E439,$D$6:$AI$674,3,))*$F439</f>
        <v>0</v>
      </c>
      <c r="T439" s="123">
        <f>(VLOOKUP($E439,$D$6:$AI$674,17,)/VLOOKUP($E439,$D$6:$AI$674,3,))*$F439</f>
        <v>0</v>
      </c>
      <c r="U439" s="124">
        <f>SUM(G439:M439)</f>
        <v>695271.29851031234</v>
      </c>
      <c r="V439" s="109" t="str">
        <f>IF(ABS(F439-U439)&lt;0.01,"ok","err")</f>
        <v>ok</v>
      </c>
    </row>
    <row r="440" spans="1:23" x14ac:dyDescent="0.25">
      <c r="F440" s="7"/>
      <c r="U440" s="124"/>
    </row>
    <row r="441" spans="1:23" x14ac:dyDescent="0.25">
      <c r="A441" s="110" t="s">
        <v>8</v>
      </c>
      <c r="F441" s="7"/>
      <c r="U441" s="124"/>
    </row>
    <row r="442" spans="1:23" x14ac:dyDescent="0.25">
      <c r="A442" s="122" t="s">
        <v>676</v>
      </c>
      <c r="C442" s="116" t="s">
        <v>307</v>
      </c>
      <c r="D442" s="116" t="s">
        <v>375</v>
      </c>
      <c r="E442" s="116" t="s">
        <v>680</v>
      </c>
      <c r="F442" s="123">
        <f>VLOOKUP(C442,'WSS-33'!$C$1:$AR$730,13,)</f>
        <v>1881014.8309272726</v>
      </c>
      <c r="G442" s="123">
        <f t="shared" ref="G442:J445" si="136">(VLOOKUP($E442,$D$6:$AI$674,G$2,)/VLOOKUP($E442,$D$6:$AI$674,3,))*$F442</f>
        <v>1219541.8832060206</v>
      </c>
      <c r="H442" s="123">
        <f t="shared" si="136"/>
        <v>591570.10070971714</v>
      </c>
      <c r="I442" s="123">
        <f t="shared" si="136"/>
        <v>69902.847011534832</v>
      </c>
      <c r="J442" s="123">
        <f t="shared" si="136"/>
        <v>0</v>
      </c>
      <c r="K442" s="123">
        <f>(VLOOKUP($E442,$D$6:$AI$674,8,)/VLOOKUP($E442,$D$6:$AI$674,3,))*$F442</f>
        <v>0</v>
      </c>
      <c r="L442" s="123">
        <f t="shared" ref="L442:M445" si="137">(VLOOKUP($E442,$D$6:$AI$674,L$2,)/VLOOKUP($E442,$D$6:$AI$674,3,))*$F442</f>
        <v>0</v>
      </c>
      <c r="M442" s="123">
        <f t="shared" si="137"/>
        <v>0</v>
      </c>
      <c r="N442" s="123">
        <f>(VLOOKUP($E442,$D$6:$AI$674,11,)/VLOOKUP($E442,$D$6:$AI$674,3,))*$F442</f>
        <v>0</v>
      </c>
      <c r="O442" s="123">
        <f t="shared" ref="O442:Q445" si="138">(VLOOKUP($E442,$D$6:$AI$674,O$2,)/VLOOKUP($E442,$D$6:$AI$674,3,))*$F442</f>
        <v>0</v>
      </c>
      <c r="P442" s="123">
        <f t="shared" si="138"/>
        <v>0</v>
      </c>
      <c r="Q442" s="123">
        <f t="shared" si="138"/>
        <v>0</v>
      </c>
      <c r="R442" s="123">
        <f>(VLOOKUP($E442,$D$6:$AI$674,15,)/VLOOKUP($E442,$D$6:$AI$674,3,))*$F442</f>
        <v>0</v>
      </c>
      <c r="S442" s="123">
        <f>(VLOOKUP($E442,$D$6:$AI$674,16,)/VLOOKUP($E442,$D$6:$AI$674,3,))*$F442</f>
        <v>0</v>
      </c>
      <c r="T442" s="123">
        <f>(VLOOKUP($E442,$D$6:$AI$674,17,)/VLOOKUP($E442,$D$6:$AI$674,3,))*$F442</f>
        <v>0</v>
      </c>
      <c r="U442" s="124">
        <f>SUM(G442:M442)</f>
        <v>1881014.8309272726</v>
      </c>
      <c r="V442" s="109" t="str">
        <f>IF(ABS(F442-U442)&lt;0.01,"ok","err")</f>
        <v>ok</v>
      </c>
    </row>
    <row r="443" spans="1:23" x14ac:dyDescent="0.25">
      <c r="A443" s="122" t="s">
        <v>675</v>
      </c>
      <c r="C443" s="116" t="s">
        <v>307</v>
      </c>
      <c r="D443" s="116" t="s">
        <v>376</v>
      </c>
      <c r="E443" s="116" t="s">
        <v>873</v>
      </c>
      <c r="F443" s="7">
        <f>VLOOKUP(C443,'WSS-33'!$C$1:$AR$730,14,)</f>
        <v>3706087.5513718249</v>
      </c>
      <c r="G443" s="7">
        <f t="shared" si="136"/>
        <v>3416683.3809045125</v>
      </c>
      <c r="H443" s="7">
        <f t="shared" si="136"/>
        <v>286598.64656531805</v>
      </c>
      <c r="I443" s="7">
        <f t="shared" si="136"/>
        <v>2805.5239019947799</v>
      </c>
      <c r="J443" s="7">
        <f t="shared" si="136"/>
        <v>0</v>
      </c>
      <c r="K443" s="7">
        <f>(VLOOKUP($E443,$D$6:$AI$674,8,)/VLOOKUP($E443,$D$6:$AI$674,3,))*$F443</f>
        <v>0</v>
      </c>
      <c r="L443" s="7">
        <f t="shared" si="137"/>
        <v>0</v>
      </c>
      <c r="M443" s="7">
        <f t="shared" si="137"/>
        <v>0</v>
      </c>
      <c r="N443" s="7">
        <f>(VLOOKUP($E443,$D$6:$AI$674,11,)/VLOOKUP($E443,$D$6:$AI$674,3,))*$F443</f>
        <v>0</v>
      </c>
      <c r="O443" s="7">
        <f t="shared" si="138"/>
        <v>0</v>
      </c>
      <c r="P443" s="7">
        <f t="shared" si="138"/>
        <v>0</v>
      </c>
      <c r="Q443" s="7">
        <f t="shared" si="138"/>
        <v>0</v>
      </c>
      <c r="R443" s="7">
        <f>(VLOOKUP($E443,$D$6:$AI$674,15,)/VLOOKUP($E443,$D$6:$AI$674,3,))*$F443</f>
        <v>0</v>
      </c>
      <c r="S443" s="7">
        <f>(VLOOKUP($E443,$D$6:$AI$674,16,)/VLOOKUP($E443,$D$6:$AI$674,3,))*$F443</f>
        <v>0</v>
      </c>
      <c r="T443" s="7">
        <f>(VLOOKUP($E443,$D$6:$AI$674,17,)/VLOOKUP($E443,$D$6:$AI$674,3,))*$F443</f>
        <v>0</v>
      </c>
      <c r="U443" s="124">
        <f>SUM(G443:M443)</f>
        <v>3706087.5513718254</v>
      </c>
      <c r="V443" s="109" t="str">
        <f>IF(ABS(F443-U443)&lt;0.01,"ok","err")</f>
        <v>ok</v>
      </c>
      <c r="W443" s="125"/>
    </row>
    <row r="444" spans="1:23" x14ac:dyDescent="0.25">
      <c r="A444" s="122" t="s">
        <v>677</v>
      </c>
      <c r="C444" s="116" t="s">
        <v>307</v>
      </c>
      <c r="D444" s="116" t="s">
        <v>375</v>
      </c>
      <c r="E444" s="116" t="s">
        <v>318</v>
      </c>
      <c r="F444" s="7">
        <f>VLOOKUP(C444,'WSS-33'!$C$1:$AR$730,15,)</f>
        <v>321497.14543715888</v>
      </c>
      <c r="G444" s="7">
        <f t="shared" si="136"/>
        <v>171040.7134043925</v>
      </c>
      <c r="H444" s="7">
        <f t="shared" si="136"/>
        <v>82967.689299937963</v>
      </c>
      <c r="I444" s="7">
        <f t="shared" si="136"/>
        <v>10356.313109304076</v>
      </c>
      <c r="J444" s="7">
        <f t="shared" si="136"/>
        <v>664.60309893750502</v>
      </c>
      <c r="K444" s="7">
        <f>(VLOOKUP($E444,$D$6:$AI$674,8,)/VLOOKUP($E444,$D$6:$AI$674,3,))*$F444</f>
        <v>56467.826524586853</v>
      </c>
      <c r="L444" s="7">
        <f t="shared" si="137"/>
        <v>0</v>
      </c>
      <c r="M444" s="7">
        <f t="shared" si="137"/>
        <v>0</v>
      </c>
      <c r="N444" s="7">
        <f>(VLOOKUP($E444,$D$6:$AI$674,11,)/VLOOKUP($E444,$D$6:$AI$674,3,))*$F444</f>
        <v>0</v>
      </c>
      <c r="O444" s="7">
        <f t="shared" si="138"/>
        <v>0</v>
      </c>
      <c r="P444" s="7">
        <f t="shared" si="138"/>
        <v>0</v>
      </c>
      <c r="Q444" s="7">
        <f t="shared" si="138"/>
        <v>0</v>
      </c>
      <c r="R444" s="7"/>
      <c r="S444" s="7"/>
      <c r="T444" s="7"/>
      <c r="U444" s="124">
        <f>SUM(G444:M444)</f>
        <v>321497.14543715888</v>
      </c>
      <c r="V444" s="109" t="str">
        <f>IF(ABS(F444-U444)&lt;0.01,"ok","err")</f>
        <v>ok</v>
      </c>
    </row>
    <row r="445" spans="1:23" x14ac:dyDescent="0.25">
      <c r="A445" s="122" t="s">
        <v>674</v>
      </c>
      <c r="C445" s="116" t="s">
        <v>307</v>
      </c>
      <c r="D445" s="116" t="s">
        <v>376</v>
      </c>
      <c r="E445" s="116" t="s">
        <v>872</v>
      </c>
      <c r="F445" s="7">
        <f>VLOOKUP(C445,'WSS-33'!$C$1:$AR$730,16,)</f>
        <v>272849.14438754454</v>
      </c>
      <c r="G445" s="7">
        <f t="shared" si="136"/>
        <v>251473.65164265467</v>
      </c>
      <c r="H445" s="7">
        <f t="shared" si="136"/>
        <v>21094.143112711601</v>
      </c>
      <c r="I445" s="7">
        <f t="shared" si="136"/>
        <v>212.379019805735</v>
      </c>
      <c r="J445" s="7">
        <f t="shared" si="136"/>
        <v>4.2055251446680204</v>
      </c>
      <c r="K445" s="7">
        <f>(VLOOKUP($E445,$D$6:$AI$674,8,)/VLOOKUP($E445,$D$6:$AI$674,3,))*$F445</f>
        <v>64.765087227887506</v>
      </c>
      <c r="L445" s="7">
        <f t="shared" si="137"/>
        <v>0</v>
      </c>
      <c r="M445" s="7">
        <f t="shared" si="137"/>
        <v>0</v>
      </c>
      <c r="N445" s="7">
        <f>(VLOOKUP($E445,$D$6:$AI$674,11,)/VLOOKUP($E445,$D$6:$AI$674,3,))*$F445</f>
        <v>0</v>
      </c>
      <c r="O445" s="7">
        <f t="shared" si="138"/>
        <v>0</v>
      </c>
      <c r="P445" s="7">
        <f t="shared" si="138"/>
        <v>0</v>
      </c>
      <c r="Q445" s="7">
        <f t="shared" si="138"/>
        <v>0</v>
      </c>
      <c r="R445" s="7"/>
      <c r="S445" s="7"/>
      <c r="T445" s="7"/>
      <c r="U445" s="124">
        <f>SUM(G445:M445)</f>
        <v>272849.14438754454</v>
      </c>
      <c r="V445" s="109" t="str">
        <f>IF(ABS(F445-U445)&lt;0.01,"ok","err")</f>
        <v>ok</v>
      </c>
    </row>
    <row r="446" spans="1:23" x14ac:dyDescent="0.25">
      <c r="A446" s="116" t="s">
        <v>229</v>
      </c>
      <c r="F446" s="123">
        <f>SUM(F442:F445)</f>
        <v>6181448.6721238</v>
      </c>
      <c r="G446" s="123">
        <f t="shared" ref="G446:Q446" si="139">SUM(G442:G445)</f>
        <v>5058739.6291575814</v>
      </c>
      <c r="H446" s="123">
        <f t="shared" si="139"/>
        <v>982230.57968768466</v>
      </c>
      <c r="I446" s="123">
        <f t="shared" si="139"/>
        <v>83277.06304263942</v>
      </c>
      <c r="J446" s="123">
        <f t="shared" si="139"/>
        <v>668.80862408217308</v>
      </c>
      <c r="K446" s="123">
        <f t="shared" si="139"/>
        <v>56532.591611814743</v>
      </c>
      <c r="L446" s="123">
        <f t="shared" si="139"/>
        <v>0</v>
      </c>
      <c r="M446" s="123">
        <f t="shared" si="139"/>
        <v>0</v>
      </c>
      <c r="N446" s="123">
        <f t="shared" si="139"/>
        <v>0</v>
      </c>
      <c r="O446" s="123">
        <f t="shared" si="139"/>
        <v>0</v>
      </c>
      <c r="P446" s="123">
        <f t="shared" si="139"/>
        <v>0</v>
      </c>
      <c r="Q446" s="123">
        <f t="shared" si="139"/>
        <v>0</v>
      </c>
      <c r="R446" s="123">
        <f>R442+R443</f>
        <v>0</v>
      </c>
      <c r="S446" s="123">
        <f>S442+S443</f>
        <v>0</v>
      </c>
      <c r="T446" s="123">
        <f>T442+T443</f>
        <v>0</v>
      </c>
      <c r="U446" s="124">
        <f>SUM(G446:M446)</f>
        <v>6181448.6721238028</v>
      </c>
      <c r="V446" s="109" t="str">
        <f>IF(ABS(F446-U446)&lt;0.01,"ok","err")</f>
        <v>ok</v>
      </c>
      <c r="W446" s="125"/>
    </row>
    <row r="447" spans="1:23" x14ac:dyDescent="0.25">
      <c r="F447" s="7"/>
      <c r="U447" s="124"/>
    </row>
    <row r="448" spans="1:23" x14ac:dyDescent="0.25">
      <c r="A448" s="110" t="s">
        <v>10</v>
      </c>
      <c r="F448" s="7"/>
      <c r="U448" s="124"/>
    </row>
    <row r="449" spans="1:24" x14ac:dyDescent="0.25">
      <c r="A449" s="122" t="s">
        <v>208</v>
      </c>
      <c r="C449" s="116" t="s">
        <v>307</v>
      </c>
      <c r="D449" s="116" t="s">
        <v>368</v>
      </c>
      <c r="E449" s="116" t="s">
        <v>319</v>
      </c>
      <c r="F449" s="123">
        <f>VLOOKUP(C449,'WSS-33'!$C$1:$AR$730,17,)</f>
        <v>5456825.8491631979</v>
      </c>
      <c r="G449" s="123">
        <f>(VLOOKUP($E449,$D$6:$AI$674,G$2,)/VLOOKUP($E449,$D$6:$AI$674,3,))*$F449</f>
        <v>4037648.1817681696</v>
      </c>
      <c r="H449" s="123">
        <f>(VLOOKUP($E449,$D$6:$AI$674,H$2,)/VLOOKUP($E449,$D$6:$AI$674,3,))*$F449</f>
        <v>1381956.8782449197</v>
      </c>
      <c r="I449" s="123">
        <f>(VLOOKUP($E449,$D$6:$AI$674,I$2,)/VLOOKUP($E449,$D$6:$AI$674,3,))*$F449</f>
        <v>28095.361083407162</v>
      </c>
      <c r="J449" s="123">
        <f>(VLOOKUP($E449,$D$6:$AI$674,J$2,)/VLOOKUP($E449,$D$6:$AI$674,3,))*$F449</f>
        <v>556.4285406524881</v>
      </c>
      <c r="K449" s="123">
        <f>(VLOOKUP($E449,$D$6:$AI$674,8,)/VLOOKUP($E449,$D$6:$AI$674,3,))*$F449</f>
        <v>8568.9995260483174</v>
      </c>
      <c r="L449" s="123">
        <f>(VLOOKUP($E449,$D$6:$AI$674,L$2,)/VLOOKUP($E449,$D$6:$AI$674,3,))*$F449</f>
        <v>0</v>
      </c>
      <c r="M449" s="123">
        <f>(VLOOKUP($E449,$D$6:$AI$674,M$2,)/VLOOKUP($E449,$D$6:$AI$674,3,))*$F449</f>
        <v>0</v>
      </c>
      <c r="N449" s="123">
        <f>(VLOOKUP($E449,$D$6:$AI$674,11,)/VLOOKUP($E449,$D$6:$AI$674,3,))*$F449</f>
        <v>0</v>
      </c>
      <c r="O449" s="123">
        <f>(VLOOKUP($E449,$D$6:$AI$674,O$2,)/VLOOKUP($E449,$D$6:$AI$674,3,))*$F449</f>
        <v>0</v>
      </c>
      <c r="P449" s="123">
        <f>(VLOOKUP($E449,$D$6:$AI$674,P$2,)/VLOOKUP($E449,$D$6:$AI$674,3,))*$F449</f>
        <v>0</v>
      </c>
      <c r="Q449" s="123">
        <f>(VLOOKUP($E449,$D$6:$AI$674,Q$2,)/VLOOKUP($E449,$D$6:$AI$674,3,))*$F449</f>
        <v>0</v>
      </c>
      <c r="R449" s="123">
        <f>(VLOOKUP($E449,$D$6:$AI$674,15,)/VLOOKUP($E449,$D$6:$AI$674,3,))*$F449</f>
        <v>0</v>
      </c>
      <c r="S449" s="123">
        <f>(VLOOKUP($E449,$D$6:$AI$674,16,)/VLOOKUP($E449,$D$6:$AI$674,3,))*$F449</f>
        <v>0</v>
      </c>
      <c r="T449" s="123">
        <f>(VLOOKUP($E449,$D$6:$AI$674,17,)/VLOOKUP($E449,$D$6:$AI$674,3,))*$F449</f>
        <v>0</v>
      </c>
      <c r="U449" s="124">
        <f>SUM(G449:M449)</f>
        <v>5456825.849163197</v>
      </c>
      <c r="V449" s="109" t="str">
        <f>IF(ABS(F449-U449)&lt;0.01,"ok","err")</f>
        <v>ok</v>
      </c>
      <c r="W449" s="125"/>
    </row>
    <row r="450" spans="1:24" x14ac:dyDescent="0.25">
      <c r="F450" s="7"/>
      <c r="U450" s="124"/>
    </row>
    <row r="451" spans="1:24" x14ac:dyDescent="0.25">
      <c r="A451" s="110" t="s">
        <v>11</v>
      </c>
      <c r="F451" s="7"/>
      <c r="U451" s="124"/>
    </row>
    <row r="452" spans="1:24" x14ac:dyDescent="0.25">
      <c r="A452" s="122" t="s">
        <v>208</v>
      </c>
      <c r="C452" s="116" t="s">
        <v>307</v>
      </c>
      <c r="D452" s="116" t="s">
        <v>377</v>
      </c>
      <c r="E452" s="116" t="s">
        <v>320</v>
      </c>
      <c r="F452" s="123">
        <f>VLOOKUP(C452,'WSS-33'!$C$1:$AR$730,18,)</f>
        <v>1318031.502960701</v>
      </c>
      <c r="G452" s="123">
        <f>(VLOOKUP($E452,$D$6:$AI$674,G$2,)/VLOOKUP($E452,$D$6:$AI$674,3,))*$F452</f>
        <v>869904.24581462133</v>
      </c>
      <c r="H452" s="123">
        <f>(VLOOKUP($E452,$D$6:$AI$674,H$2,)/VLOOKUP($E452,$D$6:$AI$674,3,))*$F452</f>
        <v>381513.36766891804</v>
      </c>
      <c r="I452" s="123">
        <f>(VLOOKUP($E452,$D$6:$AI$674,I$2,)/VLOOKUP($E452,$D$6:$AI$674,3,))*$F452</f>
        <v>28789.837205272423</v>
      </c>
      <c r="J452" s="123">
        <f>(VLOOKUP($E452,$D$6:$AI$674,J$2,)/VLOOKUP($E452,$D$6:$AI$674,3,))*$F452</f>
        <v>157.18642315992093</v>
      </c>
      <c r="K452" s="123">
        <f>(VLOOKUP($E452,$D$6:$AI$674,8,)/VLOOKUP($E452,$D$6:$AI$674,3,))*$F452</f>
        <v>37666.865848729074</v>
      </c>
      <c r="L452" s="123">
        <f>(VLOOKUP($E452,$D$6:$AI$674,L$2,)/VLOOKUP($E452,$D$6:$AI$674,3,))*$F452</f>
        <v>0</v>
      </c>
      <c r="M452" s="123">
        <f>(VLOOKUP($E452,$D$6:$AI$674,M$2,)/VLOOKUP($E452,$D$6:$AI$674,3,))*$F452</f>
        <v>0</v>
      </c>
      <c r="N452" s="123">
        <f>(VLOOKUP($E452,$D$6:$AI$674,11,)/VLOOKUP($E452,$D$6:$AI$674,3,))*$F452</f>
        <v>0</v>
      </c>
      <c r="O452" s="123">
        <f>(VLOOKUP($E452,$D$6:$AI$674,O$2,)/VLOOKUP($E452,$D$6:$AI$674,3,))*$F452</f>
        <v>0</v>
      </c>
      <c r="P452" s="123">
        <f>(VLOOKUP($E452,$D$6:$AI$674,P$2,)/VLOOKUP($E452,$D$6:$AI$674,3,))*$F452</f>
        <v>0</v>
      </c>
      <c r="Q452" s="123">
        <f>(VLOOKUP($E452,$D$6:$AI$674,Q$2,)/VLOOKUP($E452,$D$6:$AI$674,3,))*$F452</f>
        <v>0</v>
      </c>
      <c r="R452" s="123">
        <f>(VLOOKUP($E452,$D$6:$AI$674,15,)/VLOOKUP($E452,$D$6:$AI$674,3,))*$F452</f>
        <v>0</v>
      </c>
      <c r="S452" s="123">
        <f>(VLOOKUP($E452,$D$6:$AI$674,16,)/VLOOKUP($E452,$D$6:$AI$674,3,))*$F452</f>
        <v>0</v>
      </c>
      <c r="T452" s="123">
        <f>(VLOOKUP($E452,$D$6:$AI$674,17,)/VLOOKUP($E452,$D$6:$AI$674,3,))*$F452</f>
        <v>0</v>
      </c>
      <c r="U452" s="124">
        <f>SUM(G452:M452)</f>
        <v>1318031.5029607008</v>
      </c>
      <c r="V452" s="109" t="str">
        <f>IF(ABS(F452-U452)&lt;0.01,"ok","err")</f>
        <v>ok</v>
      </c>
    </row>
    <row r="453" spans="1:24" x14ac:dyDescent="0.25">
      <c r="F453" s="7"/>
      <c r="U453" s="124"/>
    </row>
    <row r="454" spans="1:24" x14ac:dyDescent="0.25">
      <c r="A454" s="110" t="s">
        <v>12</v>
      </c>
      <c r="F454" s="7"/>
      <c r="U454" s="124"/>
    </row>
    <row r="455" spans="1:24" x14ac:dyDescent="0.25">
      <c r="A455" s="122" t="s">
        <v>208</v>
      </c>
      <c r="C455" s="116" t="s">
        <v>307</v>
      </c>
      <c r="D455" s="116" t="s">
        <v>378</v>
      </c>
      <c r="E455" s="116" t="s">
        <v>874</v>
      </c>
      <c r="F455" s="123">
        <f>VLOOKUP(C455,'WSS-33'!$C$1:$AR$730,19,)</f>
        <v>0</v>
      </c>
      <c r="G455" s="123">
        <f>(VLOOKUP($E455,$D$6:$AI$674,G$2,)/VLOOKUP($E455,$D$6:$AI$674,3,))*$F455</f>
        <v>0</v>
      </c>
      <c r="H455" s="123">
        <f>(VLOOKUP($E455,$D$6:$AI$674,H$2,)/VLOOKUP($E455,$D$6:$AI$674,3,))*$F455</f>
        <v>0</v>
      </c>
      <c r="I455" s="123">
        <f>(VLOOKUP($E455,$D$6:$AI$674,I$2,)/VLOOKUP($E455,$D$6:$AI$674,3,))*$F455</f>
        <v>0</v>
      </c>
      <c r="J455" s="123">
        <f>(VLOOKUP($E455,$D$6:$AI$674,J$2,)/VLOOKUP($E455,$D$6:$AI$674,3,))*$F455</f>
        <v>0</v>
      </c>
      <c r="K455" s="123">
        <f>(VLOOKUP($E455,$D$6:$AI$674,8,)/VLOOKUP($E455,$D$6:$AI$674,3,))*$F455</f>
        <v>0</v>
      </c>
      <c r="L455" s="123">
        <f>(VLOOKUP($E455,$D$6:$AI$674,L$2,)/VLOOKUP($E455,$D$6:$AI$674,3,))*$F455</f>
        <v>0</v>
      </c>
      <c r="M455" s="123">
        <f>(VLOOKUP($E455,$D$6:$AI$674,M$2,)/VLOOKUP($E455,$D$6:$AI$674,3,))*$F455</f>
        <v>0</v>
      </c>
      <c r="N455" s="123">
        <f>(VLOOKUP($E455,$D$6:$AI$674,11,)/VLOOKUP($E455,$D$6:$AI$674,3,))*$F455</f>
        <v>0</v>
      </c>
      <c r="O455" s="123">
        <f>(VLOOKUP($E455,$D$6:$AI$674,O$2,)/VLOOKUP($E455,$D$6:$AI$674,3,))*$F455</f>
        <v>0</v>
      </c>
      <c r="P455" s="123">
        <f>(VLOOKUP($E455,$D$6:$AI$674,P$2,)/VLOOKUP($E455,$D$6:$AI$674,3,))*$F455</f>
        <v>0</v>
      </c>
      <c r="Q455" s="123">
        <f>(VLOOKUP($E455,$D$6:$AI$674,Q$2,)/VLOOKUP($E455,$D$6:$AI$674,3,))*$F455</f>
        <v>0</v>
      </c>
      <c r="R455" s="123">
        <f>(VLOOKUP($E455,$D$6:$AI$674,15,)/VLOOKUP($E455,$D$6:$AI$674,3,))*$F455</f>
        <v>0</v>
      </c>
      <c r="S455" s="123">
        <f>(VLOOKUP($E455,$D$6:$AI$674,16,)/VLOOKUP($E455,$D$6:$AI$674,3,))*$F455</f>
        <v>0</v>
      </c>
      <c r="T455" s="123">
        <f>(VLOOKUP($E455,$D$6:$AI$674,17,)/VLOOKUP($E455,$D$6:$AI$674,3,))*$F455</f>
        <v>0</v>
      </c>
      <c r="U455" s="124">
        <f>SUM(G455:M455)</f>
        <v>0</v>
      </c>
      <c r="V455" s="109" t="str">
        <f>IF(ABS(F455-U455)&lt;0.01,"ok","err")</f>
        <v>ok</v>
      </c>
    </row>
    <row r="456" spans="1:24" x14ac:dyDescent="0.25">
      <c r="F456" s="7"/>
      <c r="U456" s="124"/>
    </row>
    <row r="457" spans="1:24" x14ac:dyDescent="0.25">
      <c r="A457" s="110" t="s">
        <v>13</v>
      </c>
      <c r="F457" s="7"/>
      <c r="U457" s="124"/>
    </row>
    <row r="458" spans="1:24" x14ac:dyDescent="0.25">
      <c r="A458" s="122" t="s">
        <v>208</v>
      </c>
      <c r="C458" s="116" t="s">
        <v>307</v>
      </c>
      <c r="D458" s="116" t="s">
        <v>379</v>
      </c>
      <c r="E458" s="116" t="s">
        <v>875</v>
      </c>
      <c r="F458" s="123">
        <f>VLOOKUP(C458,'WSS-33'!$C$1:$AR$730,20,)</f>
        <v>0</v>
      </c>
      <c r="G458" s="123">
        <f>(VLOOKUP($E458,$D$6:$AI$674,G$2,)/VLOOKUP($E458,$D$6:$AI$674,3,))*$F458</f>
        <v>0</v>
      </c>
      <c r="H458" s="123">
        <f>(VLOOKUP($E458,$D$6:$AI$674,H$2,)/VLOOKUP($E458,$D$6:$AI$674,3,))*$F458</f>
        <v>0</v>
      </c>
      <c r="I458" s="123">
        <f>(VLOOKUP($E458,$D$6:$AI$674,I$2,)/VLOOKUP($E458,$D$6:$AI$674,3,))*$F458</f>
        <v>0</v>
      </c>
      <c r="J458" s="123">
        <f>(VLOOKUP($E458,$D$6:$AI$674,J$2,)/VLOOKUP($E458,$D$6:$AI$674,3,))*$F458</f>
        <v>0</v>
      </c>
      <c r="K458" s="123">
        <f>(VLOOKUP($E458,$D$6:$AI$674,8,)/VLOOKUP($E458,$D$6:$AI$674,3,))*$F458</f>
        <v>0</v>
      </c>
      <c r="L458" s="123">
        <f>(VLOOKUP($E458,$D$6:$AI$674,L$2,)/VLOOKUP($E458,$D$6:$AI$674,3,))*$F458</f>
        <v>0</v>
      </c>
      <c r="M458" s="123">
        <f>(VLOOKUP($E458,$D$6:$AI$674,M$2,)/VLOOKUP($E458,$D$6:$AI$674,3,))*$F458</f>
        <v>0</v>
      </c>
      <c r="N458" s="123">
        <f>(VLOOKUP($E458,$D$6:$AI$674,11,)/VLOOKUP($E458,$D$6:$AI$674,3,))*$F458</f>
        <v>0</v>
      </c>
      <c r="O458" s="123">
        <f>(VLOOKUP($E458,$D$6:$AI$674,O$2,)/VLOOKUP($E458,$D$6:$AI$674,3,))*$F458</f>
        <v>0</v>
      </c>
      <c r="P458" s="123">
        <f>(VLOOKUP($E458,$D$6:$AI$674,P$2,)/VLOOKUP($E458,$D$6:$AI$674,3,))*$F458</f>
        <v>0</v>
      </c>
      <c r="Q458" s="123">
        <f>(VLOOKUP($E458,$D$6:$AI$674,Q$2,)/VLOOKUP($E458,$D$6:$AI$674,3,))*$F458</f>
        <v>0</v>
      </c>
      <c r="R458" s="123">
        <f>(VLOOKUP($E458,$D$6:$AI$674,15,)/VLOOKUP($E458,$D$6:$AI$674,3,))*$F458</f>
        <v>0</v>
      </c>
      <c r="S458" s="123">
        <f>(VLOOKUP($E458,$D$6:$AI$674,16,)/VLOOKUP($E458,$D$6:$AI$674,3,))*$F458</f>
        <v>0</v>
      </c>
      <c r="T458" s="123">
        <f>(VLOOKUP($E458,$D$6:$AI$674,17,)/VLOOKUP($E458,$D$6:$AI$674,3,))*$F458</f>
        <v>0</v>
      </c>
      <c r="U458" s="124">
        <f>SUM(G458:M458)</f>
        <v>0</v>
      </c>
      <c r="V458" s="109" t="str">
        <f>IF(ABS(F458-U458)&lt;0.01,"ok","err")</f>
        <v>ok</v>
      </c>
    </row>
    <row r="459" spans="1:24" x14ac:dyDescent="0.25">
      <c r="F459" s="7"/>
      <c r="U459" s="124"/>
    </row>
    <row r="460" spans="1:24" x14ac:dyDescent="0.25">
      <c r="A460" s="116" t="s">
        <v>14</v>
      </c>
      <c r="D460" s="116" t="s">
        <v>380</v>
      </c>
      <c r="F460" s="123">
        <f t="shared" ref="F460:T460" si="140">F423+F428+F433+F436+F439+F446+F449+F452+F455+F458</f>
        <v>17528491.233574867</v>
      </c>
      <c r="G460" s="123">
        <f t="shared" si="140"/>
        <v>12836937.229469217</v>
      </c>
      <c r="H460" s="123">
        <f t="shared" si="140"/>
        <v>4109690.9912101785</v>
      </c>
      <c r="I460" s="123">
        <f t="shared" si="140"/>
        <v>274325.55054312776</v>
      </c>
      <c r="J460" s="123">
        <f t="shared" si="140"/>
        <v>3503.539125449156</v>
      </c>
      <c r="K460" s="123">
        <f t="shared" si="140"/>
        <v>304033.92322689865</v>
      </c>
      <c r="L460" s="123">
        <f t="shared" si="140"/>
        <v>0</v>
      </c>
      <c r="M460" s="123">
        <f t="shared" si="140"/>
        <v>0</v>
      </c>
      <c r="N460" s="123">
        <f t="shared" si="140"/>
        <v>0</v>
      </c>
      <c r="O460" s="123">
        <f t="shared" si="140"/>
        <v>0</v>
      </c>
      <c r="P460" s="123">
        <f t="shared" si="140"/>
        <v>0</v>
      </c>
      <c r="Q460" s="123">
        <f t="shared" si="140"/>
        <v>0</v>
      </c>
      <c r="R460" s="123">
        <f t="shared" si="140"/>
        <v>0</v>
      </c>
      <c r="S460" s="123">
        <f t="shared" si="140"/>
        <v>0</v>
      </c>
      <c r="T460" s="123">
        <f t="shared" si="140"/>
        <v>0</v>
      </c>
      <c r="U460" s="124">
        <f>SUM(G460:M460)</f>
        <v>17528491.233574875</v>
      </c>
      <c r="V460" s="109" t="str">
        <f>IF(ABS(F460-U460)&lt;0.01,"ok","err")</f>
        <v>ok</v>
      </c>
      <c r="W460" s="124"/>
      <c r="X460" s="109"/>
    </row>
    <row r="461" spans="1:24" x14ac:dyDescent="0.25">
      <c r="U461" s="124"/>
    </row>
    <row r="462" spans="1:24" x14ac:dyDescent="0.25">
      <c r="U462" s="124"/>
    </row>
    <row r="463" spans="1:24" x14ac:dyDescent="0.25">
      <c r="A463" s="121" t="s">
        <v>857</v>
      </c>
      <c r="U463" s="124"/>
    </row>
    <row r="464" spans="1:24" x14ac:dyDescent="0.25">
      <c r="F464" s="137"/>
      <c r="G464" s="127"/>
      <c r="U464" s="124"/>
    </row>
    <row r="465" spans="1:25" x14ac:dyDescent="0.25">
      <c r="A465" s="110" t="s">
        <v>216</v>
      </c>
      <c r="U465" s="124"/>
    </row>
    <row r="466" spans="1:25" x14ac:dyDescent="0.25">
      <c r="A466" s="122" t="s">
        <v>300</v>
      </c>
      <c r="C466" s="134"/>
      <c r="E466" s="116" t="s">
        <v>767</v>
      </c>
      <c r="F466" s="7">
        <v>326874820.25007921</v>
      </c>
      <c r="G466" s="7">
        <f t="shared" ref="G466:J469" si="141">(VLOOKUP($E466,$D$6:$AI$677,G$2,)/VLOOKUP($E466,$D$6:$AI$677,3,))*$F466</f>
        <v>217967718.12771013</v>
      </c>
      <c r="H466" s="7">
        <f t="shared" si="141"/>
        <v>90537707.064220667</v>
      </c>
      <c r="I466" s="7">
        <f t="shared" si="141"/>
        <v>10983882.718690034</v>
      </c>
      <c r="J466" s="7">
        <f t="shared" si="141"/>
        <v>832734.57018943038</v>
      </c>
      <c r="K466" s="7">
        <f>(VLOOKUP($E466,$D$6:$AI$677,8,)/VLOOKUP($E466,$D$6:$AI$677,3,))*$F466</f>
        <v>6552777.7692689784</v>
      </c>
      <c r="L466" s="7">
        <f>(VLOOKUP($E466,$D$6:$AI$677,L$2,)/VLOOKUP($E466,$D$6:$AI$677,3,))*$F466</f>
        <v>0</v>
      </c>
      <c r="M466" s="7">
        <f>(VLOOKUP($E466,$D$6:$AI$677,M$2,)/VLOOKUP($E466,$D$6:$AI$677,3,))*$F466</f>
        <v>0</v>
      </c>
      <c r="N466" s="7">
        <v>0</v>
      </c>
      <c r="O466" s="7">
        <f t="shared" ref="O466:Q468" si="142">(VLOOKUP($E466,$D$6:$AI$677,O$2,)/VLOOKUP($E466,$D$6:$AI$677,3,))*$F466</f>
        <v>0</v>
      </c>
      <c r="P466" s="7">
        <f t="shared" si="142"/>
        <v>0</v>
      </c>
      <c r="Q466" s="7">
        <f t="shared" si="142"/>
        <v>0</v>
      </c>
      <c r="R466" s="7">
        <v>0</v>
      </c>
      <c r="S466" s="7">
        <v>0</v>
      </c>
      <c r="T466" s="7">
        <v>0</v>
      </c>
      <c r="U466" s="124">
        <f>SUM(G466:M466)</f>
        <v>326874820.25007921</v>
      </c>
      <c r="V466" s="109" t="str">
        <f>IF(ABS(F466-U466)&lt;2,"ok","err")</f>
        <v>ok</v>
      </c>
      <c r="W466" s="124"/>
      <c r="X466" s="109"/>
    </row>
    <row r="467" spans="1:25" x14ac:dyDescent="0.25">
      <c r="A467" s="116" t="s">
        <v>753</v>
      </c>
      <c r="E467" s="116" t="s">
        <v>767</v>
      </c>
      <c r="F467" s="7">
        <v>3766299.7768884143</v>
      </c>
      <c r="G467" s="7">
        <f t="shared" si="141"/>
        <v>2511456.1211084062</v>
      </c>
      <c r="H467" s="7">
        <f t="shared" si="141"/>
        <v>1043188.7829569835</v>
      </c>
      <c r="I467" s="7">
        <f t="shared" si="141"/>
        <v>126557.91290721408</v>
      </c>
      <c r="J467" s="7">
        <f t="shared" si="141"/>
        <v>9594.8902503785339</v>
      </c>
      <c r="K467" s="7">
        <f>(VLOOKUP($E467,$D$6:$AI$677,8,)/VLOOKUP($E467,$D$6:$AI$677,3,))*$F467</f>
        <v>75502.069665432224</v>
      </c>
      <c r="L467" s="7">
        <f>(VLOOKUP($E467,$D$6:$AI$677,L$2,)/VLOOKUP($E467,$D$6:$AI$677,3,))*$F467</f>
        <v>0</v>
      </c>
      <c r="M467" s="7">
        <f>(VLOOKUP($E467,$D$6:$AI$677,M$2,)/VLOOKUP($E467,$D$6:$AI$677,3,))*$F467</f>
        <v>0</v>
      </c>
      <c r="N467" s="7">
        <v>0</v>
      </c>
      <c r="O467" s="7">
        <f t="shared" si="142"/>
        <v>0</v>
      </c>
      <c r="P467" s="7">
        <f t="shared" si="142"/>
        <v>0</v>
      </c>
      <c r="Q467" s="7">
        <f t="shared" si="142"/>
        <v>0</v>
      </c>
      <c r="R467" s="7">
        <v>0</v>
      </c>
      <c r="S467" s="7">
        <v>0</v>
      </c>
      <c r="T467" s="7">
        <v>0</v>
      </c>
      <c r="U467" s="124">
        <f>SUM(G467:M467)</f>
        <v>3766299.7768884148</v>
      </c>
      <c r="V467" s="109" t="str">
        <f>IF(ABS(F467-U467)&lt;2,"ok","err")</f>
        <v>ok</v>
      </c>
      <c r="W467" s="124"/>
      <c r="X467" s="109"/>
      <c r="Y467" s="137"/>
    </row>
    <row r="468" spans="1:25" x14ac:dyDescent="0.25">
      <c r="A468" s="116" t="s">
        <v>643</v>
      </c>
      <c r="E468" s="116" t="s">
        <v>663</v>
      </c>
      <c r="F468" s="146">
        <v>1065948.9200000004</v>
      </c>
      <c r="G468" s="7">
        <f t="shared" si="141"/>
        <v>869474.87025058013</v>
      </c>
      <c r="H468" s="7">
        <f t="shared" si="141"/>
        <v>183212.63065137979</v>
      </c>
      <c r="I468" s="7">
        <f t="shared" si="141"/>
        <v>13261.419098040538</v>
      </c>
      <c r="J468" s="7">
        <f t="shared" si="141"/>
        <v>0</v>
      </c>
      <c r="K468" s="7">
        <f>(VLOOKUP($E468,$D$6:$AI$677,8,)/VLOOKUP($E468,$D$6:$AI$677,3,))*$F468</f>
        <v>0</v>
      </c>
      <c r="L468" s="7">
        <f>(VLOOKUP($E468,$D$6:$AI$677,L$2,)/VLOOKUP($E468,$D$6:$AI$677,3,))*$F468</f>
        <v>0</v>
      </c>
      <c r="M468" s="7">
        <f>SUM(O468:T468)</f>
        <v>0</v>
      </c>
      <c r="N468" s="7">
        <v>0</v>
      </c>
      <c r="O468" s="7">
        <f t="shared" si="142"/>
        <v>0</v>
      </c>
      <c r="P468" s="7">
        <f t="shared" si="142"/>
        <v>0</v>
      </c>
      <c r="Q468" s="7">
        <f t="shared" si="142"/>
        <v>0</v>
      </c>
      <c r="R468" s="7">
        <v>0</v>
      </c>
      <c r="S468" s="7">
        <v>0</v>
      </c>
      <c r="T468" s="7">
        <v>0</v>
      </c>
      <c r="U468" s="124">
        <f>SUM(G468:M468)</f>
        <v>1065948.9200000004</v>
      </c>
      <c r="V468" s="109" t="str">
        <f>IF(ABS(F468-U468)&lt;1,"ok","err")</f>
        <v>ok</v>
      </c>
      <c r="W468" s="124"/>
      <c r="X468" s="109"/>
    </row>
    <row r="469" spans="1:25" x14ac:dyDescent="0.25">
      <c r="A469" s="116" t="s">
        <v>687</v>
      </c>
      <c r="D469" s="116" t="s">
        <v>217</v>
      </c>
      <c r="E469" s="128" t="s">
        <v>712</v>
      </c>
      <c r="F469" s="8">
        <v>465660.03333333333</v>
      </c>
      <c r="G469" s="7">
        <f t="shared" si="141"/>
        <v>320917.67432553926</v>
      </c>
      <c r="H469" s="7">
        <f t="shared" si="141"/>
        <v>137595.86924851115</v>
      </c>
      <c r="I469" s="7">
        <f t="shared" si="141"/>
        <v>7146.4897592829184</v>
      </c>
      <c r="J469" s="7">
        <f t="shared" si="141"/>
        <v>0</v>
      </c>
      <c r="K469" s="7">
        <f>(VLOOKUP($E469,$D$6:$AI$677,8,)/VLOOKUP($E469,$D$6:$AI$677,3,))*$F469</f>
        <v>0</v>
      </c>
      <c r="L469" s="7">
        <f>(VLOOKUP($E469,$D$6:$AI$677,L$2,)/VLOOKUP($E469,$D$6:$AI$677,3,))*$F469</f>
        <v>0</v>
      </c>
      <c r="M469" s="7">
        <f>SUM(O469:T469)</f>
        <v>0</v>
      </c>
      <c r="N469" s="7">
        <f>(VLOOKUP($E469,$D$6:$AI$674,11,)/VLOOKUP($E469,$D$6:$AI$674,3,))*$F469</f>
        <v>0</v>
      </c>
      <c r="O469" s="7">
        <f>(VLOOKUP($E469,$D$6:$AI$674,O$2,)/VLOOKUP($E469,$D$6:$AI$674,3,))*$F469</f>
        <v>0</v>
      </c>
      <c r="P469" s="7">
        <f>(VLOOKUP($E469,$D$6:$AI$674,P$2,)/VLOOKUP($E469,$D$6:$AI$674,3,))*$F469</f>
        <v>0</v>
      </c>
      <c r="Q469" s="7">
        <f>(VLOOKUP($E469,$D$6:$AI$674,Q$2,)/VLOOKUP($E469,$D$6:$AI$674,3,))*$F469</f>
        <v>0</v>
      </c>
      <c r="R469" s="7">
        <f>(VLOOKUP($E469,$D$6:$AI$674,15,)/VLOOKUP($E469,$D$6:$AI$674,3,))*$F469</f>
        <v>0</v>
      </c>
      <c r="S469" s="7">
        <f>(VLOOKUP($E469,$D$6:$AI$674,16,)/VLOOKUP($E469,$D$6:$AI$674,3,))*$F469</f>
        <v>0</v>
      </c>
      <c r="T469" s="7">
        <f>(VLOOKUP($E469,$D$6:$AI$674,17,)/VLOOKUP($E469,$D$6:$AI$674,3,))*$F469</f>
        <v>0</v>
      </c>
      <c r="U469" s="124">
        <f>SUM(G469:M469)</f>
        <v>465660.03333333333</v>
      </c>
      <c r="V469" s="109" t="str">
        <f>IF(ABS(F469-U469)&lt;0.01,"ok","err")</f>
        <v>ok</v>
      </c>
      <c r="W469" s="124"/>
      <c r="X469" s="109"/>
    </row>
    <row r="470" spans="1:25" x14ac:dyDescent="0.25">
      <c r="U470" s="124"/>
    </row>
    <row r="471" spans="1:25" x14ac:dyDescent="0.25">
      <c r="A471" s="116" t="s">
        <v>749</v>
      </c>
      <c r="D471" s="116" t="s">
        <v>218</v>
      </c>
      <c r="F471" s="124">
        <f t="shared" ref="F471:T471" si="143">SUM(F466:F470)</f>
        <v>332172728.98030102</v>
      </c>
      <c r="G471" s="124">
        <f t="shared" si="143"/>
        <v>221669566.79339465</v>
      </c>
      <c r="H471" s="124">
        <f t="shared" si="143"/>
        <v>91901704.347077549</v>
      </c>
      <c r="I471" s="124">
        <f t="shared" si="143"/>
        <v>11130848.540454572</v>
      </c>
      <c r="J471" s="124">
        <f t="shared" si="143"/>
        <v>842329.4604398089</v>
      </c>
      <c r="K471" s="124">
        <f t="shared" si="143"/>
        <v>6628279.8389344104</v>
      </c>
      <c r="L471" s="124">
        <f t="shared" si="143"/>
        <v>0</v>
      </c>
      <c r="M471" s="124">
        <f t="shared" si="143"/>
        <v>0</v>
      </c>
      <c r="N471" s="124">
        <f t="shared" si="143"/>
        <v>0</v>
      </c>
      <c r="O471" s="124">
        <f t="shared" si="143"/>
        <v>0</v>
      </c>
      <c r="P471" s="124">
        <f t="shared" si="143"/>
        <v>0</v>
      </c>
      <c r="Q471" s="124">
        <f t="shared" si="143"/>
        <v>0</v>
      </c>
      <c r="R471" s="124">
        <f t="shared" si="143"/>
        <v>0</v>
      </c>
      <c r="S471" s="124">
        <f t="shared" si="143"/>
        <v>0</v>
      </c>
      <c r="T471" s="124">
        <f t="shared" si="143"/>
        <v>0</v>
      </c>
      <c r="U471" s="124">
        <f>SUM(G471:M471)</f>
        <v>332172728.98030096</v>
      </c>
      <c r="V471" s="109" t="str">
        <f>IF(ABS(F471-U471)&lt;2,"ok","err")</f>
        <v>ok</v>
      </c>
      <c r="W471" s="124"/>
      <c r="X471" s="109"/>
      <c r="Y471" s="124"/>
    </row>
    <row r="472" spans="1:25" x14ac:dyDescent="0.25">
      <c r="F472" s="124"/>
      <c r="U472" s="124"/>
    </row>
    <row r="473" spans="1:25" x14ac:dyDescent="0.25">
      <c r="A473" s="110" t="s">
        <v>644</v>
      </c>
      <c r="Q473" s="124"/>
      <c r="U473" s="124"/>
    </row>
    <row r="474" spans="1:25" x14ac:dyDescent="0.25">
      <c r="A474" s="116" t="s">
        <v>841</v>
      </c>
      <c r="E474" s="116" t="s">
        <v>856</v>
      </c>
      <c r="F474" s="7">
        <v>-14201945.9885328</v>
      </c>
      <c r="G474" s="123">
        <f t="shared" ref="G474:J477" si="144">(VLOOKUP($E474,$D$6:$AI$674,G$2,)/VLOOKUP($E474,$D$6:$AI$674,3,))*$F474</f>
        <v>-9542287.5096951891</v>
      </c>
      <c r="H474" s="123">
        <f t="shared" si="144"/>
        <v>-4023411.2985513425</v>
      </c>
      <c r="I474" s="123">
        <f t="shared" si="144"/>
        <v>-515213.97658613528</v>
      </c>
      <c r="J474" s="123">
        <f t="shared" si="144"/>
        <v>-40082.111565497551</v>
      </c>
      <c r="K474" s="123">
        <f>(VLOOKUP($E474,$D$6:$AI$674,8,)/VLOOKUP($E474,$D$6:$AI$674,3,))*$F474</f>
        <v>-80951.092134637016</v>
      </c>
      <c r="L474" s="123">
        <f t="shared" ref="L474:M477" si="145">(VLOOKUP($E474,$D$6:$AI$674,L$2,)/VLOOKUP($E474,$D$6:$AI$674,3,))*$F474</f>
        <v>0</v>
      </c>
      <c r="M474" s="123">
        <f t="shared" si="145"/>
        <v>0</v>
      </c>
      <c r="N474" s="123">
        <f>(VLOOKUP($E474,$D$6:$AI$674,11,)/VLOOKUP($E474,$D$6:$AI$674,3,))*$F474</f>
        <v>0</v>
      </c>
      <c r="O474" s="123">
        <f t="shared" ref="O474:Q477" si="146">(VLOOKUP($E474,$D$6:$AI$674,O$2,)/VLOOKUP($E474,$D$6:$AI$674,3,))*$F474</f>
        <v>0</v>
      </c>
      <c r="P474" s="123">
        <f t="shared" si="146"/>
        <v>0</v>
      </c>
      <c r="Q474" s="123">
        <f t="shared" si="146"/>
        <v>0</v>
      </c>
      <c r="U474" s="124">
        <f>SUM(G474:M474)</f>
        <v>-14201945.9885328</v>
      </c>
      <c r="V474" s="109" t="str">
        <f>IF(ABS((F474-U474)&lt;0.001),"ok","err")</f>
        <v>ok</v>
      </c>
      <c r="W474" s="10"/>
      <c r="X474" s="109"/>
      <c r="Y474" s="125"/>
    </row>
    <row r="475" spans="1:25" x14ac:dyDescent="0.25">
      <c r="A475" s="116" t="s">
        <v>754</v>
      </c>
      <c r="E475" s="116" t="s">
        <v>765</v>
      </c>
      <c r="F475" s="7">
        <v>-123682587.184497</v>
      </c>
      <c r="G475" s="123">
        <f t="shared" si="144"/>
        <v>-78109569.320744395</v>
      </c>
      <c r="H475" s="123">
        <f t="shared" si="144"/>
        <v>-39688113.458993129</v>
      </c>
      <c r="I475" s="123">
        <f t="shared" si="144"/>
        <v>-5367375.8609604966</v>
      </c>
      <c r="J475" s="123">
        <f t="shared" si="144"/>
        <v>-517528.54379896785</v>
      </c>
      <c r="K475" s="123">
        <f>(VLOOKUP($E475,$D$6:$AI$674,8,)/VLOOKUP($E475,$D$6:$AI$674,3,))*$F475</f>
        <v>0</v>
      </c>
      <c r="L475" s="123">
        <f t="shared" si="145"/>
        <v>0</v>
      </c>
      <c r="M475" s="123">
        <f t="shared" si="145"/>
        <v>0</v>
      </c>
      <c r="N475" s="123">
        <f>(VLOOKUP($E475,$D$6:$AI$674,11,)/VLOOKUP($E475,$D$6:$AI$674,3,))*$F475</f>
        <v>0</v>
      </c>
      <c r="O475" s="123">
        <f t="shared" si="146"/>
        <v>0</v>
      </c>
      <c r="P475" s="123">
        <f t="shared" si="146"/>
        <v>0</v>
      </c>
      <c r="Q475" s="123">
        <f t="shared" si="146"/>
        <v>0</v>
      </c>
      <c r="U475" s="124">
        <f>SUM(G475:M475)</f>
        <v>-123682587.184497</v>
      </c>
      <c r="V475" s="109" t="str">
        <f>IF(ABS((F475-U475)&lt;0.001),"ok","err")</f>
        <v>ok</v>
      </c>
      <c r="W475" s="124"/>
      <c r="X475" s="109"/>
    </row>
    <row r="476" spans="1:25" x14ac:dyDescent="0.25">
      <c r="A476" s="116" t="s">
        <v>847</v>
      </c>
      <c r="E476" s="116" t="s">
        <v>767</v>
      </c>
      <c r="F476" s="7">
        <v>-1470692</v>
      </c>
      <c r="G476" s="123">
        <f t="shared" si="144"/>
        <v>-980691.56585211342</v>
      </c>
      <c r="H476" s="123">
        <f t="shared" si="144"/>
        <v>-407351.90730146348</v>
      </c>
      <c r="I476" s="123">
        <f t="shared" si="144"/>
        <v>-49419.249946988748</v>
      </c>
      <c r="J476" s="123">
        <f t="shared" si="144"/>
        <v>-3746.6821995162136</v>
      </c>
      <c r="K476" s="123">
        <f>(VLOOKUP($E476,$D$6:$AI$674,8,)/VLOOKUP($E476,$D$6:$AI$674,3,))*$F476</f>
        <v>-29482.5946999183</v>
      </c>
      <c r="L476" s="123">
        <f t="shared" si="145"/>
        <v>0</v>
      </c>
      <c r="M476" s="123">
        <f t="shared" si="145"/>
        <v>0</v>
      </c>
      <c r="N476" s="123">
        <f>(VLOOKUP($E476,$D$6:$AI$674,11,)/VLOOKUP($E476,$D$6:$AI$674,3,))*$F476</f>
        <v>0</v>
      </c>
      <c r="O476" s="123">
        <f t="shared" si="146"/>
        <v>0</v>
      </c>
      <c r="P476" s="123">
        <f t="shared" si="146"/>
        <v>0</v>
      </c>
      <c r="Q476" s="123">
        <f t="shared" si="146"/>
        <v>0</v>
      </c>
      <c r="U476" s="124">
        <f>SUM(G476:M476)</f>
        <v>-1470692</v>
      </c>
      <c r="V476" s="109" t="str">
        <f>IF(ABS((F476-U476)&lt;0.001),"ok","err")</f>
        <v>ok</v>
      </c>
      <c r="W476" s="124"/>
      <c r="X476" s="109"/>
    </row>
    <row r="477" spans="1:25" x14ac:dyDescent="0.25">
      <c r="A477" s="116" t="s">
        <v>685</v>
      </c>
      <c r="E477" s="116" t="s">
        <v>684</v>
      </c>
      <c r="F477" s="7">
        <v>-2269121</v>
      </c>
      <c r="G477" s="7">
        <f t="shared" si="144"/>
        <v>-1435561.5935935483</v>
      </c>
      <c r="H477" s="7">
        <f t="shared" si="144"/>
        <v>-824841.19048046821</v>
      </c>
      <c r="I477" s="7">
        <f t="shared" si="144"/>
        <v>0</v>
      </c>
      <c r="J477" s="7">
        <f t="shared" si="144"/>
        <v>-8718.2159259832279</v>
      </c>
      <c r="K477" s="7">
        <f>(VLOOKUP($E477,$D$6:$AI$674,8,)/VLOOKUP($E477,$D$6:$AI$674,3,))*$F477</f>
        <v>0</v>
      </c>
      <c r="L477" s="7">
        <f t="shared" si="145"/>
        <v>0</v>
      </c>
      <c r="M477" s="7">
        <f t="shared" si="145"/>
        <v>0</v>
      </c>
      <c r="N477" s="7">
        <f>(VLOOKUP($E477,$D$6:$AI$674,11,)/VLOOKUP($E477,$D$6:$AI$674,3,))*$F477</f>
        <v>0</v>
      </c>
      <c r="O477" s="7">
        <f t="shared" si="146"/>
        <v>0</v>
      </c>
      <c r="P477" s="7">
        <f t="shared" si="146"/>
        <v>0</v>
      </c>
      <c r="Q477" s="7">
        <f t="shared" si="146"/>
        <v>0</v>
      </c>
      <c r="R477" s="7"/>
      <c r="S477" s="7"/>
      <c r="T477" s="7"/>
      <c r="U477" s="124">
        <f>SUM(G477:M477)</f>
        <v>-2269120.9999999995</v>
      </c>
      <c r="V477" s="109" t="str">
        <f>IF(ABS((F477-U477)&lt;0.001),"ok","err")</f>
        <v>ok</v>
      </c>
      <c r="W477" s="7"/>
      <c r="X477" s="109"/>
    </row>
    <row r="478" spans="1:25" x14ac:dyDescent="0.25">
      <c r="A478" s="116" t="s">
        <v>646</v>
      </c>
      <c r="F478" s="124">
        <f t="shared" ref="F478:T478" si="147">SUM(F474:F477)</f>
        <v>-141624346.17302981</v>
      </c>
      <c r="G478" s="124">
        <f t="shared" si="147"/>
        <v>-90068109.989885256</v>
      </c>
      <c r="H478" s="124">
        <f t="shared" si="147"/>
        <v>-44943717.855326407</v>
      </c>
      <c r="I478" s="124">
        <f t="shared" si="147"/>
        <v>-5932009.0874936208</v>
      </c>
      <c r="J478" s="124">
        <f t="shared" si="147"/>
        <v>-570075.55348996492</v>
      </c>
      <c r="K478" s="124">
        <f t="shared" si="147"/>
        <v>-110433.68683455532</v>
      </c>
      <c r="L478" s="124">
        <f t="shared" si="147"/>
        <v>0</v>
      </c>
      <c r="M478" s="124">
        <f t="shared" si="147"/>
        <v>0</v>
      </c>
      <c r="N478" s="124">
        <f t="shared" si="147"/>
        <v>0</v>
      </c>
      <c r="O478" s="124">
        <f t="shared" si="147"/>
        <v>0</v>
      </c>
      <c r="P478" s="124">
        <f t="shared" si="147"/>
        <v>0</v>
      </c>
      <c r="Q478" s="124">
        <f t="shared" si="147"/>
        <v>0</v>
      </c>
      <c r="R478" s="124">
        <f t="shared" si="147"/>
        <v>0</v>
      </c>
      <c r="S478" s="124">
        <f t="shared" si="147"/>
        <v>0</v>
      </c>
      <c r="T478" s="124">
        <f t="shared" si="147"/>
        <v>0</v>
      </c>
      <c r="U478" s="124">
        <f>SUM(G478:M478)</f>
        <v>-141624346.17302978</v>
      </c>
      <c r="V478" s="109" t="str">
        <f>IF(ABS(F478-U478)&lt;0.01,"ok","err")</f>
        <v>ok</v>
      </c>
      <c r="W478" s="124"/>
      <c r="X478" s="109"/>
    </row>
    <row r="479" spans="1:25" x14ac:dyDescent="0.25"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  <c r="U479" s="124"/>
      <c r="V479" s="109"/>
    </row>
    <row r="480" spans="1:25" x14ac:dyDescent="0.25">
      <c r="A480" s="110" t="s">
        <v>650</v>
      </c>
      <c r="D480" s="116" t="s">
        <v>768</v>
      </c>
      <c r="E480" s="124"/>
      <c r="F480" s="124">
        <f t="shared" ref="F480:T480" si="148">F471+F478</f>
        <v>190548382.80727121</v>
      </c>
      <c r="G480" s="124">
        <f t="shared" si="148"/>
        <v>131601456.8035094</v>
      </c>
      <c r="H480" s="124">
        <f t="shared" si="148"/>
        <v>46957986.491751142</v>
      </c>
      <c r="I480" s="124">
        <f t="shared" si="148"/>
        <v>5198839.4529609513</v>
      </c>
      <c r="J480" s="124">
        <f t="shared" si="148"/>
        <v>272253.90694984398</v>
      </c>
      <c r="K480" s="124">
        <f t="shared" si="148"/>
        <v>6517846.1520998552</v>
      </c>
      <c r="L480" s="124">
        <f t="shared" si="148"/>
        <v>0</v>
      </c>
      <c r="M480" s="124">
        <f t="shared" si="148"/>
        <v>0</v>
      </c>
      <c r="N480" s="124">
        <f t="shared" si="148"/>
        <v>0</v>
      </c>
      <c r="O480" s="124">
        <f t="shared" si="148"/>
        <v>0</v>
      </c>
      <c r="P480" s="124">
        <f t="shared" si="148"/>
        <v>0</v>
      </c>
      <c r="Q480" s="124">
        <f t="shared" si="148"/>
        <v>0</v>
      </c>
      <c r="R480" s="124">
        <f t="shared" si="148"/>
        <v>0</v>
      </c>
      <c r="S480" s="124">
        <f t="shared" si="148"/>
        <v>0</v>
      </c>
      <c r="T480" s="124">
        <f t="shared" si="148"/>
        <v>0</v>
      </c>
      <c r="U480" s="124">
        <f>SUM(G480:M480)</f>
        <v>190548382.80727118</v>
      </c>
      <c r="V480" s="109" t="str">
        <f>IF(ABS(F480-U480)&lt;2,"ok","err")</f>
        <v>ok</v>
      </c>
      <c r="W480" s="124"/>
      <c r="X480" s="109"/>
    </row>
    <row r="481" spans="1:24" x14ac:dyDescent="0.25">
      <c r="A481" s="124"/>
      <c r="F481" s="137"/>
      <c r="G481" s="137"/>
      <c r="U481" s="124"/>
    </row>
    <row r="482" spans="1:24" x14ac:dyDescent="0.25">
      <c r="A482" s="110" t="s">
        <v>302</v>
      </c>
      <c r="U482" s="124"/>
    </row>
    <row r="483" spans="1:24" x14ac:dyDescent="0.25">
      <c r="A483" s="122" t="s">
        <v>219</v>
      </c>
      <c r="F483" s="124">
        <f t="shared" ref="F483:T483" si="149">F143</f>
        <v>93616747.446905211</v>
      </c>
      <c r="G483" s="124">
        <f t="shared" si="149"/>
        <v>67428117.31848149</v>
      </c>
      <c r="H483" s="124">
        <f t="shared" si="149"/>
        <v>21595720.470254682</v>
      </c>
      <c r="I483" s="124">
        <f t="shared" si="149"/>
        <v>1842178.6476412676</v>
      </c>
      <c r="J483" s="124">
        <f t="shared" si="149"/>
        <v>38804.724997890131</v>
      </c>
      <c r="K483" s="124">
        <f t="shared" si="149"/>
        <v>2711926.2855298864</v>
      </c>
      <c r="L483" s="124">
        <f t="shared" si="149"/>
        <v>0</v>
      </c>
      <c r="M483" s="124">
        <f t="shared" si="149"/>
        <v>0</v>
      </c>
      <c r="N483" s="124">
        <f t="shared" si="149"/>
        <v>0</v>
      </c>
      <c r="O483" s="124">
        <f t="shared" si="149"/>
        <v>0</v>
      </c>
      <c r="P483" s="124">
        <f t="shared" si="149"/>
        <v>0</v>
      </c>
      <c r="Q483" s="124">
        <f t="shared" si="149"/>
        <v>0</v>
      </c>
      <c r="R483" s="124">
        <f t="shared" si="149"/>
        <v>0</v>
      </c>
      <c r="S483" s="124">
        <f t="shared" si="149"/>
        <v>0</v>
      </c>
      <c r="T483" s="124">
        <f t="shared" si="149"/>
        <v>0</v>
      </c>
      <c r="U483" s="124">
        <f>SUM(G483:M483)</f>
        <v>93616747.446905211</v>
      </c>
      <c r="V483" s="109" t="str">
        <f>IF(ABS(F483-U483)&lt;0.01,"ok","err")</f>
        <v>ok</v>
      </c>
      <c r="W483" s="124"/>
      <c r="X483" s="109"/>
    </row>
    <row r="484" spans="1:24" x14ac:dyDescent="0.25">
      <c r="A484" s="122" t="s">
        <v>220</v>
      </c>
      <c r="F484" s="7">
        <f t="shared" ref="F484:T484" si="150">F236</f>
        <v>38336866.259199992</v>
      </c>
      <c r="G484" s="7">
        <f t="shared" si="150"/>
        <v>27895039.178252831</v>
      </c>
      <c r="H484" s="7">
        <f t="shared" si="150"/>
        <v>9277018.7347188909</v>
      </c>
      <c r="I484" s="7">
        <f t="shared" si="150"/>
        <v>556115.27097994799</v>
      </c>
      <c r="J484" s="7">
        <f t="shared" si="150"/>
        <v>7002.9456645302062</v>
      </c>
      <c r="K484" s="7">
        <f t="shared" si="150"/>
        <v>601690.12958378671</v>
      </c>
      <c r="L484" s="7">
        <f t="shared" si="150"/>
        <v>0</v>
      </c>
      <c r="M484" s="7">
        <f t="shared" si="150"/>
        <v>0</v>
      </c>
      <c r="N484" s="7">
        <f t="shared" si="150"/>
        <v>0</v>
      </c>
      <c r="O484" s="7">
        <f t="shared" si="150"/>
        <v>0</v>
      </c>
      <c r="P484" s="7">
        <f t="shared" si="150"/>
        <v>0</v>
      </c>
      <c r="Q484" s="7">
        <f t="shared" si="150"/>
        <v>0</v>
      </c>
      <c r="R484" s="7">
        <f t="shared" si="150"/>
        <v>0</v>
      </c>
      <c r="S484" s="7">
        <f t="shared" si="150"/>
        <v>0</v>
      </c>
      <c r="T484" s="7">
        <f t="shared" si="150"/>
        <v>0</v>
      </c>
      <c r="U484" s="124">
        <f>SUM(G484:M484)</f>
        <v>38336866.259199984</v>
      </c>
      <c r="V484" s="109" t="str">
        <f>IF(ABS(F484-U484)&lt;0.01,"ok","err")</f>
        <v>ok</v>
      </c>
      <c r="W484" s="124"/>
      <c r="X484" s="109"/>
    </row>
    <row r="485" spans="1:24" x14ac:dyDescent="0.25">
      <c r="A485" s="128" t="s">
        <v>730</v>
      </c>
      <c r="F485" s="7">
        <f t="shared" ref="F485:Q485" si="151">F281+F325+F369</f>
        <v>-4653.3300000000008</v>
      </c>
      <c r="G485" s="7">
        <f t="shared" si="151"/>
        <v>-3422.43184559262</v>
      </c>
      <c r="H485" s="7">
        <f t="shared" si="151"/>
        <v>-1081.4829750946951</v>
      </c>
      <c r="I485" s="7">
        <f t="shared" si="151"/>
        <v>-70.607800943340322</v>
      </c>
      <c r="J485" s="7">
        <f t="shared" si="151"/>
        <v>-0.905888979280697</v>
      </c>
      <c r="K485" s="7">
        <f t="shared" si="151"/>
        <v>-77.901489390063645</v>
      </c>
      <c r="L485" s="7">
        <f t="shared" si="151"/>
        <v>0</v>
      </c>
      <c r="M485" s="7">
        <f t="shared" si="151"/>
        <v>0</v>
      </c>
      <c r="N485" s="7">
        <f t="shared" si="151"/>
        <v>0</v>
      </c>
      <c r="O485" s="7">
        <f t="shared" si="151"/>
        <v>0</v>
      </c>
      <c r="P485" s="7">
        <f t="shared" si="151"/>
        <v>0</v>
      </c>
      <c r="Q485" s="7">
        <f t="shared" si="151"/>
        <v>0</v>
      </c>
      <c r="R485" s="7">
        <f t="shared" ref="R485:T486" si="152">R412</f>
        <v>0</v>
      </c>
      <c r="S485" s="7">
        <f t="shared" si="152"/>
        <v>0</v>
      </c>
      <c r="T485" s="7">
        <f t="shared" si="152"/>
        <v>0</v>
      </c>
      <c r="U485" s="124">
        <f>SUM(G485:M485)</f>
        <v>-4653.33</v>
      </c>
      <c r="V485" s="109" t="str">
        <f>IF(ABS(F485-U485)&lt;0.01,"ok","err")</f>
        <v>ok</v>
      </c>
      <c r="W485" s="124"/>
      <c r="X485" s="109"/>
    </row>
    <row r="486" spans="1:24" x14ac:dyDescent="0.25">
      <c r="A486" s="122" t="s">
        <v>221</v>
      </c>
      <c r="F486" s="7">
        <f t="shared" ref="F486:Q486" si="153">F413</f>
        <v>11746353.086513791</v>
      </c>
      <c r="G486" s="7">
        <f t="shared" si="153"/>
        <v>8602405.9479765631</v>
      </c>
      <c r="H486" s="7">
        <f t="shared" si="153"/>
        <v>2754023.7671314008</v>
      </c>
      <c r="I486" s="7">
        <f t="shared" si="153"/>
        <v>183833.55044042101</v>
      </c>
      <c r="J486" s="7">
        <f t="shared" si="153"/>
        <v>2347.8237271850094</v>
      </c>
      <c r="K486" s="7">
        <f t="shared" si="153"/>
        <v>203741.99723822012</v>
      </c>
      <c r="L486" s="7">
        <f t="shared" si="153"/>
        <v>0</v>
      </c>
      <c r="M486" s="7">
        <f t="shared" si="153"/>
        <v>0</v>
      </c>
      <c r="N486" s="7">
        <f t="shared" si="153"/>
        <v>0</v>
      </c>
      <c r="O486" s="7">
        <f t="shared" si="153"/>
        <v>0</v>
      </c>
      <c r="P486" s="7">
        <f t="shared" si="153"/>
        <v>0</v>
      </c>
      <c r="Q486" s="7">
        <f t="shared" si="153"/>
        <v>0</v>
      </c>
      <c r="R486" s="7">
        <f t="shared" si="152"/>
        <v>0</v>
      </c>
      <c r="S486" s="7">
        <f t="shared" si="152"/>
        <v>0</v>
      </c>
      <c r="T486" s="7">
        <f t="shared" si="152"/>
        <v>0</v>
      </c>
      <c r="U486" s="124">
        <f>SUM(G486:M486)</f>
        <v>11746353.086513791</v>
      </c>
      <c r="V486" s="109" t="str">
        <f>IF(ABS(F486-U486)&lt;0.01,"ok","err")</f>
        <v>ok</v>
      </c>
      <c r="W486" s="124"/>
      <c r="X486" s="109"/>
    </row>
    <row r="487" spans="1:24" x14ac:dyDescent="0.25">
      <c r="A487" s="116" t="s">
        <v>222</v>
      </c>
      <c r="D487" s="116" t="s">
        <v>223</v>
      </c>
      <c r="F487" s="124">
        <f>SUM(F483:F486)</f>
        <v>143695313.46261901</v>
      </c>
      <c r="G487" s="124">
        <f t="shared" ref="G487:T487" si="154">SUM(G483:G486)</f>
        <v>103922140.01286529</v>
      </c>
      <c r="H487" s="124">
        <f t="shared" si="154"/>
        <v>33625681.489129879</v>
      </c>
      <c r="I487" s="124">
        <f t="shared" si="154"/>
        <v>2582056.8612606931</v>
      </c>
      <c r="J487" s="124">
        <f t="shared" si="154"/>
        <v>48154.588500626065</v>
      </c>
      <c r="K487" s="124">
        <f t="shared" si="154"/>
        <v>3517280.5108625032</v>
      </c>
      <c r="L487" s="124">
        <f t="shared" si="154"/>
        <v>0</v>
      </c>
      <c r="M487" s="124">
        <f t="shared" si="154"/>
        <v>0</v>
      </c>
      <c r="N487" s="124">
        <f t="shared" si="154"/>
        <v>0</v>
      </c>
      <c r="O487" s="124">
        <f t="shared" si="154"/>
        <v>0</v>
      </c>
      <c r="P487" s="124">
        <f t="shared" si="154"/>
        <v>0</v>
      </c>
      <c r="Q487" s="124">
        <f t="shared" si="154"/>
        <v>0</v>
      </c>
      <c r="R487" s="124">
        <f t="shared" si="154"/>
        <v>0</v>
      </c>
      <c r="S487" s="124">
        <f t="shared" si="154"/>
        <v>0</v>
      </c>
      <c r="T487" s="124">
        <f t="shared" si="154"/>
        <v>0</v>
      </c>
      <c r="U487" s="124">
        <f>SUM(G487:M487)</f>
        <v>143695313.46261898</v>
      </c>
      <c r="V487" s="109" t="str">
        <f>IF(ABS(F487-U487)&lt;0.01,"ok","err")</f>
        <v>ok</v>
      </c>
      <c r="W487" s="124"/>
      <c r="X487" s="109"/>
    </row>
    <row r="488" spans="1:24" x14ac:dyDescent="0.25"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  <c r="S488" s="124"/>
      <c r="T488" s="124"/>
      <c r="U488" s="124"/>
      <c r="V488" s="109"/>
    </row>
    <row r="489" spans="1:24" x14ac:dyDescent="0.25">
      <c r="A489" s="170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  <c r="S489" s="124"/>
      <c r="T489" s="124"/>
      <c r="U489" s="124"/>
      <c r="V489" s="109"/>
    </row>
    <row r="490" spans="1:24" x14ac:dyDescent="0.25">
      <c r="A490" s="170"/>
      <c r="F490" s="148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4"/>
      <c r="S490" s="124"/>
      <c r="T490" s="124"/>
      <c r="U490" s="124"/>
      <c r="V490" s="109"/>
    </row>
    <row r="491" spans="1:24" x14ac:dyDescent="0.25">
      <c r="A491" s="171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  <c r="S491" s="124"/>
      <c r="T491" s="124"/>
      <c r="U491" s="124"/>
      <c r="V491" s="109"/>
    </row>
    <row r="492" spans="1:24" x14ac:dyDescent="0.25">
      <c r="A492" s="125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  <c r="S492" s="124"/>
      <c r="T492" s="124"/>
      <c r="U492" s="124"/>
      <c r="V492" s="109"/>
    </row>
    <row r="493" spans="1:24" x14ac:dyDescent="0.25">
      <c r="A493" s="121" t="s">
        <v>858</v>
      </c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  <c r="S493" s="124"/>
      <c r="T493" s="124"/>
      <c r="U493" s="124"/>
      <c r="V493" s="109"/>
    </row>
    <row r="494" spans="1:24" hidden="1" x14ac:dyDescent="0.25">
      <c r="A494" s="110" t="s">
        <v>645</v>
      </c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  <c r="S494" s="124"/>
      <c r="T494" s="124"/>
      <c r="U494" s="124"/>
      <c r="V494" s="109"/>
    </row>
    <row r="495" spans="1:24" hidden="1" x14ac:dyDescent="0.25">
      <c r="A495" s="116" t="s">
        <v>686</v>
      </c>
      <c r="D495" s="116" t="s">
        <v>324</v>
      </c>
      <c r="E495" s="116" t="s">
        <v>684</v>
      </c>
      <c r="F495" s="7">
        <v>0</v>
      </c>
      <c r="G495" s="7">
        <f t="shared" ref="G495:J513" si="155">(VLOOKUP($E495,$D$6:$AI$674,G$2,)/VLOOKUP($E495,$D$6:$AI$674,3,))*$F495</f>
        <v>0</v>
      </c>
      <c r="H495" s="7">
        <f t="shared" si="155"/>
        <v>0</v>
      </c>
      <c r="I495" s="7">
        <f t="shared" si="155"/>
        <v>0</v>
      </c>
      <c r="J495" s="7">
        <f t="shared" si="155"/>
        <v>0</v>
      </c>
      <c r="K495" s="7">
        <f t="shared" ref="K495:K513" si="156">(VLOOKUP($E495,$D$6:$AI$674,8,)/VLOOKUP($E495,$D$6:$AI$674,3,))*$F495</f>
        <v>0</v>
      </c>
      <c r="L495" s="7">
        <f t="shared" ref="L495:M513" si="157">(VLOOKUP($E495,$D$6:$AI$674,L$2,)/VLOOKUP($E495,$D$6:$AI$674,3,))*$F495</f>
        <v>0</v>
      </c>
      <c r="M495" s="7">
        <f t="shared" si="157"/>
        <v>0</v>
      </c>
      <c r="N495" s="7">
        <f t="shared" ref="N495:N513" si="158">(VLOOKUP($E495,$D$6:$AI$674,11,)/VLOOKUP($E495,$D$6:$AI$674,3,))*$F495</f>
        <v>0</v>
      </c>
      <c r="O495" s="7">
        <f t="shared" ref="O495:Q513" si="159">(VLOOKUP($E495,$D$6:$AI$674,O$2,)/VLOOKUP($E495,$D$6:$AI$674,3,))*$F495</f>
        <v>0</v>
      </c>
      <c r="P495" s="7">
        <f t="shared" si="159"/>
        <v>0</v>
      </c>
      <c r="Q495" s="7">
        <f t="shared" si="159"/>
        <v>0</v>
      </c>
      <c r="R495" s="7">
        <f t="shared" ref="R495:R513" si="160">(VLOOKUP($E495,$D$6:$AI$674,15,)/VLOOKUP($E495,$D$6:$AI$674,3,))*$F495</f>
        <v>0</v>
      </c>
      <c r="S495" s="7">
        <f t="shared" ref="S495:S513" si="161">(VLOOKUP($E495,$D$6:$AI$674,16,)/VLOOKUP($E495,$D$6:$AI$674,3,))*$F495</f>
        <v>0</v>
      </c>
      <c r="T495" s="7">
        <f t="shared" ref="T495:T513" si="162">(VLOOKUP($E495,$D$6:$AI$674,17,)/VLOOKUP($E495,$D$6:$AI$674,3,))*$F495</f>
        <v>0</v>
      </c>
      <c r="U495" s="124">
        <f>SUM(G495:M495)</f>
        <v>0</v>
      </c>
      <c r="V495" s="109" t="str">
        <f>IF(ABS(F495-U495)&lt;0.01,"ok","err")</f>
        <v>ok</v>
      </c>
      <c r="W495" s="124"/>
      <c r="X495" s="109"/>
    </row>
    <row r="496" spans="1:24" hidden="1" x14ac:dyDescent="0.25">
      <c r="A496" s="116" t="s">
        <v>648</v>
      </c>
      <c r="D496" s="116" t="s">
        <v>325</v>
      </c>
      <c r="E496" s="116" t="s">
        <v>294</v>
      </c>
      <c r="F496" s="7">
        <v>0</v>
      </c>
      <c r="G496" s="7">
        <f t="shared" si="155"/>
        <v>0</v>
      </c>
      <c r="H496" s="7">
        <f t="shared" si="155"/>
        <v>0</v>
      </c>
      <c r="I496" s="7">
        <f t="shared" si="155"/>
        <v>0</v>
      </c>
      <c r="J496" s="7">
        <f t="shared" si="155"/>
        <v>0</v>
      </c>
      <c r="K496" s="7">
        <f t="shared" si="156"/>
        <v>0</v>
      </c>
      <c r="L496" s="7">
        <f t="shared" si="157"/>
        <v>0</v>
      </c>
      <c r="M496" s="7">
        <f t="shared" si="157"/>
        <v>0</v>
      </c>
      <c r="N496" s="7">
        <f t="shared" si="158"/>
        <v>0</v>
      </c>
      <c r="O496" s="7">
        <f t="shared" si="159"/>
        <v>0</v>
      </c>
      <c r="P496" s="7">
        <f t="shared" si="159"/>
        <v>0</v>
      </c>
      <c r="Q496" s="7">
        <f t="shared" si="159"/>
        <v>0</v>
      </c>
      <c r="R496" s="7">
        <f t="shared" si="160"/>
        <v>0</v>
      </c>
      <c r="S496" s="7">
        <f t="shared" si="161"/>
        <v>0</v>
      </c>
      <c r="T496" s="7">
        <f t="shared" si="162"/>
        <v>0</v>
      </c>
      <c r="U496" s="124">
        <f>SUM(G496:M496)</f>
        <v>0</v>
      </c>
      <c r="V496" s="109" t="str">
        <f>IF(ABS(F496-U496)&lt;0.01,"ok","err")</f>
        <v>ok</v>
      </c>
      <c r="W496" s="124"/>
      <c r="X496" s="109"/>
    </row>
    <row r="497" spans="1:24" hidden="1" x14ac:dyDescent="0.25">
      <c r="A497" s="116" t="s">
        <v>647</v>
      </c>
      <c r="D497" s="116" t="s">
        <v>326</v>
      </c>
      <c r="E497" s="116" t="s">
        <v>350</v>
      </c>
      <c r="F497" s="7">
        <v>0</v>
      </c>
      <c r="G497" s="7">
        <f t="shared" si="155"/>
        <v>0</v>
      </c>
      <c r="H497" s="7">
        <f t="shared" si="155"/>
        <v>0</v>
      </c>
      <c r="I497" s="7">
        <f t="shared" si="155"/>
        <v>0</v>
      </c>
      <c r="J497" s="7">
        <f t="shared" si="155"/>
        <v>0</v>
      </c>
      <c r="K497" s="7">
        <f t="shared" si="156"/>
        <v>0</v>
      </c>
      <c r="L497" s="7">
        <f t="shared" si="157"/>
        <v>0</v>
      </c>
      <c r="M497" s="7">
        <f t="shared" si="157"/>
        <v>0</v>
      </c>
      <c r="N497" s="7">
        <f t="shared" si="158"/>
        <v>0</v>
      </c>
      <c r="O497" s="7">
        <f t="shared" si="159"/>
        <v>0</v>
      </c>
      <c r="P497" s="7">
        <f t="shared" si="159"/>
        <v>0</v>
      </c>
      <c r="Q497" s="7">
        <f t="shared" si="159"/>
        <v>0</v>
      </c>
      <c r="R497" s="7">
        <f t="shared" si="160"/>
        <v>0</v>
      </c>
      <c r="S497" s="7">
        <f t="shared" si="161"/>
        <v>0</v>
      </c>
      <c r="T497" s="7">
        <f t="shared" si="162"/>
        <v>0</v>
      </c>
      <c r="U497" s="124">
        <f>SUM(G497:M497)</f>
        <v>0</v>
      </c>
      <c r="V497" s="109" t="str">
        <f>IF(ABS(F497-U497)&lt;0.01,"ok","err")</f>
        <v>ok</v>
      </c>
      <c r="W497" s="124"/>
      <c r="X497" s="109"/>
    </row>
    <row r="498" spans="1:24" hidden="1" x14ac:dyDescent="0.25">
      <c r="A498" s="116" t="s">
        <v>769</v>
      </c>
      <c r="D498" s="116" t="s">
        <v>327</v>
      </c>
      <c r="E498" s="116" t="s">
        <v>350</v>
      </c>
      <c r="F498" s="7">
        <v>0</v>
      </c>
      <c r="G498" s="7">
        <f t="shared" si="155"/>
        <v>0</v>
      </c>
      <c r="H498" s="7">
        <f t="shared" si="155"/>
        <v>0</v>
      </c>
      <c r="I498" s="7">
        <f t="shared" si="155"/>
        <v>0</v>
      </c>
      <c r="J498" s="7">
        <f t="shared" si="155"/>
        <v>0</v>
      </c>
      <c r="K498" s="7">
        <f t="shared" si="156"/>
        <v>0</v>
      </c>
      <c r="L498" s="7">
        <f t="shared" si="157"/>
        <v>0</v>
      </c>
      <c r="M498" s="7">
        <f t="shared" si="157"/>
        <v>0</v>
      </c>
      <c r="N498" s="7">
        <f t="shared" si="158"/>
        <v>0</v>
      </c>
      <c r="O498" s="7">
        <f t="shared" si="159"/>
        <v>0</v>
      </c>
      <c r="P498" s="7">
        <f t="shared" si="159"/>
        <v>0</v>
      </c>
      <c r="Q498" s="7">
        <f t="shared" si="159"/>
        <v>0</v>
      </c>
      <c r="R498" s="7">
        <f t="shared" si="160"/>
        <v>0</v>
      </c>
      <c r="S498" s="7">
        <f t="shared" si="161"/>
        <v>0</v>
      </c>
      <c r="T498" s="7">
        <f t="shared" si="162"/>
        <v>0</v>
      </c>
      <c r="U498" s="124">
        <f t="shared" ref="U498:U512" si="163">SUM(G498:M498)</f>
        <v>0</v>
      </c>
      <c r="V498" s="109" t="str">
        <f t="shared" ref="V498:V512" si="164">IF(ABS(F498-U498)&lt;0.01,"ok","err")</f>
        <v>ok</v>
      </c>
      <c r="W498" s="124"/>
      <c r="X498" s="109"/>
    </row>
    <row r="499" spans="1:24" hidden="1" x14ac:dyDescent="0.25">
      <c r="A499" s="116" t="s">
        <v>755</v>
      </c>
      <c r="E499" s="116" t="s">
        <v>212</v>
      </c>
      <c r="F499" s="7">
        <v>0</v>
      </c>
      <c r="G499" s="7">
        <f t="shared" si="155"/>
        <v>0</v>
      </c>
      <c r="H499" s="7">
        <f t="shared" si="155"/>
        <v>0</v>
      </c>
      <c r="I499" s="7">
        <f t="shared" si="155"/>
        <v>0</v>
      </c>
      <c r="J499" s="7">
        <f t="shared" si="155"/>
        <v>0</v>
      </c>
      <c r="K499" s="7">
        <f t="shared" si="156"/>
        <v>0</v>
      </c>
      <c r="L499" s="7">
        <f t="shared" si="157"/>
        <v>0</v>
      </c>
      <c r="M499" s="7">
        <f t="shared" si="157"/>
        <v>0</v>
      </c>
      <c r="N499" s="7">
        <f t="shared" si="158"/>
        <v>0</v>
      </c>
      <c r="O499" s="7">
        <f t="shared" si="159"/>
        <v>0</v>
      </c>
      <c r="P499" s="7">
        <f t="shared" si="159"/>
        <v>0</v>
      </c>
      <c r="Q499" s="7">
        <f t="shared" si="159"/>
        <v>0</v>
      </c>
      <c r="R499" s="7">
        <f t="shared" si="160"/>
        <v>0</v>
      </c>
      <c r="S499" s="7">
        <f t="shared" si="161"/>
        <v>0</v>
      </c>
      <c r="T499" s="7">
        <f t="shared" si="162"/>
        <v>0</v>
      </c>
      <c r="U499" s="124">
        <f t="shared" si="163"/>
        <v>0</v>
      </c>
      <c r="V499" s="109" t="str">
        <f t="shared" si="164"/>
        <v>ok</v>
      </c>
      <c r="W499" s="124"/>
      <c r="X499" s="109"/>
    </row>
    <row r="500" spans="1:24" hidden="1" x14ac:dyDescent="0.25">
      <c r="A500" s="116" t="s">
        <v>816</v>
      </c>
      <c r="E500" s="116" t="s">
        <v>212</v>
      </c>
      <c r="F500" s="7">
        <v>0</v>
      </c>
      <c r="G500" s="7">
        <f t="shared" si="155"/>
        <v>0</v>
      </c>
      <c r="H500" s="7">
        <f t="shared" si="155"/>
        <v>0</v>
      </c>
      <c r="I500" s="7">
        <f t="shared" si="155"/>
        <v>0</v>
      </c>
      <c r="J500" s="7">
        <f t="shared" si="155"/>
        <v>0</v>
      </c>
      <c r="K500" s="7">
        <f t="shared" si="156"/>
        <v>0</v>
      </c>
      <c r="L500" s="7">
        <f t="shared" si="157"/>
        <v>0</v>
      </c>
      <c r="M500" s="7">
        <f t="shared" si="157"/>
        <v>0</v>
      </c>
      <c r="N500" s="7">
        <f t="shared" si="158"/>
        <v>0</v>
      </c>
      <c r="O500" s="7">
        <f t="shared" si="159"/>
        <v>0</v>
      </c>
      <c r="P500" s="7">
        <f t="shared" si="159"/>
        <v>0</v>
      </c>
      <c r="Q500" s="7">
        <f t="shared" si="159"/>
        <v>0</v>
      </c>
      <c r="R500" s="7">
        <f t="shared" si="160"/>
        <v>0</v>
      </c>
      <c r="S500" s="7">
        <f t="shared" si="161"/>
        <v>0</v>
      </c>
      <c r="T500" s="7">
        <f t="shared" si="162"/>
        <v>0</v>
      </c>
      <c r="U500" s="124">
        <f t="shared" si="163"/>
        <v>0</v>
      </c>
      <c r="V500" s="109" t="str">
        <f t="shared" si="164"/>
        <v>ok</v>
      </c>
      <c r="W500" s="124"/>
      <c r="X500" s="109"/>
    </row>
    <row r="501" spans="1:24" hidden="1" x14ac:dyDescent="0.25">
      <c r="A501" s="116" t="s">
        <v>770</v>
      </c>
      <c r="D501" s="116" t="s">
        <v>328</v>
      </c>
      <c r="E501" s="116" t="s">
        <v>209</v>
      </c>
      <c r="F501" s="7">
        <v>0</v>
      </c>
      <c r="G501" s="7">
        <f t="shared" si="155"/>
        <v>0</v>
      </c>
      <c r="H501" s="7">
        <f t="shared" si="155"/>
        <v>0</v>
      </c>
      <c r="I501" s="7">
        <f t="shared" si="155"/>
        <v>0</v>
      </c>
      <c r="J501" s="7">
        <f t="shared" si="155"/>
        <v>0</v>
      </c>
      <c r="K501" s="7">
        <f t="shared" si="156"/>
        <v>0</v>
      </c>
      <c r="L501" s="7">
        <f t="shared" si="157"/>
        <v>0</v>
      </c>
      <c r="M501" s="7">
        <f t="shared" si="157"/>
        <v>0</v>
      </c>
      <c r="N501" s="7">
        <f t="shared" si="158"/>
        <v>0</v>
      </c>
      <c r="O501" s="7">
        <f t="shared" si="159"/>
        <v>0</v>
      </c>
      <c r="P501" s="7">
        <f t="shared" si="159"/>
        <v>0</v>
      </c>
      <c r="Q501" s="7">
        <f t="shared" si="159"/>
        <v>0</v>
      </c>
      <c r="R501" s="7">
        <f t="shared" si="160"/>
        <v>0</v>
      </c>
      <c r="S501" s="7">
        <f t="shared" si="161"/>
        <v>0</v>
      </c>
      <c r="T501" s="7">
        <f t="shared" si="162"/>
        <v>0</v>
      </c>
      <c r="U501" s="124">
        <f t="shared" si="163"/>
        <v>0</v>
      </c>
      <c r="V501" s="109" t="str">
        <f t="shared" si="164"/>
        <v>ok</v>
      </c>
      <c r="W501" s="124"/>
      <c r="X501" s="109"/>
    </row>
    <row r="502" spans="1:24" hidden="1" x14ac:dyDescent="0.25">
      <c r="A502" s="116" t="s">
        <v>649</v>
      </c>
      <c r="D502" s="116" t="s">
        <v>329</v>
      </c>
      <c r="E502" s="116" t="s">
        <v>296</v>
      </c>
      <c r="F502" s="7">
        <v>0</v>
      </c>
      <c r="G502" s="7">
        <f t="shared" si="155"/>
        <v>0</v>
      </c>
      <c r="H502" s="7">
        <f t="shared" si="155"/>
        <v>0</v>
      </c>
      <c r="I502" s="7">
        <f t="shared" si="155"/>
        <v>0</v>
      </c>
      <c r="J502" s="7">
        <f t="shared" si="155"/>
        <v>0</v>
      </c>
      <c r="K502" s="7">
        <f t="shared" si="156"/>
        <v>0</v>
      </c>
      <c r="L502" s="7">
        <f t="shared" si="157"/>
        <v>0</v>
      </c>
      <c r="M502" s="7">
        <f t="shared" si="157"/>
        <v>0</v>
      </c>
      <c r="N502" s="7">
        <f t="shared" si="158"/>
        <v>0</v>
      </c>
      <c r="O502" s="7">
        <f t="shared" si="159"/>
        <v>0</v>
      </c>
      <c r="P502" s="7">
        <f t="shared" si="159"/>
        <v>0</v>
      </c>
      <c r="Q502" s="7">
        <f t="shared" si="159"/>
        <v>0</v>
      </c>
      <c r="R502" s="7">
        <f t="shared" si="160"/>
        <v>0</v>
      </c>
      <c r="S502" s="7">
        <f t="shared" si="161"/>
        <v>0</v>
      </c>
      <c r="T502" s="7">
        <f t="shared" si="162"/>
        <v>0</v>
      </c>
      <c r="U502" s="124">
        <f t="shared" si="163"/>
        <v>0</v>
      </c>
      <c r="V502" s="109" t="str">
        <f t="shared" si="164"/>
        <v>ok</v>
      </c>
      <c r="W502" s="124"/>
      <c r="X502" s="109"/>
    </row>
    <row r="503" spans="1:24" hidden="1" x14ac:dyDescent="0.25">
      <c r="A503" s="116" t="s">
        <v>817</v>
      </c>
      <c r="E503" s="116" t="s">
        <v>212</v>
      </c>
      <c r="F503" s="7">
        <v>0</v>
      </c>
      <c r="G503" s="7">
        <f t="shared" si="155"/>
        <v>0</v>
      </c>
      <c r="H503" s="7">
        <f t="shared" si="155"/>
        <v>0</v>
      </c>
      <c r="I503" s="7">
        <f t="shared" si="155"/>
        <v>0</v>
      </c>
      <c r="J503" s="7">
        <f t="shared" si="155"/>
        <v>0</v>
      </c>
      <c r="K503" s="7">
        <f t="shared" si="156"/>
        <v>0</v>
      </c>
      <c r="L503" s="7">
        <f t="shared" si="157"/>
        <v>0</v>
      </c>
      <c r="M503" s="7">
        <f t="shared" si="157"/>
        <v>0</v>
      </c>
      <c r="N503" s="7">
        <f t="shared" si="158"/>
        <v>0</v>
      </c>
      <c r="O503" s="7">
        <f t="shared" si="159"/>
        <v>0</v>
      </c>
      <c r="P503" s="7">
        <f t="shared" si="159"/>
        <v>0</v>
      </c>
      <c r="Q503" s="7">
        <f t="shared" si="159"/>
        <v>0</v>
      </c>
      <c r="R503" s="7">
        <f t="shared" si="160"/>
        <v>0</v>
      </c>
      <c r="S503" s="7">
        <f t="shared" si="161"/>
        <v>0</v>
      </c>
      <c r="T503" s="7">
        <f t="shared" si="162"/>
        <v>0</v>
      </c>
      <c r="U503" s="124">
        <f t="shared" si="163"/>
        <v>0</v>
      </c>
      <c r="V503" s="109" t="str">
        <f t="shared" si="164"/>
        <v>ok</v>
      </c>
      <c r="W503" s="124"/>
      <c r="X503" s="109"/>
    </row>
    <row r="504" spans="1:24" hidden="1" x14ac:dyDescent="0.25">
      <c r="A504" s="116" t="s">
        <v>818</v>
      </c>
      <c r="E504" s="116" t="s">
        <v>765</v>
      </c>
      <c r="F504" s="7">
        <v>0</v>
      </c>
      <c r="G504" s="7">
        <f t="shared" si="155"/>
        <v>0</v>
      </c>
      <c r="H504" s="7">
        <f t="shared" si="155"/>
        <v>0</v>
      </c>
      <c r="I504" s="7">
        <f t="shared" si="155"/>
        <v>0</v>
      </c>
      <c r="J504" s="7">
        <f t="shared" si="155"/>
        <v>0</v>
      </c>
      <c r="K504" s="7">
        <f t="shared" si="156"/>
        <v>0</v>
      </c>
      <c r="L504" s="7">
        <f t="shared" si="157"/>
        <v>0</v>
      </c>
      <c r="M504" s="7">
        <f t="shared" si="157"/>
        <v>0</v>
      </c>
      <c r="N504" s="7">
        <f t="shared" si="158"/>
        <v>0</v>
      </c>
      <c r="O504" s="7">
        <f t="shared" si="159"/>
        <v>0</v>
      </c>
      <c r="P504" s="7">
        <f t="shared" si="159"/>
        <v>0</v>
      </c>
      <c r="Q504" s="7">
        <f t="shared" si="159"/>
        <v>0</v>
      </c>
      <c r="R504" s="7">
        <f t="shared" si="160"/>
        <v>0</v>
      </c>
      <c r="S504" s="7">
        <f t="shared" si="161"/>
        <v>0</v>
      </c>
      <c r="T504" s="7">
        <f t="shared" si="162"/>
        <v>0</v>
      </c>
      <c r="U504" s="124">
        <f t="shared" si="163"/>
        <v>0</v>
      </c>
      <c r="V504" s="109" t="str">
        <f t="shared" si="164"/>
        <v>ok</v>
      </c>
      <c r="W504" s="124"/>
      <c r="X504" s="109"/>
    </row>
    <row r="505" spans="1:24" hidden="1" x14ac:dyDescent="0.25">
      <c r="A505" s="116" t="s">
        <v>756</v>
      </c>
      <c r="D505" s="116" t="s">
        <v>330</v>
      </c>
      <c r="E505" s="116" t="s">
        <v>212</v>
      </c>
      <c r="F505" s="7">
        <v>0</v>
      </c>
      <c r="G505" s="7">
        <f t="shared" si="155"/>
        <v>0</v>
      </c>
      <c r="H505" s="7">
        <f t="shared" si="155"/>
        <v>0</v>
      </c>
      <c r="I505" s="7">
        <f t="shared" si="155"/>
        <v>0</v>
      </c>
      <c r="J505" s="7">
        <f t="shared" si="155"/>
        <v>0</v>
      </c>
      <c r="K505" s="7">
        <f t="shared" si="156"/>
        <v>0</v>
      </c>
      <c r="L505" s="7">
        <f t="shared" si="157"/>
        <v>0</v>
      </c>
      <c r="M505" s="7">
        <f t="shared" si="157"/>
        <v>0</v>
      </c>
      <c r="N505" s="7">
        <f t="shared" si="158"/>
        <v>0</v>
      </c>
      <c r="O505" s="7">
        <f t="shared" si="159"/>
        <v>0</v>
      </c>
      <c r="P505" s="7">
        <f t="shared" si="159"/>
        <v>0</v>
      </c>
      <c r="Q505" s="7">
        <f t="shared" si="159"/>
        <v>0</v>
      </c>
      <c r="R505" s="7">
        <f t="shared" si="160"/>
        <v>0</v>
      </c>
      <c r="S505" s="7">
        <f t="shared" si="161"/>
        <v>0</v>
      </c>
      <c r="T505" s="7">
        <f t="shared" si="162"/>
        <v>0</v>
      </c>
      <c r="U505" s="124">
        <f t="shared" si="163"/>
        <v>0</v>
      </c>
      <c r="V505" s="109" t="str">
        <f t="shared" si="164"/>
        <v>ok</v>
      </c>
      <c r="W505" s="124"/>
      <c r="X505" s="109"/>
    </row>
    <row r="506" spans="1:24" hidden="1" x14ac:dyDescent="0.25">
      <c r="A506" s="116" t="s">
        <v>771</v>
      </c>
      <c r="D506" s="116" t="s">
        <v>331</v>
      </c>
      <c r="E506" s="116" t="s">
        <v>350</v>
      </c>
      <c r="F506" s="7">
        <v>0</v>
      </c>
      <c r="G506" s="7">
        <f t="shared" si="155"/>
        <v>0</v>
      </c>
      <c r="H506" s="7">
        <f t="shared" si="155"/>
        <v>0</v>
      </c>
      <c r="I506" s="7">
        <f t="shared" si="155"/>
        <v>0</v>
      </c>
      <c r="J506" s="7">
        <f t="shared" si="155"/>
        <v>0</v>
      </c>
      <c r="K506" s="7">
        <f t="shared" si="156"/>
        <v>0</v>
      </c>
      <c r="L506" s="7">
        <f t="shared" si="157"/>
        <v>0</v>
      </c>
      <c r="M506" s="7">
        <f t="shared" si="157"/>
        <v>0</v>
      </c>
      <c r="N506" s="7">
        <f t="shared" si="158"/>
        <v>0</v>
      </c>
      <c r="O506" s="7">
        <f t="shared" si="159"/>
        <v>0</v>
      </c>
      <c r="P506" s="7">
        <f t="shared" si="159"/>
        <v>0</v>
      </c>
      <c r="Q506" s="7">
        <f t="shared" si="159"/>
        <v>0</v>
      </c>
      <c r="R506" s="7">
        <f t="shared" si="160"/>
        <v>0</v>
      </c>
      <c r="S506" s="7">
        <f t="shared" si="161"/>
        <v>0</v>
      </c>
      <c r="T506" s="7">
        <f t="shared" si="162"/>
        <v>0</v>
      </c>
      <c r="U506" s="124">
        <f t="shared" si="163"/>
        <v>0</v>
      </c>
      <c r="V506" s="109" t="str">
        <f t="shared" si="164"/>
        <v>ok</v>
      </c>
      <c r="W506" s="124"/>
      <c r="X506" s="109"/>
    </row>
    <row r="507" spans="1:24" hidden="1" x14ac:dyDescent="0.25">
      <c r="A507" s="116" t="s">
        <v>761</v>
      </c>
      <c r="E507" s="116" t="s">
        <v>212</v>
      </c>
      <c r="F507" s="7">
        <v>0</v>
      </c>
      <c r="G507" s="7">
        <f t="shared" si="155"/>
        <v>0</v>
      </c>
      <c r="H507" s="7">
        <f t="shared" si="155"/>
        <v>0</v>
      </c>
      <c r="I507" s="7">
        <f t="shared" si="155"/>
        <v>0</v>
      </c>
      <c r="J507" s="7">
        <f t="shared" si="155"/>
        <v>0</v>
      </c>
      <c r="K507" s="7">
        <f t="shared" si="156"/>
        <v>0</v>
      </c>
      <c r="L507" s="7">
        <f t="shared" si="157"/>
        <v>0</v>
      </c>
      <c r="M507" s="7">
        <f t="shared" si="157"/>
        <v>0</v>
      </c>
      <c r="N507" s="7">
        <f t="shared" si="158"/>
        <v>0</v>
      </c>
      <c r="O507" s="7">
        <f t="shared" si="159"/>
        <v>0</v>
      </c>
      <c r="P507" s="7">
        <f t="shared" si="159"/>
        <v>0</v>
      </c>
      <c r="Q507" s="7">
        <f t="shared" si="159"/>
        <v>0</v>
      </c>
      <c r="R507" s="7">
        <f t="shared" si="160"/>
        <v>0</v>
      </c>
      <c r="S507" s="7">
        <f t="shared" si="161"/>
        <v>0</v>
      </c>
      <c r="T507" s="7">
        <f t="shared" si="162"/>
        <v>0</v>
      </c>
      <c r="U507" s="124">
        <f t="shared" si="163"/>
        <v>0</v>
      </c>
      <c r="V507" s="109" t="str">
        <f t="shared" si="164"/>
        <v>ok</v>
      </c>
      <c r="W507" s="124"/>
      <c r="X507" s="109"/>
    </row>
    <row r="508" spans="1:24" hidden="1" x14ac:dyDescent="0.25">
      <c r="A508" s="116" t="s">
        <v>757</v>
      </c>
      <c r="E508" s="116" t="s">
        <v>212</v>
      </c>
      <c r="F508" s="7">
        <v>0</v>
      </c>
      <c r="G508" s="7">
        <f t="shared" si="155"/>
        <v>0</v>
      </c>
      <c r="H508" s="7">
        <f t="shared" si="155"/>
        <v>0</v>
      </c>
      <c r="I508" s="7">
        <f t="shared" si="155"/>
        <v>0</v>
      </c>
      <c r="J508" s="7">
        <f t="shared" si="155"/>
        <v>0</v>
      </c>
      <c r="K508" s="7">
        <f t="shared" si="156"/>
        <v>0</v>
      </c>
      <c r="L508" s="7">
        <f t="shared" si="157"/>
        <v>0</v>
      </c>
      <c r="M508" s="7">
        <f t="shared" si="157"/>
        <v>0</v>
      </c>
      <c r="N508" s="7">
        <f t="shared" si="158"/>
        <v>0</v>
      </c>
      <c r="O508" s="7">
        <f t="shared" si="159"/>
        <v>0</v>
      </c>
      <c r="P508" s="7">
        <f t="shared" si="159"/>
        <v>0</v>
      </c>
      <c r="Q508" s="7">
        <f t="shared" si="159"/>
        <v>0</v>
      </c>
      <c r="R508" s="7">
        <f t="shared" si="160"/>
        <v>0</v>
      </c>
      <c r="S508" s="7">
        <f t="shared" si="161"/>
        <v>0</v>
      </c>
      <c r="T508" s="7">
        <f t="shared" si="162"/>
        <v>0</v>
      </c>
      <c r="U508" s="124">
        <f t="shared" si="163"/>
        <v>0</v>
      </c>
      <c r="V508" s="109" t="str">
        <f t="shared" si="164"/>
        <v>ok</v>
      </c>
      <c r="W508" s="124"/>
      <c r="X508" s="109"/>
    </row>
    <row r="509" spans="1:24" hidden="1" x14ac:dyDescent="0.25">
      <c r="A509" s="116" t="s">
        <v>758</v>
      </c>
      <c r="E509" s="116" t="s">
        <v>764</v>
      </c>
      <c r="F509" s="7">
        <v>0</v>
      </c>
      <c r="G509" s="7">
        <f t="shared" si="155"/>
        <v>0</v>
      </c>
      <c r="H509" s="7">
        <f t="shared" si="155"/>
        <v>0</v>
      </c>
      <c r="I509" s="7">
        <f t="shared" si="155"/>
        <v>0</v>
      </c>
      <c r="J509" s="7">
        <f t="shared" si="155"/>
        <v>0</v>
      </c>
      <c r="K509" s="7">
        <f t="shared" si="156"/>
        <v>0</v>
      </c>
      <c r="L509" s="7">
        <f t="shared" si="157"/>
        <v>0</v>
      </c>
      <c r="M509" s="7">
        <f t="shared" si="157"/>
        <v>0</v>
      </c>
      <c r="N509" s="7">
        <f t="shared" si="158"/>
        <v>0</v>
      </c>
      <c r="O509" s="7">
        <f t="shared" si="159"/>
        <v>0</v>
      </c>
      <c r="P509" s="7">
        <f t="shared" si="159"/>
        <v>0</v>
      </c>
      <c r="Q509" s="7">
        <f t="shared" si="159"/>
        <v>0</v>
      </c>
      <c r="R509" s="7">
        <f t="shared" si="160"/>
        <v>0</v>
      </c>
      <c r="S509" s="7">
        <f t="shared" si="161"/>
        <v>0</v>
      </c>
      <c r="T509" s="7">
        <f t="shared" si="162"/>
        <v>0</v>
      </c>
      <c r="U509" s="124">
        <f t="shared" si="163"/>
        <v>0</v>
      </c>
      <c r="V509" s="109" t="str">
        <f t="shared" si="164"/>
        <v>ok</v>
      </c>
      <c r="W509" s="124"/>
      <c r="X509" s="109"/>
    </row>
    <row r="510" spans="1:24" hidden="1" x14ac:dyDescent="0.25">
      <c r="A510" s="116" t="s">
        <v>759</v>
      </c>
      <c r="E510" s="116" t="s">
        <v>380</v>
      </c>
      <c r="F510" s="7">
        <v>0</v>
      </c>
      <c r="G510" s="7">
        <f t="shared" si="155"/>
        <v>0</v>
      </c>
      <c r="H510" s="7">
        <f t="shared" si="155"/>
        <v>0</v>
      </c>
      <c r="I510" s="7">
        <f t="shared" si="155"/>
        <v>0</v>
      </c>
      <c r="J510" s="7">
        <f t="shared" si="155"/>
        <v>0</v>
      </c>
      <c r="K510" s="7">
        <f t="shared" si="156"/>
        <v>0</v>
      </c>
      <c r="L510" s="7">
        <f t="shared" si="157"/>
        <v>0</v>
      </c>
      <c r="M510" s="7">
        <f t="shared" si="157"/>
        <v>0</v>
      </c>
      <c r="N510" s="7">
        <f t="shared" si="158"/>
        <v>0</v>
      </c>
      <c r="O510" s="7">
        <f t="shared" si="159"/>
        <v>0</v>
      </c>
      <c r="P510" s="7">
        <f t="shared" si="159"/>
        <v>0</v>
      </c>
      <c r="Q510" s="7">
        <f t="shared" si="159"/>
        <v>0</v>
      </c>
      <c r="R510" s="7">
        <f t="shared" si="160"/>
        <v>0</v>
      </c>
      <c r="S510" s="7">
        <f t="shared" si="161"/>
        <v>0</v>
      </c>
      <c r="T510" s="7">
        <f t="shared" si="162"/>
        <v>0</v>
      </c>
      <c r="U510" s="124">
        <f t="shared" si="163"/>
        <v>0</v>
      </c>
      <c r="V510" s="109" t="str">
        <f t="shared" si="164"/>
        <v>ok</v>
      </c>
      <c r="W510" s="124"/>
      <c r="X510" s="109"/>
    </row>
    <row r="511" spans="1:24" hidden="1" x14ac:dyDescent="0.25">
      <c r="A511" s="116" t="s">
        <v>760</v>
      </c>
      <c r="E511" s="116" t="s">
        <v>212</v>
      </c>
      <c r="F511" s="7">
        <v>0</v>
      </c>
      <c r="G511" s="7">
        <f t="shared" si="155"/>
        <v>0</v>
      </c>
      <c r="H511" s="7">
        <f t="shared" si="155"/>
        <v>0</v>
      </c>
      <c r="I511" s="7">
        <f t="shared" si="155"/>
        <v>0</v>
      </c>
      <c r="J511" s="7">
        <f t="shared" si="155"/>
        <v>0</v>
      </c>
      <c r="K511" s="7">
        <f t="shared" si="156"/>
        <v>0</v>
      </c>
      <c r="L511" s="7">
        <f t="shared" si="157"/>
        <v>0</v>
      </c>
      <c r="M511" s="7">
        <f t="shared" si="157"/>
        <v>0</v>
      </c>
      <c r="N511" s="7">
        <f t="shared" si="158"/>
        <v>0</v>
      </c>
      <c r="O511" s="7">
        <f t="shared" si="159"/>
        <v>0</v>
      </c>
      <c r="P511" s="7">
        <f t="shared" si="159"/>
        <v>0</v>
      </c>
      <c r="Q511" s="7">
        <f t="shared" si="159"/>
        <v>0</v>
      </c>
      <c r="R511" s="7">
        <f t="shared" si="160"/>
        <v>0</v>
      </c>
      <c r="S511" s="7">
        <f t="shared" si="161"/>
        <v>0</v>
      </c>
      <c r="T511" s="7">
        <f t="shared" si="162"/>
        <v>0</v>
      </c>
      <c r="U511" s="124">
        <f t="shared" si="163"/>
        <v>0</v>
      </c>
      <c r="V511" s="109" t="str">
        <f t="shared" si="164"/>
        <v>ok</v>
      </c>
      <c r="W511" s="124"/>
      <c r="X511" s="109"/>
    </row>
    <row r="512" spans="1:24" hidden="1" x14ac:dyDescent="0.25">
      <c r="A512" s="116" t="s">
        <v>821</v>
      </c>
      <c r="E512" s="116" t="s">
        <v>294</v>
      </c>
      <c r="F512" s="7">
        <v>0</v>
      </c>
      <c r="G512" s="7">
        <f t="shared" si="155"/>
        <v>0</v>
      </c>
      <c r="H512" s="7">
        <f t="shared" si="155"/>
        <v>0</v>
      </c>
      <c r="I512" s="7">
        <f t="shared" si="155"/>
        <v>0</v>
      </c>
      <c r="J512" s="7">
        <f t="shared" si="155"/>
        <v>0</v>
      </c>
      <c r="K512" s="7">
        <f t="shared" si="156"/>
        <v>0</v>
      </c>
      <c r="L512" s="7">
        <f t="shared" si="157"/>
        <v>0</v>
      </c>
      <c r="M512" s="7">
        <f t="shared" si="157"/>
        <v>0</v>
      </c>
      <c r="N512" s="7">
        <f t="shared" si="158"/>
        <v>0</v>
      </c>
      <c r="O512" s="7">
        <f t="shared" si="159"/>
        <v>0</v>
      </c>
      <c r="P512" s="7">
        <f t="shared" si="159"/>
        <v>0</v>
      </c>
      <c r="Q512" s="7">
        <f t="shared" si="159"/>
        <v>0</v>
      </c>
      <c r="R512" s="7">
        <f t="shared" si="160"/>
        <v>0</v>
      </c>
      <c r="S512" s="7">
        <f t="shared" si="161"/>
        <v>0</v>
      </c>
      <c r="T512" s="7">
        <f t="shared" si="162"/>
        <v>0</v>
      </c>
      <c r="U512" s="124">
        <f t="shared" si="163"/>
        <v>0</v>
      </c>
      <c r="V512" s="109" t="str">
        <f t="shared" si="164"/>
        <v>ok</v>
      </c>
      <c r="W512" s="124"/>
      <c r="X512" s="109"/>
    </row>
    <row r="513" spans="1:30" hidden="1" x14ac:dyDescent="0.25">
      <c r="A513" s="116" t="s">
        <v>815</v>
      </c>
      <c r="E513" s="116" t="s">
        <v>212</v>
      </c>
      <c r="F513" s="7">
        <v>0</v>
      </c>
      <c r="G513" s="7">
        <f t="shared" si="155"/>
        <v>0</v>
      </c>
      <c r="H513" s="7">
        <f t="shared" si="155"/>
        <v>0</v>
      </c>
      <c r="I513" s="7">
        <f t="shared" si="155"/>
        <v>0</v>
      </c>
      <c r="J513" s="7">
        <f t="shared" si="155"/>
        <v>0</v>
      </c>
      <c r="K513" s="7">
        <f t="shared" si="156"/>
        <v>0</v>
      </c>
      <c r="L513" s="7">
        <f t="shared" si="157"/>
        <v>0</v>
      </c>
      <c r="M513" s="7">
        <f t="shared" si="157"/>
        <v>0</v>
      </c>
      <c r="N513" s="7">
        <f t="shared" si="158"/>
        <v>0</v>
      </c>
      <c r="O513" s="7">
        <f t="shared" si="159"/>
        <v>0</v>
      </c>
      <c r="P513" s="7">
        <f t="shared" si="159"/>
        <v>0</v>
      </c>
      <c r="Q513" s="7">
        <f t="shared" si="159"/>
        <v>0</v>
      </c>
      <c r="R513" s="7">
        <f t="shared" si="160"/>
        <v>0</v>
      </c>
      <c r="S513" s="7">
        <f t="shared" si="161"/>
        <v>0</v>
      </c>
      <c r="T513" s="7">
        <f t="shared" si="162"/>
        <v>0</v>
      </c>
      <c r="U513" s="124">
        <f>SUM(G513:M513)</f>
        <v>0</v>
      </c>
      <c r="V513" s="109" t="str">
        <f>IF(ABS(F513-U513)&lt;0.01,"ok","err")</f>
        <v>ok</v>
      </c>
      <c r="W513" s="124"/>
      <c r="X513" s="109"/>
    </row>
    <row r="514" spans="1:30" hidden="1" x14ac:dyDescent="0.25">
      <c r="F514" s="8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124"/>
      <c r="V514" s="109"/>
      <c r="W514" s="124"/>
      <c r="X514" s="109"/>
    </row>
    <row r="515" spans="1:30" hidden="1" x14ac:dyDescent="0.25">
      <c r="A515" s="116" t="s">
        <v>323</v>
      </c>
      <c r="D515" s="116" t="s">
        <v>332</v>
      </c>
      <c r="F515" s="124">
        <f t="shared" ref="F515:T515" si="165">SUM(F495:F513)</f>
        <v>0</v>
      </c>
      <c r="G515" s="124">
        <f t="shared" si="165"/>
        <v>0</v>
      </c>
      <c r="H515" s="124">
        <f t="shared" si="165"/>
        <v>0</v>
      </c>
      <c r="I515" s="124">
        <f t="shared" si="165"/>
        <v>0</v>
      </c>
      <c r="J515" s="124">
        <f t="shared" si="165"/>
        <v>0</v>
      </c>
      <c r="K515" s="124">
        <f t="shared" si="165"/>
        <v>0</v>
      </c>
      <c r="L515" s="124">
        <f t="shared" si="165"/>
        <v>0</v>
      </c>
      <c r="M515" s="124">
        <f t="shared" si="165"/>
        <v>0</v>
      </c>
      <c r="N515" s="124">
        <f t="shared" si="165"/>
        <v>0</v>
      </c>
      <c r="O515" s="124">
        <f t="shared" si="165"/>
        <v>0</v>
      </c>
      <c r="P515" s="124">
        <f t="shared" si="165"/>
        <v>0</v>
      </c>
      <c r="Q515" s="124">
        <f t="shared" si="165"/>
        <v>0</v>
      </c>
      <c r="R515" s="124">
        <f t="shared" si="165"/>
        <v>0</v>
      </c>
      <c r="S515" s="124">
        <f t="shared" si="165"/>
        <v>0</v>
      </c>
      <c r="T515" s="124">
        <f t="shared" si="165"/>
        <v>0</v>
      </c>
      <c r="U515" s="124">
        <f>SUM(G515:M515)</f>
        <v>0</v>
      </c>
      <c r="V515" s="109" t="str">
        <f>IF(ABS(F515-U515)&lt;0.01,"ok","err")</f>
        <v>ok</v>
      </c>
      <c r="W515" s="124"/>
      <c r="X515" s="109"/>
    </row>
    <row r="516" spans="1:30" x14ac:dyDescent="0.25"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  <c r="T516" s="124"/>
      <c r="U516" s="124"/>
      <c r="V516" s="109"/>
    </row>
    <row r="517" spans="1:30" x14ac:dyDescent="0.25">
      <c r="A517" s="116" t="s">
        <v>305</v>
      </c>
      <c r="F517" s="124">
        <f t="shared" ref="F517:T517" si="166">F471+F478-F487-F515</f>
        <v>46853069.344652206</v>
      </c>
      <c r="G517" s="124">
        <f t="shared" si="166"/>
        <v>27679316.790644109</v>
      </c>
      <c r="H517" s="124">
        <f t="shared" si="166"/>
        <v>13332305.002621263</v>
      </c>
      <c r="I517" s="124">
        <f t="shared" si="166"/>
        <v>2616782.5917002582</v>
      </c>
      <c r="J517" s="124">
        <f t="shared" si="166"/>
        <v>224099.31844921791</v>
      </c>
      <c r="K517" s="124">
        <f t="shared" si="166"/>
        <v>3000565.641237352</v>
      </c>
      <c r="L517" s="124">
        <f t="shared" si="166"/>
        <v>0</v>
      </c>
      <c r="M517" s="124">
        <f t="shared" si="166"/>
        <v>0</v>
      </c>
      <c r="N517" s="124">
        <f t="shared" si="166"/>
        <v>0</v>
      </c>
      <c r="O517" s="124">
        <f t="shared" si="166"/>
        <v>0</v>
      </c>
      <c r="P517" s="124">
        <f t="shared" si="166"/>
        <v>0</v>
      </c>
      <c r="Q517" s="124">
        <f t="shared" si="166"/>
        <v>0</v>
      </c>
      <c r="R517" s="124">
        <f t="shared" si="166"/>
        <v>0</v>
      </c>
      <c r="S517" s="124">
        <f t="shared" si="166"/>
        <v>0</v>
      </c>
      <c r="T517" s="124">
        <f t="shared" si="166"/>
        <v>0</v>
      </c>
      <c r="U517" s="124">
        <f>SUM(G517:M517)</f>
        <v>46853069.344652206</v>
      </c>
      <c r="V517" s="109" t="str">
        <f>IF(ABS(F517-U517)&lt;2,"ok","err")</f>
        <v>ok</v>
      </c>
      <c r="W517" s="124"/>
      <c r="X517" s="109"/>
    </row>
    <row r="518" spans="1:30" x14ac:dyDescent="0.25"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  <c r="T518" s="124"/>
      <c r="U518" s="124"/>
      <c r="V518" s="109"/>
    </row>
    <row r="519" spans="1:30" x14ac:dyDescent="0.25">
      <c r="A519" s="116" t="s">
        <v>297</v>
      </c>
      <c r="E519" s="116" t="s">
        <v>306</v>
      </c>
      <c r="F519" s="146">
        <v>5369922.2518901033</v>
      </c>
      <c r="G519" s="7">
        <f>(VLOOKUP($E519,$D$6:$AI$674,G$2,)/VLOOKUP($E519,$D$6:$AI$674,3,))*$F519</f>
        <v>2717939.3331645033</v>
      </c>
      <c r="H519" s="7">
        <f>(VLOOKUP($E519,$D$6:$AI$674,H$2,)/VLOOKUP($E519,$D$6:$AI$674,3,))*$F519</f>
        <v>1688846.8101016569</v>
      </c>
      <c r="I519" s="7">
        <f>(VLOOKUP($E519,$D$6:$AI$674,I$2,)/VLOOKUP($E519,$D$6:$AI$674,3,))*$F519</f>
        <v>428951.17337271053</v>
      </c>
      <c r="J519" s="7">
        <f>(VLOOKUP($E519,$D$6:$AI$674,J$2,)/VLOOKUP($E519,$D$6:$AI$674,3,))*$F519</f>
        <v>40395.540545433098</v>
      </c>
      <c r="K519" s="7">
        <f>(VLOOKUP($E519,$D$6:$AI$674,8,)/VLOOKUP($E519,$D$6:$AI$674,3,))*$F519</f>
        <v>493789.39470579836</v>
      </c>
      <c r="L519" s="7">
        <f>(VLOOKUP($E519,$D$6:$AI$674,L$2,)/VLOOKUP($E519,$D$6:$AI$674,3,))*$F519</f>
        <v>0</v>
      </c>
      <c r="M519" s="7">
        <f>(VLOOKUP($E519,$D$6:$AI$674,M$2,)/VLOOKUP($E519,$D$6:$AI$674,3,))*$F519</f>
        <v>0</v>
      </c>
      <c r="N519" s="7">
        <f>(VLOOKUP($E519,$D$6:$AI$674,11,)/VLOOKUP($E519,$D$6:$AI$674,3,))*$F519</f>
        <v>0</v>
      </c>
      <c r="O519" s="7">
        <f>(VLOOKUP($E519,$D$6:$AI$674,O$2,)/VLOOKUP($E519,$D$6:$AI$674,3,))*$F519</f>
        <v>0</v>
      </c>
      <c r="P519" s="7">
        <f>(VLOOKUP($E519,$D$6:$AI$674,P$2,)/VLOOKUP($E519,$D$6:$AI$674,3,))*$F519</f>
        <v>0</v>
      </c>
      <c r="Q519" s="7">
        <f>(VLOOKUP($E519,$D$6:$AI$674,Q$2,)/VLOOKUP($E519,$D$6:$AI$674,3,))*$F519</f>
        <v>0</v>
      </c>
      <c r="R519" s="7">
        <f>(VLOOKUP($E519,$D$6:$AI$674,15,)/VLOOKUP($E519,$D$6:$AI$674,3,))*$F519</f>
        <v>0</v>
      </c>
      <c r="S519" s="7">
        <f>(VLOOKUP($E519,$D$6:$AI$674,16,)/VLOOKUP($E519,$D$6:$AI$674,3,))*$F519</f>
        <v>0</v>
      </c>
      <c r="T519" s="7">
        <f>(VLOOKUP($E519,$D$6:$AI$674,17,)/VLOOKUP($E519,$D$6:$AI$674,3,))*$F519</f>
        <v>0</v>
      </c>
      <c r="U519" s="124">
        <f>SUM(G519:M519)</f>
        <v>5369922.2518901015</v>
      </c>
      <c r="V519" s="109" t="str">
        <f>IF(ABS(F519-U519)&lt;1,"ok","err")</f>
        <v>ok</v>
      </c>
      <c r="W519" s="124"/>
      <c r="X519" s="109"/>
    </row>
    <row r="520" spans="1:30" x14ac:dyDescent="0.25">
      <c r="A520" s="122"/>
      <c r="F520" s="124"/>
      <c r="U520" s="124"/>
    </row>
    <row r="521" spans="1:30" x14ac:dyDescent="0.25">
      <c r="A521" s="116" t="s">
        <v>690</v>
      </c>
      <c r="D521" s="116" t="s">
        <v>224</v>
      </c>
      <c r="F521" s="124">
        <f>F517-F519</f>
        <v>41483147.092762105</v>
      </c>
      <c r="G521" s="124">
        <f t="shared" ref="G521:T521" si="167">G517-G519</f>
        <v>24961377.457479607</v>
      </c>
      <c r="H521" s="124">
        <f t="shared" si="167"/>
        <v>11643458.192519607</v>
      </c>
      <c r="I521" s="124">
        <f t="shared" si="167"/>
        <v>2187831.4183275476</v>
      </c>
      <c r="J521" s="124">
        <f t="shared" si="167"/>
        <v>183703.77790378482</v>
      </c>
      <c r="K521" s="124">
        <f t="shared" si="167"/>
        <v>2506776.2465315536</v>
      </c>
      <c r="L521" s="124">
        <f t="shared" si="167"/>
        <v>0</v>
      </c>
      <c r="M521" s="124">
        <f t="shared" si="167"/>
        <v>0</v>
      </c>
      <c r="N521" s="124">
        <f t="shared" si="167"/>
        <v>0</v>
      </c>
      <c r="O521" s="124">
        <f t="shared" si="167"/>
        <v>0</v>
      </c>
      <c r="P521" s="124">
        <f t="shared" si="167"/>
        <v>0</v>
      </c>
      <c r="Q521" s="124">
        <f t="shared" si="167"/>
        <v>0</v>
      </c>
      <c r="R521" s="124">
        <f t="shared" si="167"/>
        <v>0</v>
      </c>
      <c r="S521" s="124">
        <f t="shared" si="167"/>
        <v>0</v>
      </c>
      <c r="T521" s="124">
        <f t="shared" si="167"/>
        <v>0</v>
      </c>
      <c r="U521" s="124">
        <f>SUM(G521:M521)</f>
        <v>41483147.092762105</v>
      </c>
      <c r="V521" s="109" t="str">
        <f>IF(ABS(F521-U521)&lt;2,"ok","err")</f>
        <v>ok</v>
      </c>
      <c r="W521" s="124"/>
      <c r="X521" s="109"/>
    </row>
    <row r="522" spans="1:30" x14ac:dyDescent="0.25">
      <c r="F522" s="124"/>
      <c r="U522" s="124"/>
    </row>
    <row r="523" spans="1:30" x14ac:dyDescent="0.25">
      <c r="A523" s="110" t="s">
        <v>652</v>
      </c>
      <c r="F523" s="124">
        <f t="shared" ref="F523:T523" si="168">F97</f>
        <v>772202130.71483338</v>
      </c>
      <c r="G523" s="124">
        <f t="shared" si="168"/>
        <v>556622430.682567</v>
      </c>
      <c r="H523" s="124">
        <f t="shared" si="168"/>
        <v>186601563.90205878</v>
      </c>
      <c r="I523" s="124">
        <f t="shared" si="168"/>
        <v>13030180.716335788</v>
      </c>
      <c r="J523" s="124">
        <f t="shared" si="168"/>
        <v>179304.76539330394</v>
      </c>
      <c r="K523" s="124">
        <f t="shared" si="168"/>
        <v>15768650.648478346</v>
      </c>
      <c r="L523" s="124">
        <f t="shared" si="168"/>
        <v>0</v>
      </c>
      <c r="M523" s="124">
        <f t="shared" si="168"/>
        <v>0</v>
      </c>
      <c r="N523" s="124">
        <f t="shared" si="168"/>
        <v>0</v>
      </c>
      <c r="O523" s="124">
        <f t="shared" si="168"/>
        <v>0</v>
      </c>
      <c r="P523" s="124">
        <f t="shared" si="168"/>
        <v>0</v>
      </c>
      <c r="Q523" s="124">
        <f t="shared" si="168"/>
        <v>0</v>
      </c>
      <c r="R523" s="124">
        <f t="shared" si="168"/>
        <v>0</v>
      </c>
      <c r="S523" s="124">
        <f t="shared" si="168"/>
        <v>0</v>
      </c>
      <c r="T523" s="124">
        <f t="shared" si="168"/>
        <v>0</v>
      </c>
      <c r="U523" s="124">
        <f>SUM(G523:M523)</f>
        <v>772202130.71483314</v>
      </c>
      <c r="V523" s="109" t="str">
        <f>IF(ABS(F523-U523)&lt;0.01,"ok","err")</f>
        <v>ok</v>
      </c>
      <c r="W523" s="124"/>
      <c r="X523" s="109"/>
    </row>
    <row r="524" spans="1:30" x14ac:dyDescent="0.25">
      <c r="A524" s="110" t="s">
        <v>185</v>
      </c>
      <c r="E524" s="116" t="s">
        <v>294</v>
      </c>
      <c r="F524" s="124">
        <v>0</v>
      </c>
      <c r="G524" s="7">
        <f t="shared" ref="G524:J525" si="169">(VLOOKUP($E524,$D$6:$AI$674,G$2,)/VLOOKUP($E524,$D$6:$AI$674,3,))*$F524</f>
        <v>0</v>
      </c>
      <c r="H524" s="7">
        <f t="shared" si="169"/>
        <v>0</v>
      </c>
      <c r="I524" s="7">
        <f t="shared" si="169"/>
        <v>0</v>
      </c>
      <c r="J524" s="7">
        <f t="shared" si="169"/>
        <v>0</v>
      </c>
      <c r="K524" s="7">
        <f>(VLOOKUP($E524,$D$6:$AI$674,8,)/VLOOKUP($E524,$D$6:$AI$674,3,))*$F524</f>
        <v>0</v>
      </c>
      <c r="L524" s="7">
        <f>(VLOOKUP($E524,$D$6:$AI$674,L$2,)/VLOOKUP($E524,$D$6:$AI$674,3,))*$F524</f>
        <v>0</v>
      </c>
      <c r="M524" s="7">
        <f>(VLOOKUP($E524,$D$6:$AI$674,M$2,)/VLOOKUP($E524,$D$6:$AI$674,3,))*$F524</f>
        <v>0</v>
      </c>
      <c r="N524" s="7">
        <f>(VLOOKUP($E524,$D$6:$AI$674,11,)/VLOOKUP($E524,$D$6:$AI$674,3,))*$F524</f>
        <v>0</v>
      </c>
      <c r="O524" s="7">
        <f t="shared" ref="O524:Q525" si="170">(VLOOKUP($E524,$D$6:$AI$674,O$2,)/VLOOKUP($E524,$D$6:$AI$674,3,))*$F524</f>
        <v>0</v>
      </c>
      <c r="P524" s="7">
        <f t="shared" si="170"/>
        <v>0</v>
      </c>
      <c r="Q524" s="7">
        <f t="shared" si="170"/>
        <v>0</v>
      </c>
      <c r="R524" s="7">
        <f>(VLOOKUP($E524,$D$6:$AI$674,15,)/VLOOKUP($E524,$D$6:$AI$674,3,))*$F524</f>
        <v>0</v>
      </c>
      <c r="S524" s="7">
        <f>(VLOOKUP($E524,$D$6:$AI$674,16,)/VLOOKUP($E524,$D$6:$AI$674,3,))*$F524</f>
        <v>0</v>
      </c>
      <c r="T524" s="7">
        <f>(VLOOKUP($E524,$D$6:$AI$674,17,)/VLOOKUP($E524,$D$6:$AI$674,3,))*$F524</f>
        <v>0</v>
      </c>
      <c r="U524" s="124">
        <f>SUM(G524:M524)</f>
        <v>0</v>
      </c>
      <c r="V524" s="109" t="str">
        <f>IF(ABS(F524-U524)&lt;0.01,"ok","err")</f>
        <v>ok</v>
      </c>
      <c r="W524" s="124"/>
      <c r="X524" s="109"/>
    </row>
    <row r="525" spans="1:30" x14ac:dyDescent="0.25">
      <c r="A525" s="110" t="s">
        <v>839</v>
      </c>
      <c r="E525" s="116" t="s">
        <v>296</v>
      </c>
      <c r="F525" s="124">
        <v>0</v>
      </c>
      <c r="G525" s="7">
        <f t="shared" si="169"/>
        <v>0</v>
      </c>
      <c r="H525" s="7">
        <f t="shared" si="169"/>
        <v>0</v>
      </c>
      <c r="I525" s="7">
        <f t="shared" si="169"/>
        <v>0</v>
      </c>
      <c r="J525" s="7">
        <f t="shared" si="169"/>
        <v>0</v>
      </c>
      <c r="K525" s="7">
        <f>(VLOOKUP($E525,$D$6:$AI$674,8,)/VLOOKUP($E525,$D$6:$AI$674,3,))*$F525</f>
        <v>0</v>
      </c>
      <c r="L525" s="7">
        <f>(VLOOKUP($E525,$D$6:$AI$674,L$2,)/VLOOKUP($E525,$D$6:$AI$674,3,))*$F525</f>
        <v>0</v>
      </c>
      <c r="M525" s="7">
        <f>(VLOOKUP($E525,$D$6:$AI$674,M$2,)/VLOOKUP($E525,$D$6:$AI$674,3,))*$F525</f>
        <v>0</v>
      </c>
      <c r="N525" s="7">
        <f>(VLOOKUP($E525,$D$6:$AI$674,11,)/VLOOKUP($E525,$D$6:$AI$674,3,))*$F525</f>
        <v>0</v>
      </c>
      <c r="O525" s="7">
        <f t="shared" si="170"/>
        <v>0</v>
      </c>
      <c r="P525" s="7">
        <f t="shared" si="170"/>
        <v>0</v>
      </c>
      <c r="Q525" s="7">
        <f t="shared" si="170"/>
        <v>0</v>
      </c>
      <c r="R525" s="7">
        <f>(VLOOKUP($E525,$D$6:$AI$674,15,)/VLOOKUP($E525,$D$6:$AI$674,3,))*$F525</f>
        <v>0</v>
      </c>
      <c r="S525" s="7">
        <f>(VLOOKUP($E525,$D$6:$AI$674,16,)/VLOOKUP($E525,$D$6:$AI$674,3,))*$F525</f>
        <v>0</v>
      </c>
      <c r="T525" s="7">
        <f>(VLOOKUP($E525,$D$6:$AI$674,17,)/VLOOKUP($E525,$D$6:$AI$674,3,))*$F525</f>
        <v>0</v>
      </c>
      <c r="U525" s="124">
        <f>SUM(G525:M525)</f>
        <v>0</v>
      </c>
      <c r="V525" s="109" t="str">
        <f>IF(ABS(F525-U525)&lt;0.01,"ok","err")</f>
        <v>ok</v>
      </c>
      <c r="W525" s="124"/>
      <c r="X525" s="109"/>
    </row>
    <row r="526" spans="1:30" ht="16.5" thickBot="1" x14ac:dyDescent="0.3">
      <c r="A526" s="110" t="s">
        <v>91</v>
      </c>
      <c r="F526" s="124">
        <f>SUM(F523:F525)</f>
        <v>772202130.71483338</v>
      </c>
      <c r="G526" s="124">
        <f>SUM(G523:G525)</f>
        <v>556622430.682567</v>
      </c>
      <c r="H526" s="124">
        <f t="shared" ref="H526:T526" si="171">SUM(H523:H525)</f>
        <v>186601563.90205878</v>
      </c>
      <c r="I526" s="124">
        <f t="shared" si="171"/>
        <v>13030180.716335788</v>
      </c>
      <c r="J526" s="124">
        <f t="shared" si="171"/>
        <v>179304.76539330394</v>
      </c>
      <c r="K526" s="124">
        <f t="shared" si="171"/>
        <v>15768650.648478346</v>
      </c>
      <c r="L526" s="124">
        <f t="shared" si="171"/>
        <v>0</v>
      </c>
      <c r="M526" s="124">
        <f t="shared" si="171"/>
        <v>0</v>
      </c>
      <c r="N526" s="124">
        <f t="shared" si="171"/>
        <v>0</v>
      </c>
      <c r="O526" s="124">
        <f t="shared" si="171"/>
        <v>0</v>
      </c>
      <c r="P526" s="124">
        <f t="shared" si="171"/>
        <v>0</v>
      </c>
      <c r="Q526" s="124">
        <f t="shared" si="171"/>
        <v>0</v>
      </c>
      <c r="R526" s="124">
        <f t="shared" si="171"/>
        <v>0</v>
      </c>
      <c r="S526" s="124">
        <f t="shared" si="171"/>
        <v>0</v>
      </c>
      <c r="T526" s="124">
        <f t="shared" si="171"/>
        <v>0</v>
      </c>
      <c r="U526" s="124">
        <f>SUM(G526:M526)</f>
        <v>772202130.71483314</v>
      </c>
      <c r="V526" s="109" t="str">
        <f>IF(ABS(F526-U526)&lt;0.01,"ok","err")</f>
        <v>ok</v>
      </c>
      <c r="W526" s="124"/>
      <c r="X526" s="109"/>
    </row>
    <row r="527" spans="1:30" ht="16.5" thickBot="1" x14ac:dyDescent="0.3">
      <c r="A527" s="172" t="s">
        <v>691</v>
      </c>
      <c r="B527" s="130"/>
      <c r="C527" s="130"/>
      <c r="D527" s="130"/>
      <c r="E527" s="130"/>
      <c r="F527" s="131">
        <f>IF(F523&lt;&gt;0,F521/F526,"")</f>
        <v>5.3720580975813732E-2</v>
      </c>
      <c r="G527" s="131">
        <f t="shared" ref="G527:T527" si="172">IF(G523&lt;&gt;0,G521/G526,"")</f>
        <v>4.484436142264394E-2</v>
      </c>
      <c r="H527" s="131">
        <f t="shared" si="172"/>
        <v>6.2397430916660952E-2</v>
      </c>
      <c r="I527" s="131">
        <f t="shared" si="172"/>
        <v>0.16790491751082842</v>
      </c>
      <c r="J527" s="131">
        <f t="shared" si="172"/>
        <v>1.0245337177783964</v>
      </c>
      <c r="K527" s="131">
        <f t="shared" si="172"/>
        <v>0.15897214685097066</v>
      </c>
      <c r="L527" s="131" t="str">
        <f t="shared" si="172"/>
        <v/>
      </c>
      <c r="M527" s="131" t="str">
        <f t="shared" si="172"/>
        <v/>
      </c>
      <c r="N527" s="131" t="str">
        <f t="shared" si="172"/>
        <v/>
      </c>
      <c r="O527" s="131" t="str">
        <f t="shared" si="172"/>
        <v/>
      </c>
      <c r="P527" s="131" t="str">
        <f t="shared" si="172"/>
        <v/>
      </c>
      <c r="Q527" s="131" t="str">
        <f t="shared" si="172"/>
        <v/>
      </c>
      <c r="R527" s="131" t="str">
        <f t="shared" si="172"/>
        <v/>
      </c>
      <c r="S527" s="131" t="str">
        <f t="shared" si="172"/>
        <v/>
      </c>
      <c r="T527" s="131" t="str">
        <f t="shared" si="172"/>
        <v/>
      </c>
      <c r="U527" s="131"/>
      <c r="V527" s="132"/>
      <c r="W527" s="132"/>
      <c r="X527" s="133"/>
      <c r="Y527" s="133"/>
      <c r="Z527" s="134"/>
      <c r="AD527" s="9"/>
    </row>
    <row r="528" spans="1:30" x14ac:dyDescent="0.25">
      <c r="U528" s="124"/>
    </row>
    <row r="529" spans="1:21" hidden="1" x14ac:dyDescent="0.25">
      <c r="A529" s="116" t="s">
        <v>309</v>
      </c>
      <c r="F529" s="135">
        <f>F466/F581</f>
        <v>10.440993985790557</v>
      </c>
      <c r="G529" s="135">
        <f>G466/G581</f>
        <v>11.267704702930995</v>
      </c>
      <c r="H529" s="135">
        <f>H466/H581</f>
        <v>9.096681169643313</v>
      </c>
      <c r="I529" s="135">
        <f>I466/I581</f>
        <v>6.1236818074922432</v>
      </c>
      <c r="J529" s="135">
        <f>J466/J581</f>
        <v>3.8570090967523805</v>
      </c>
      <c r="K529" s="135">
        <v>0</v>
      </c>
      <c r="L529" s="135" t="e">
        <f>L466/L581</f>
        <v>#DIV/0!</v>
      </c>
      <c r="M529" s="135" t="e">
        <f>M466/M581</f>
        <v>#DIV/0!</v>
      </c>
      <c r="N529" s="135"/>
      <c r="O529" s="135"/>
      <c r="P529" s="135"/>
      <c r="Q529" s="135"/>
      <c r="R529" s="135"/>
      <c r="S529" s="135"/>
      <c r="T529" s="135"/>
      <c r="U529" s="124"/>
    </row>
    <row r="530" spans="1:21" hidden="1" x14ac:dyDescent="0.25">
      <c r="U530" s="124"/>
    </row>
    <row r="531" spans="1:21" hidden="1" x14ac:dyDescent="0.25">
      <c r="A531" s="116" t="s">
        <v>363</v>
      </c>
      <c r="F531" s="127">
        <f t="shared" ref="F531:M531" si="173">F581/(F589*365)</f>
        <v>0.18059404990009836</v>
      </c>
      <c r="G531" s="127">
        <f t="shared" si="173"/>
        <v>0.17290794834864609</v>
      </c>
      <c r="H531" s="127">
        <f t="shared" si="173"/>
        <v>0.18339828039785178</v>
      </c>
      <c r="I531" s="127">
        <f t="shared" si="173"/>
        <v>0.26478649726492409</v>
      </c>
      <c r="J531" s="127">
        <f t="shared" si="173"/>
        <v>0.49665098972336708</v>
      </c>
      <c r="K531" s="127">
        <v>0</v>
      </c>
      <c r="L531" s="127" t="e">
        <f t="shared" si="173"/>
        <v>#DIV/0!</v>
      </c>
      <c r="M531" s="127" t="e">
        <f t="shared" si="173"/>
        <v>#DIV/0!</v>
      </c>
      <c r="N531" s="127"/>
      <c r="O531" s="127"/>
      <c r="P531" s="127"/>
      <c r="Q531" s="127"/>
      <c r="R531" s="127"/>
      <c r="S531" s="127"/>
      <c r="T531" s="127"/>
      <c r="U531" s="124"/>
    </row>
    <row r="532" spans="1:21" hidden="1" x14ac:dyDescent="0.25"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4"/>
    </row>
    <row r="533" spans="1:21" hidden="1" x14ac:dyDescent="0.25"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4"/>
    </row>
    <row r="534" spans="1:21" hidden="1" x14ac:dyDescent="0.25">
      <c r="F534" s="124">
        <f>F487+F515+F519</f>
        <v>149065235.7145091</v>
      </c>
      <c r="U534" s="124"/>
    </row>
    <row r="535" spans="1:21" hidden="1" x14ac:dyDescent="0.25"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124"/>
    </row>
    <row r="536" spans="1:21" hidden="1" x14ac:dyDescent="0.25">
      <c r="U536" s="124"/>
    </row>
    <row r="537" spans="1:21" hidden="1" x14ac:dyDescent="0.25">
      <c r="U537" s="124"/>
    </row>
    <row r="538" spans="1:21" hidden="1" x14ac:dyDescent="0.25">
      <c r="U538" s="124"/>
    </row>
    <row r="539" spans="1:21" hidden="1" x14ac:dyDescent="0.25">
      <c r="U539" s="124"/>
    </row>
    <row r="540" spans="1:21" hidden="1" x14ac:dyDescent="0.25">
      <c r="U540" s="124"/>
    </row>
    <row r="541" spans="1:21" hidden="1" x14ac:dyDescent="0.25">
      <c r="U541" s="124"/>
    </row>
    <row r="542" spans="1:21" hidden="1" x14ac:dyDescent="0.25">
      <c r="U542" s="124"/>
    </row>
    <row r="543" spans="1:21" hidden="1" x14ac:dyDescent="0.25">
      <c r="U543" s="124"/>
    </row>
    <row r="544" spans="1:21" hidden="1" x14ac:dyDescent="0.25">
      <c r="U544" s="124"/>
    </row>
    <row r="545" spans="1:24" hidden="1" x14ac:dyDescent="0.25">
      <c r="U545" s="124"/>
    </row>
    <row r="546" spans="1:24" hidden="1" x14ac:dyDescent="0.25">
      <c r="U546" s="124"/>
    </row>
    <row r="547" spans="1:24" hidden="1" x14ac:dyDescent="0.25">
      <c r="U547" s="124"/>
    </row>
    <row r="548" spans="1:24" hidden="1" x14ac:dyDescent="0.25">
      <c r="U548" s="124"/>
    </row>
    <row r="549" spans="1:24" hidden="1" x14ac:dyDescent="0.25">
      <c r="U549" s="124"/>
    </row>
    <row r="550" spans="1:24" hidden="1" x14ac:dyDescent="0.25">
      <c r="U550" s="124"/>
    </row>
    <row r="551" spans="1:24" hidden="1" x14ac:dyDescent="0.25">
      <c r="U551" s="124"/>
    </row>
    <row r="552" spans="1:24" hidden="1" x14ac:dyDescent="0.25">
      <c r="U552" s="124"/>
    </row>
    <row r="553" spans="1:24" hidden="1" x14ac:dyDescent="0.25">
      <c r="U553" s="124"/>
    </row>
    <row r="554" spans="1:24" hidden="1" x14ac:dyDescent="0.25">
      <c r="A554" s="110"/>
      <c r="U554" s="124"/>
    </row>
    <row r="555" spans="1:24" x14ac:dyDescent="0.25">
      <c r="U555" s="124"/>
    </row>
    <row r="556" spans="1:24" x14ac:dyDescent="0.25">
      <c r="A556" s="170"/>
      <c r="F556" s="124"/>
      <c r="G556" s="124"/>
      <c r="H556" s="124"/>
      <c r="I556" s="124"/>
      <c r="J556" s="124"/>
      <c r="K556" s="124"/>
      <c r="U556" s="124"/>
    </row>
    <row r="557" spans="1:24" x14ac:dyDescent="0.25">
      <c r="A557" s="121" t="s">
        <v>748</v>
      </c>
      <c r="F557" s="124"/>
      <c r="G557" s="137"/>
      <c r="U557" s="124"/>
    </row>
    <row r="558" spans="1:24" x14ac:dyDescent="0.25">
      <c r="U558" s="124"/>
    </row>
    <row r="559" spans="1:24" x14ac:dyDescent="0.25">
      <c r="A559" s="110" t="s">
        <v>359</v>
      </c>
      <c r="F559" s="124">
        <f>F521</f>
        <v>41483147.092762105</v>
      </c>
      <c r="G559" s="124">
        <f t="shared" ref="G559:T559" si="174">G521</f>
        <v>24961377.457479607</v>
      </c>
      <c r="H559" s="124">
        <f t="shared" si="174"/>
        <v>11643458.192519607</v>
      </c>
      <c r="I559" s="124">
        <f t="shared" si="174"/>
        <v>2187831.4183275476</v>
      </c>
      <c r="J559" s="124">
        <f t="shared" si="174"/>
        <v>183703.77790378482</v>
      </c>
      <c r="K559" s="124">
        <f t="shared" si="174"/>
        <v>2506776.2465315536</v>
      </c>
      <c r="L559" s="124">
        <f t="shared" si="174"/>
        <v>0</v>
      </c>
      <c r="M559" s="124">
        <f>M521</f>
        <v>0</v>
      </c>
      <c r="N559" s="124">
        <f t="shared" si="174"/>
        <v>0</v>
      </c>
      <c r="O559" s="124">
        <f t="shared" si="174"/>
        <v>0</v>
      </c>
      <c r="P559" s="124">
        <f t="shared" si="174"/>
        <v>0</v>
      </c>
      <c r="Q559" s="124">
        <f t="shared" si="174"/>
        <v>0</v>
      </c>
      <c r="R559" s="124">
        <f t="shared" si="174"/>
        <v>0</v>
      </c>
      <c r="S559" s="124">
        <f t="shared" si="174"/>
        <v>0</v>
      </c>
      <c r="T559" s="124">
        <f t="shared" si="174"/>
        <v>0</v>
      </c>
      <c r="U559" s="124">
        <f>SUM(G559:M559)</f>
        <v>41483147.092762105</v>
      </c>
      <c r="V559" s="109" t="str">
        <f>IF(ABS(F559-U559)&lt;2,"ok","err")</f>
        <v>ok</v>
      </c>
      <c r="W559" s="124"/>
      <c r="X559" s="109"/>
    </row>
    <row r="560" spans="1:24" x14ac:dyDescent="0.25">
      <c r="U560" s="124"/>
    </row>
    <row r="561" spans="1:24" x14ac:dyDescent="0.25">
      <c r="A561" s="110" t="s">
        <v>360</v>
      </c>
      <c r="F561" s="146">
        <v>25042771.379999999</v>
      </c>
      <c r="G561" s="123">
        <v>17691740.140000001</v>
      </c>
      <c r="H561" s="153">
        <f>7347662.68+3527.73</f>
        <v>7351190.4100000001</v>
      </c>
      <c r="I561" s="153">
        <v>-74.14</v>
      </c>
      <c r="J561" s="153">
        <v>0</v>
      </c>
      <c r="K561" s="7">
        <v>-85.03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U561" s="124">
        <f>SUM(G561:M561)</f>
        <v>25042771.379999999</v>
      </c>
      <c r="V561" s="109" t="str">
        <f>IF(ABS(F561-U561)&lt;0.01,"ok","err")</f>
        <v>ok</v>
      </c>
    </row>
    <row r="562" spans="1:24" x14ac:dyDescent="0.25">
      <c r="A562" s="110" t="s">
        <v>877</v>
      </c>
      <c r="E562" s="116" t="s">
        <v>663</v>
      </c>
      <c r="F562" s="7">
        <v>-97753</v>
      </c>
      <c r="G562" s="7">
        <f>F562</f>
        <v>-97753</v>
      </c>
      <c r="H562" s="7">
        <v>0</v>
      </c>
      <c r="I562" s="7">
        <v>0</v>
      </c>
      <c r="J562" s="7">
        <f t="shared" ref="G562:J563" si="175">(VLOOKUP($E562,$D$6:$AI$674,J$2,)/VLOOKUP($E562,$D$6:$AI$674,3,))*$F562</f>
        <v>0</v>
      </c>
      <c r="K562" s="7">
        <f>(VLOOKUP($E562,$D$6:$AI$674,8,)/VLOOKUP($E562,$D$6:$AI$674,3,))*$F562</f>
        <v>0</v>
      </c>
      <c r="L562" s="7">
        <f>(VLOOKUP($E562,$D$6:$AI$674,L$2,)/VLOOKUP($E562,$D$6:$AI$674,3,))*$F562</f>
        <v>0</v>
      </c>
      <c r="M562" s="7">
        <f>(VLOOKUP($E562,$D$6:$AI$674,M$2,)/VLOOKUP($E562,$D$6:$AI$674,3,))*$F562</f>
        <v>0</v>
      </c>
      <c r="N562" s="7">
        <f>(VLOOKUP($E562,$D$6:$AI$674,11,)/VLOOKUP($E562,$D$6:$AI$674,3,))*$F562</f>
        <v>0</v>
      </c>
      <c r="O562" s="7">
        <f t="shared" ref="O562:Q563" si="176">(VLOOKUP($E562,$D$6:$AI$674,O$2,)/VLOOKUP($E562,$D$6:$AI$674,3,))*$F562</f>
        <v>0</v>
      </c>
      <c r="P562" s="7">
        <f t="shared" si="176"/>
        <v>0</v>
      </c>
      <c r="Q562" s="7">
        <f t="shared" si="176"/>
        <v>0</v>
      </c>
      <c r="R562" s="7">
        <f>(VLOOKUP($E562,$D$6:$AI$674,15,)/VLOOKUP($E562,$D$6:$AI$674,3,))*$F562</f>
        <v>0</v>
      </c>
      <c r="S562" s="7">
        <f>(VLOOKUP($E562,$D$6:$AI$674,16,)/VLOOKUP($E562,$D$6:$AI$674,3,))*$F562</f>
        <v>0</v>
      </c>
      <c r="T562" s="7">
        <f>(VLOOKUP($E562,$D$6:$AI$674,17,)/VLOOKUP($E562,$D$6:$AI$674,3,))*$F562</f>
        <v>0</v>
      </c>
      <c r="U562" s="124">
        <f>SUM(G562:M562)</f>
        <v>-97753</v>
      </c>
      <c r="V562" s="109" t="str">
        <f>IF(ABS(F562-U562)&lt;0.01,"ok","err")</f>
        <v>ok</v>
      </c>
      <c r="W562" s="124"/>
      <c r="X562" s="109"/>
    </row>
    <row r="563" spans="1:24" x14ac:dyDescent="0.25">
      <c r="A563" s="110" t="s">
        <v>878</v>
      </c>
      <c r="E563" s="129" t="s">
        <v>712</v>
      </c>
      <c r="F563" s="7">
        <v>-20144</v>
      </c>
      <c r="G563" s="7">
        <f t="shared" si="175"/>
        <v>-13882.586369584642</v>
      </c>
      <c r="H563" s="7">
        <f t="shared" si="175"/>
        <v>-5952.2634362694407</v>
      </c>
      <c r="I563" s="7">
        <f t="shared" si="175"/>
        <v>-309.15019414591899</v>
      </c>
      <c r="J563" s="7">
        <f t="shared" si="175"/>
        <v>0</v>
      </c>
      <c r="K563" s="7">
        <f>(VLOOKUP($E563,$D$6:$AI$674,8,)/VLOOKUP($E563,$D$6:$AI$674,3,))*$F563</f>
        <v>0</v>
      </c>
      <c r="L563" s="7">
        <f>(VLOOKUP($E563,$D$6:$AI$674,L$2,)/VLOOKUP($E563,$D$6:$AI$674,3,))*$F563</f>
        <v>0</v>
      </c>
      <c r="M563" s="7">
        <f>(VLOOKUP($E563,$D$6:$AI$674,M$2,)/VLOOKUP($E563,$D$6:$AI$674,3,))*$F563</f>
        <v>0</v>
      </c>
      <c r="N563" s="7">
        <f>(VLOOKUP($E563,$D$6:$AI$674,11,)/VLOOKUP($E563,$D$6:$AI$674,3,))*$F563</f>
        <v>0</v>
      </c>
      <c r="O563" s="7">
        <f t="shared" si="176"/>
        <v>0</v>
      </c>
      <c r="P563" s="7">
        <f t="shared" si="176"/>
        <v>0</v>
      </c>
      <c r="Q563" s="7">
        <f t="shared" si="176"/>
        <v>0</v>
      </c>
      <c r="R563" s="7">
        <f>(VLOOKUP($E563,$D$6:$AI$674,15,)/VLOOKUP($E563,$D$6:$AI$674,3,))*$F563</f>
        <v>0</v>
      </c>
      <c r="S563" s="7">
        <f>(VLOOKUP($E563,$D$6:$AI$674,16,)/VLOOKUP($E563,$D$6:$AI$674,3,))*$F563</f>
        <v>0</v>
      </c>
      <c r="T563" s="7">
        <f>(VLOOKUP($E563,$D$6:$AI$674,17,)/VLOOKUP($E563,$D$6:$AI$674,3,))*$F563</f>
        <v>0</v>
      </c>
      <c r="U563" s="124">
        <f>SUM(G563:M563)</f>
        <v>-20144</v>
      </c>
      <c r="V563" s="109" t="str">
        <f>IF(ABS(F563-U563)&lt;0.01,"ok","err")</f>
        <v>ok</v>
      </c>
      <c r="W563" s="124"/>
      <c r="X563" s="109"/>
    </row>
    <row r="564" spans="1:24" x14ac:dyDescent="0.25">
      <c r="F564" s="124"/>
      <c r="U564" s="124"/>
    </row>
    <row r="565" spans="1:24" x14ac:dyDescent="0.25">
      <c r="A565" s="110" t="s">
        <v>693</v>
      </c>
      <c r="E565" s="127">
        <v>0.24854688956711204</v>
      </c>
      <c r="F565" s="7">
        <v>6195000</v>
      </c>
      <c r="G565" s="7">
        <f>SUM(G561:G563)*$E$565</f>
        <v>4369480.3050694624</v>
      </c>
      <c r="H565" s="7">
        <f t="shared" ref="H565:K565" si="177">SUM(H561:H563)*$E$565</f>
        <v>1825636.0944581144</v>
      </c>
      <c r="I565" s="7">
        <f t="shared" si="177"/>
        <v>-95.265585556542661</v>
      </c>
      <c r="J565" s="7">
        <f t="shared" si="177"/>
        <v>0</v>
      </c>
      <c r="K565" s="7">
        <f t="shared" si="177"/>
        <v>-21.133942019891538</v>
      </c>
      <c r="L565" s="7">
        <f t="shared" ref="L565:M565" si="178">SUM(L561:L562)*$E$565</f>
        <v>0</v>
      </c>
      <c r="M565" s="7">
        <f t="shared" si="178"/>
        <v>0</v>
      </c>
      <c r="N565" s="7">
        <f t="shared" ref="N565:T565" si="179">SUM(N561:N562)*0.3719143</f>
        <v>0</v>
      </c>
      <c r="O565" s="7">
        <f t="shared" si="179"/>
        <v>0</v>
      </c>
      <c r="P565" s="7">
        <f t="shared" si="179"/>
        <v>0</v>
      </c>
      <c r="Q565" s="7">
        <f t="shared" si="179"/>
        <v>0</v>
      </c>
      <c r="R565" s="7">
        <f t="shared" si="179"/>
        <v>0</v>
      </c>
      <c r="S565" s="7">
        <f t="shared" si="179"/>
        <v>0</v>
      </c>
      <c r="T565" s="7">
        <f t="shared" si="179"/>
        <v>0</v>
      </c>
      <c r="U565" s="124">
        <f>SUM(G565:M565)</f>
        <v>6195000</v>
      </c>
      <c r="V565" s="109" t="str">
        <f>IF(ABS(F565-U565)&lt;0.01,"ok","err")</f>
        <v>ok</v>
      </c>
    </row>
    <row r="566" spans="1:24" x14ac:dyDescent="0.25">
      <c r="A566" s="110" t="s">
        <v>845</v>
      </c>
      <c r="E566" s="189">
        <v>1.82E-3</v>
      </c>
      <c r="F566" s="7">
        <v>45363.2706254</v>
      </c>
      <c r="G566" s="7">
        <f t="shared" ref="G566:K566" si="180">SUM(G561:G563)*$E$566</f>
        <v>31995.790287607357</v>
      </c>
      <c r="H566" s="7">
        <f t="shared" si="180"/>
        <v>13368.33342674599</v>
      </c>
      <c r="I566" s="7">
        <f t="shared" si="180"/>
        <v>-0.69758815334557256</v>
      </c>
      <c r="J566" s="7">
        <f t="shared" si="180"/>
        <v>0</v>
      </c>
      <c r="K566" s="7">
        <f t="shared" si="180"/>
        <v>-0.15475459999999999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 t="e">
        <f>(VLOOKUP($E566,$D$6:$AI$674,17,)/VLOOKUP($E566,$D$6:$AI$674,3,))*$F566</f>
        <v>#N/A</v>
      </c>
      <c r="U566" s="124">
        <f>SUM(G566:M566)</f>
        <v>45363.271371600007</v>
      </c>
      <c r="V566" s="109" t="str">
        <f>IF(ABS(F566-U566)&lt;0.01,"ok","err")</f>
        <v>ok</v>
      </c>
    </row>
    <row r="567" spans="1:24" x14ac:dyDescent="0.25">
      <c r="A567" s="110" t="s">
        <v>846</v>
      </c>
      <c r="E567" s="127">
        <v>2E-3</v>
      </c>
      <c r="F567" s="7">
        <v>49849.747940000001</v>
      </c>
      <c r="G567" s="7">
        <f t="shared" ref="G567:K567" si="181">SUM(G561:G563)*$E$567</f>
        <v>35160.209107260831</v>
      </c>
      <c r="H567" s="7">
        <f t="shared" si="181"/>
        <v>14690.476293127462</v>
      </c>
      <c r="I567" s="7">
        <f t="shared" si="181"/>
        <v>-0.76658038829183794</v>
      </c>
      <c r="J567" s="7">
        <f t="shared" si="181"/>
        <v>0</v>
      </c>
      <c r="K567" s="7">
        <f t="shared" si="181"/>
        <v>-0.17006000000000002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 t="e">
        <f>(VLOOKUP($E567,$D$6:$AI$674,17,)/VLOOKUP($E567,$D$6:$AI$674,3,))*$F567</f>
        <v>#N/A</v>
      </c>
      <c r="U567" s="124">
        <f>SUM(G567:M567)</f>
        <v>49849.748760000002</v>
      </c>
      <c r="V567" s="109" t="str">
        <f>IF(ABS(F567-U567)&lt;0.01,"ok","err")</f>
        <v>ok</v>
      </c>
      <c r="X567" s="137"/>
    </row>
    <row r="568" spans="1:24" x14ac:dyDescent="0.25">
      <c r="U568" s="124"/>
    </row>
    <row r="569" spans="1:24" x14ac:dyDescent="0.25">
      <c r="A569" s="110" t="s">
        <v>361</v>
      </c>
      <c r="F569" s="7">
        <f>F559+SUM(F561:F563)-SUM(F565:F567)</f>
        <v>60117808.454196706</v>
      </c>
      <c r="G569" s="7">
        <f t="shared" ref="G569:K569" si="182">G559+SUM(G561:G563)-SUM(G565:G567)</f>
        <v>38104845.70664569</v>
      </c>
      <c r="H569" s="7">
        <f t="shared" si="182"/>
        <v>17135001.43490535</v>
      </c>
      <c r="I569" s="7">
        <f t="shared" si="182"/>
        <v>2187544.8578875</v>
      </c>
      <c r="J569" s="7">
        <f t="shared" si="182"/>
        <v>183703.77790378482</v>
      </c>
      <c r="K569" s="7">
        <f t="shared" si="182"/>
        <v>2506712.6752881738</v>
      </c>
      <c r="L569" s="7">
        <f t="shared" ref="L569" si="183">L559+SUM(L561:L562)-SUM(L565:L567)</f>
        <v>0</v>
      </c>
      <c r="M569" s="7">
        <f t="shared" ref="M569:T569" si="184">M559+SUM(M561:M562)-M565</f>
        <v>0</v>
      </c>
      <c r="N569" s="7">
        <f t="shared" si="184"/>
        <v>0</v>
      </c>
      <c r="O569" s="7">
        <f t="shared" si="184"/>
        <v>0</v>
      </c>
      <c r="P569" s="7">
        <f t="shared" si="184"/>
        <v>0</v>
      </c>
      <c r="Q569" s="7">
        <f t="shared" si="184"/>
        <v>0</v>
      </c>
      <c r="R569" s="7">
        <f t="shared" si="184"/>
        <v>0</v>
      </c>
      <c r="S569" s="7">
        <f t="shared" si="184"/>
        <v>0</v>
      </c>
      <c r="T569" s="7">
        <f t="shared" si="184"/>
        <v>0</v>
      </c>
      <c r="U569" s="124">
        <f>SUM(G569:M569)</f>
        <v>60117808.452630498</v>
      </c>
      <c r="V569" s="109" t="str">
        <f>IF(ABS(F569-U569)&lt;2,"ok","err")</f>
        <v>ok</v>
      </c>
    </row>
    <row r="570" spans="1:24" x14ac:dyDescent="0.25">
      <c r="U570" s="124"/>
    </row>
    <row r="571" spans="1:24" x14ac:dyDescent="0.25">
      <c r="A571" s="110" t="s">
        <v>692</v>
      </c>
      <c r="F571" s="124">
        <f t="shared" ref="F571:M571" si="185">F526</f>
        <v>772202130.71483338</v>
      </c>
      <c r="G571" s="124">
        <f t="shared" si="185"/>
        <v>556622430.682567</v>
      </c>
      <c r="H571" s="124">
        <f t="shared" si="185"/>
        <v>186601563.90205878</v>
      </c>
      <c r="I571" s="124">
        <f t="shared" si="185"/>
        <v>13030180.716335788</v>
      </c>
      <c r="J571" s="124">
        <f t="shared" si="185"/>
        <v>179304.76539330394</v>
      </c>
      <c r="K571" s="124">
        <f t="shared" si="185"/>
        <v>15768650.648478346</v>
      </c>
      <c r="L571" s="124">
        <f t="shared" si="185"/>
        <v>0</v>
      </c>
      <c r="M571" s="124">
        <f t="shared" si="185"/>
        <v>0</v>
      </c>
      <c r="N571" s="124">
        <f t="shared" ref="N571:T571" si="186">N523</f>
        <v>0</v>
      </c>
      <c r="O571" s="124">
        <f t="shared" si="186"/>
        <v>0</v>
      </c>
      <c r="P571" s="124">
        <f t="shared" si="186"/>
        <v>0</v>
      </c>
      <c r="Q571" s="124">
        <f t="shared" si="186"/>
        <v>0</v>
      </c>
      <c r="R571" s="124">
        <f t="shared" si="186"/>
        <v>0</v>
      </c>
      <c r="S571" s="124">
        <f t="shared" si="186"/>
        <v>0</v>
      </c>
      <c r="T571" s="124">
        <f t="shared" si="186"/>
        <v>0</v>
      </c>
      <c r="U571" s="124">
        <f>SUM(G571:M571)</f>
        <v>772202130.71483314</v>
      </c>
      <c r="V571" s="109" t="str">
        <f>IF(ABS(F571-U571)&lt;0.01,"ok","err")</f>
        <v>ok</v>
      </c>
    </row>
    <row r="572" spans="1:24" ht="16.5" thickBot="1" x14ac:dyDescent="0.3">
      <c r="U572" s="124"/>
    </row>
    <row r="573" spans="1:24" ht="16.5" thickBot="1" x14ac:dyDescent="0.3">
      <c r="A573" s="172" t="s">
        <v>747</v>
      </c>
      <c r="B573" s="130"/>
      <c r="C573" s="130"/>
      <c r="D573" s="130"/>
      <c r="E573" s="130"/>
      <c r="F573" s="131">
        <f>F569/F571</f>
        <v>7.7852424984304558E-2</v>
      </c>
      <c r="G573" s="131">
        <f t="shared" ref="G573:Q573" si="187">G569/G571</f>
        <v>6.8457258648234903E-2</v>
      </c>
      <c r="H573" s="131">
        <f t="shared" si="187"/>
        <v>9.1826676457540127E-2</v>
      </c>
      <c r="I573" s="131">
        <f t="shared" si="187"/>
        <v>0.16788292545666691</v>
      </c>
      <c r="J573" s="131">
        <f t="shared" si="187"/>
        <v>1.0245337177783964</v>
      </c>
      <c r="K573" s="131">
        <f t="shared" si="187"/>
        <v>0.15896811535551827</v>
      </c>
      <c r="L573" s="131" t="e">
        <f t="shared" si="187"/>
        <v>#DIV/0!</v>
      </c>
      <c r="M573" s="131" t="e">
        <f>M569/M571</f>
        <v>#DIV/0!</v>
      </c>
      <c r="N573" s="136">
        <v>0</v>
      </c>
      <c r="O573" s="136" t="e">
        <f t="shared" si="187"/>
        <v>#DIV/0!</v>
      </c>
      <c r="P573" s="136" t="e">
        <f t="shared" si="187"/>
        <v>#DIV/0!</v>
      </c>
      <c r="Q573" s="136" t="e">
        <f t="shared" si="187"/>
        <v>#DIV/0!</v>
      </c>
      <c r="R573" s="136"/>
      <c r="S573" s="136"/>
      <c r="T573" s="136"/>
      <c r="U573" s="124"/>
    </row>
    <row r="574" spans="1:24" x14ac:dyDescent="0.25">
      <c r="G574" s="127"/>
      <c r="H574" s="127"/>
      <c r="I574" s="7"/>
      <c r="J574" s="127"/>
      <c r="K574" s="127"/>
      <c r="L574" s="127"/>
      <c r="M574" s="127"/>
      <c r="P574" s="124"/>
      <c r="U574" s="124"/>
    </row>
    <row r="575" spans="1:24" x14ac:dyDescent="0.25">
      <c r="D575" s="124"/>
      <c r="F575" s="148"/>
      <c r="G575" s="124"/>
      <c r="H575" s="124"/>
      <c r="I575" s="124"/>
      <c r="J575" s="124"/>
      <c r="K575" s="124"/>
      <c r="L575" s="124"/>
      <c r="M575" s="127"/>
      <c r="P575" s="124"/>
      <c r="U575" s="124"/>
    </row>
    <row r="576" spans="1:24" x14ac:dyDescent="0.25">
      <c r="A576" s="126"/>
      <c r="F576" s="7"/>
      <c r="G576" s="127"/>
      <c r="H576" s="7"/>
      <c r="I576" s="7"/>
      <c r="J576" s="7"/>
      <c r="K576" s="7"/>
      <c r="L576" s="7"/>
      <c r="U576" s="124"/>
    </row>
    <row r="577" spans="1:23" x14ac:dyDescent="0.25">
      <c r="U577" s="124"/>
    </row>
    <row r="578" spans="1:23" x14ac:dyDescent="0.25">
      <c r="A578" s="121" t="s">
        <v>225</v>
      </c>
      <c r="U578" s="124"/>
    </row>
    <row r="579" spans="1:23" x14ac:dyDescent="0.25">
      <c r="U579" s="124"/>
    </row>
    <row r="580" spans="1:23" x14ac:dyDescent="0.25">
      <c r="A580" s="110" t="s">
        <v>2</v>
      </c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3" x14ac:dyDescent="0.25">
      <c r="A581" s="116" t="s">
        <v>452</v>
      </c>
      <c r="D581" s="116" t="s">
        <v>311</v>
      </c>
      <c r="F581" s="7">
        <v>31306867.97587781</v>
      </c>
      <c r="G581" s="7">
        <v>19344464.899848823</v>
      </c>
      <c r="H581" s="7">
        <f>9951330.44103139+1498</f>
        <v>9952828.4410313908</v>
      </c>
      <c r="I581" s="7">
        <f>1793665+8</f>
        <v>1793673</v>
      </c>
      <c r="J581" s="7">
        <v>215901.63499759353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/>
      <c r="S581" s="7"/>
      <c r="T581" s="7"/>
      <c r="U581" s="7">
        <f>SUM(G581:M581)</f>
        <v>31306867.97587781</v>
      </c>
      <c r="V581" s="138" t="str">
        <f>IF(ABS(F581-U581)&lt;0.01,"ok","err")</f>
        <v>ok</v>
      </c>
    </row>
    <row r="582" spans="1:23" x14ac:dyDescent="0.25">
      <c r="A582" s="137"/>
      <c r="F582" s="7"/>
      <c r="G582" s="139">
        <f>G581/$F581</f>
        <v>0.61789844051962928</v>
      </c>
      <c r="H582" s="139">
        <f>H581/$F581</f>
        <v>0.31791198176387764</v>
      </c>
      <c r="I582" s="139">
        <f>I581/$F581</f>
        <v>5.7293275117205569E-2</v>
      </c>
      <c r="J582" s="139">
        <f t="shared" ref="J582:L582" si="188">J581/$F581</f>
        <v>6.8963025992873975E-3</v>
      </c>
      <c r="K582" s="139">
        <f t="shared" si="188"/>
        <v>0</v>
      </c>
      <c r="L582" s="139">
        <f t="shared" si="188"/>
        <v>0</v>
      </c>
      <c r="M582" s="7"/>
      <c r="N582" s="7"/>
      <c r="O582" s="7"/>
      <c r="P582" s="7"/>
      <c r="Q582" s="7"/>
      <c r="R582" s="7"/>
      <c r="S582" s="7"/>
      <c r="T582" s="7"/>
      <c r="U582" s="7"/>
      <c r="V582" s="138"/>
    </row>
    <row r="583" spans="1:23" x14ac:dyDescent="0.25">
      <c r="A583" s="116" t="s">
        <v>3</v>
      </c>
      <c r="D583" s="116" t="s">
        <v>313</v>
      </c>
      <c r="E583" s="7"/>
      <c r="F583" s="140">
        <f>SUM(G583:J583)+L583+M583</f>
        <v>19976941.072062276</v>
      </c>
      <c r="G583" s="7">
        <v>12910323.390137218</v>
      </c>
      <c r="H583" s="7">
        <v>6282409.4313522037</v>
      </c>
      <c r="I583" s="7">
        <v>784208.25057285326</v>
      </c>
      <c r="J583" s="7"/>
      <c r="K583" s="8">
        <v>0</v>
      </c>
      <c r="L583" s="7"/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/>
      <c r="S583" s="7"/>
      <c r="T583" s="7"/>
      <c r="U583" s="7">
        <f>SUM(G583:M583)</f>
        <v>19976941.072062276</v>
      </c>
      <c r="V583" s="138" t="str">
        <f>IF(ABS(F583-U583)&lt;0.01,"ok","err")</f>
        <v>ok</v>
      </c>
    </row>
    <row r="584" spans="1:23" x14ac:dyDescent="0.25">
      <c r="A584" s="116" t="s">
        <v>4</v>
      </c>
      <c r="D584" s="116" t="s">
        <v>315</v>
      </c>
      <c r="F584" s="140">
        <f>F583</f>
        <v>19976941.072062276</v>
      </c>
      <c r="G584" s="7">
        <f t="shared" ref="G584:N584" si="189">G583</f>
        <v>12910323.390137218</v>
      </c>
      <c r="H584" s="7">
        <f t="shared" si="189"/>
        <v>6282409.4313522037</v>
      </c>
      <c r="I584" s="7">
        <f t="shared" si="189"/>
        <v>784208.25057285326</v>
      </c>
      <c r="J584" s="7">
        <f t="shared" si="189"/>
        <v>0</v>
      </c>
      <c r="K584" s="7">
        <f t="shared" si="189"/>
        <v>0</v>
      </c>
      <c r="L584" s="7">
        <f t="shared" si="189"/>
        <v>0</v>
      </c>
      <c r="M584" s="7">
        <f t="shared" si="189"/>
        <v>0</v>
      </c>
      <c r="N584" s="7">
        <f t="shared" si="189"/>
        <v>0</v>
      </c>
      <c r="O584" s="7">
        <f>O583</f>
        <v>0</v>
      </c>
      <c r="P584" s="7">
        <f>P583</f>
        <v>0</v>
      </c>
      <c r="Q584" s="7">
        <f>Q583</f>
        <v>0</v>
      </c>
      <c r="R584" s="7"/>
      <c r="S584" s="7"/>
      <c r="T584" s="7"/>
      <c r="U584" s="7">
        <f>SUM(G584:M584)</f>
        <v>19976941.072062276</v>
      </c>
      <c r="V584" s="138" t="str">
        <f>IF(ABS(F584-U584)&lt;0.01,"ok","err")</f>
        <v>ok</v>
      </c>
    </row>
    <row r="585" spans="1:23" x14ac:dyDescent="0.25">
      <c r="A585" s="116" t="s">
        <v>5</v>
      </c>
      <c r="D585" s="116" t="s">
        <v>316</v>
      </c>
      <c r="F585" s="140">
        <v>44598594.726180397</v>
      </c>
      <c r="G585" s="7">
        <f>G581</f>
        <v>19344464.899848823</v>
      </c>
      <c r="H585" s="7">
        <f t="shared" ref="H585:M585" si="190">H581</f>
        <v>9952828.4410313908</v>
      </c>
      <c r="I585" s="7">
        <f t="shared" si="190"/>
        <v>1793673</v>
      </c>
      <c r="J585" s="7">
        <f t="shared" si="190"/>
        <v>215901.63499759353</v>
      </c>
      <c r="K585" s="7">
        <v>13291726.750302587</v>
      </c>
      <c r="L585" s="7">
        <v>0</v>
      </c>
      <c r="M585" s="7">
        <f t="shared" si="190"/>
        <v>0</v>
      </c>
      <c r="N585" s="7">
        <f>N581</f>
        <v>0</v>
      </c>
      <c r="O585" s="7">
        <f>O581</f>
        <v>0</v>
      </c>
      <c r="P585" s="7">
        <f>P581</f>
        <v>0</v>
      </c>
      <c r="Q585" s="7">
        <f>Q581</f>
        <v>0</v>
      </c>
      <c r="R585" s="7"/>
      <c r="S585" s="7"/>
      <c r="T585" s="7"/>
      <c r="U585" s="7">
        <f>SUM(G585:M585)</f>
        <v>44598594.726180397</v>
      </c>
      <c r="V585" s="138" t="str">
        <f>IF(ABS(F585-U585)&lt;0.01,"ok","err")</f>
        <v>ok</v>
      </c>
    </row>
    <row r="586" spans="1:23" x14ac:dyDescent="0.25">
      <c r="A586" s="116" t="s">
        <v>653</v>
      </c>
      <c r="F586" s="140">
        <v>44598594.726180397</v>
      </c>
      <c r="G586" s="140">
        <f t="shared" ref="G586:M586" si="191">G585</f>
        <v>19344464.899848823</v>
      </c>
      <c r="H586" s="140">
        <f t="shared" si="191"/>
        <v>9952828.4410313908</v>
      </c>
      <c r="I586" s="140">
        <f t="shared" si="191"/>
        <v>1793673</v>
      </c>
      <c r="J586" s="140">
        <f t="shared" si="191"/>
        <v>215901.63499759353</v>
      </c>
      <c r="K586" s="140">
        <f t="shared" si="191"/>
        <v>13291726.750302587</v>
      </c>
      <c r="L586" s="140">
        <f t="shared" si="191"/>
        <v>0</v>
      </c>
      <c r="M586" s="140">
        <f t="shared" si="191"/>
        <v>0</v>
      </c>
      <c r="N586" s="7">
        <v>0</v>
      </c>
      <c r="O586" s="7">
        <v>0</v>
      </c>
      <c r="P586" s="7">
        <v>0</v>
      </c>
      <c r="Q586" s="7">
        <v>0</v>
      </c>
      <c r="R586" s="7"/>
      <c r="S586" s="7"/>
      <c r="T586" s="7"/>
      <c r="U586" s="7">
        <f>SUM(G586:M586)</f>
        <v>44598594.726180397</v>
      </c>
      <c r="V586" s="138" t="str">
        <f>IF(ABS(F586-U586)&lt;0.01,"ok","err")</f>
        <v>ok</v>
      </c>
    </row>
    <row r="587" spans="1:23" x14ac:dyDescent="0.25">
      <c r="A587" s="137"/>
      <c r="U587" s="7">
        <f>+F586-U586</f>
        <v>0</v>
      </c>
      <c r="V587" s="138"/>
    </row>
    <row r="588" spans="1:23" x14ac:dyDescent="0.25">
      <c r="A588" s="110" t="s">
        <v>1</v>
      </c>
      <c r="U588" s="7"/>
    </row>
    <row r="589" spans="1:23" x14ac:dyDescent="0.25">
      <c r="A589" s="116" t="s">
        <v>452</v>
      </c>
      <c r="D589" s="116" t="s">
        <v>310</v>
      </c>
      <c r="F589" s="7">
        <f>SUM(G589:M589)</f>
        <v>474945</v>
      </c>
      <c r="G589" s="7">
        <v>306513</v>
      </c>
      <c r="H589" s="7">
        <v>148682</v>
      </c>
      <c r="I589" s="7">
        <v>18559</v>
      </c>
      <c r="J589" s="7">
        <v>1191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/>
      <c r="S589" s="7"/>
      <c r="T589" s="7"/>
      <c r="U589" s="7">
        <f>SUM(G589:M589)</f>
        <v>474945</v>
      </c>
      <c r="V589" s="138" t="str">
        <f>IF(ABS(F589-U589)&lt;0.01,"ok","err")</f>
        <v>ok</v>
      </c>
      <c r="W589" s="137"/>
    </row>
    <row r="590" spans="1:23" x14ac:dyDescent="0.25">
      <c r="A590" s="116" t="s">
        <v>3</v>
      </c>
      <c r="D590" s="116" t="s">
        <v>312</v>
      </c>
      <c r="F590" s="7">
        <f>SUM(G590:M590)</f>
        <v>11840000</v>
      </c>
      <c r="G590" s="7">
        <v>7762069.9665000001</v>
      </c>
      <c r="H590" s="7">
        <v>3670067.003</v>
      </c>
      <c r="I590" s="7">
        <v>337595.03049999999</v>
      </c>
      <c r="J590" s="7"/>
      <c r="K590" s="7">
        <v>70268</v>
      </c>
      <c r="L590" s="7"/>
      <c r="M590" s="7"/>
      <c r="N590" s="7">
        <v>0</v>
      </c>
      <c r="O590" s="7"/>
      <c r="P590" s="7"/>
      <c r="Q590" s="7">
        <v>0</v>
      </c>
      <c r="R590" s="7"/>
      <c r="S590" s="7"/>
      <c r="T590" s="7"/>
      <c r="U590" s="7">
        <f>SUM(G590:M590)</f>
        <v>11840000</v>
      </c>
      <c r="V590" s="138" t="str">
        <f>IF(ABS(F590-U590)&lt;0.01,"ok","err")</f>
        <v>ok</v>
      </c>
    </row>
    <row r="591" spans="1:23" x14ac:dyDescent="0.25">
      <c r="F591" s="7"/>
      <c r="G591" s="139">
        <f>G590/$F590</f>
        <v>0.65558023365709461</v>
      </c>
      <c r="H591" s="139">
        <f>H590/$F590</f>
        <v>0.30997187525337838</v>
      </c>
      <c r="I591" s="139">
        <f>I590/$F590</f>
        <v>2.851309379222973E-2</v>
      </c>
      <c r="J591" s="139"/>
      <c r="K591" s="139">
        <f>K590/$F590</f>
        <v>5.9347972972972974E-3</v>
      </c>
      <c r="L591" s="139"/>
      <c r="M591" s="139"/>
      <c r="N591" s="7"/>
      <c r="O591" s="7"/>
      <c r="P591" s="7"/>
      <c r="Q591" s="7"/>
      <c r="R591" s="7"/>
      <c r="S591" s="7"/>
      <c r="T591" s="7"/>
      <c r="U591" s="7"/>
      <c r="V591" s="138"/>
    </row>
    <row r="592" spans="1:23" x14ac:dyDescent="0.25">
      <c r="A592" s="116" t="s">
        <v>851</v>
      </c>
      <c r="D592" s="116" t="s">
        <v>314</v>
      </c>
      <c r="F592" s="7">
        <f>F590</f>
        <v>11840000</v>
      </c>
      <c r="G592" s="7">
        <f>G590</f>
        <v>7762069.9665000001</v>
      </c>
      <c r="H592" s="7">
        <f>H590</f>
        <v>3670067.003</v>
      </c>
      <c r="I592" s="7">
        <f>I590</f>
        <v>337595.03049999999</v>
      </c>
      <c r="J592" s="7">
        <f t="shared" ref="J592:Q592" si="192">J590</f>
        <v>0</v>
      </c>
      <c r="K592" s="7">
        <f t="shared" si="192"/>
        <v>70268</v>
      </c>
      <c r="L592" s="7">
        <f t="shared" si="192"/>
        <v>0</v>
      </c>
      <c r="M592" s="7">
        <f>M590</f>
        <v>0</v>
      </c>
      <c r="N592" s="7">
        <f t="shared" si="192"/>
        <v>0</v>
      </c>
      <c r="O592" s="7">
        <f t="shared" si="192"/>
        <v>0</v>
      </c>
      <c r="P592" s="7">
        <f t="shared" si="192"/>
        <v>0</v>
      </c>
      <c r="Q592" s="7">
        <f t="shared" si="192"/>
        <v>0</v>
      </c>
      <c r="R592" s="7"/>
      <c r="S592" s="7"/>
      <c r="T592" s="7"/>
      <c r="U592" s="7">
        <f>SUM(G592:M592)</f>
        <v>11840000</v>
      </c>
      <c r="V592" s="138" t="str">
        <f>IF(ABS(F592-U592)&lt;0.01,"ok","err")</f>
        <v>ok</v>
      </c>
    </row>
    <row r="593" spans="1:22" x14ac:dyDescent="0.25">
      <c r="A593" s="116" t="s">
        <v>321</v>
      </c>
      <c r="D593" s="116" t="s">
        <v>317</v>
      </c>
      <c r="F593" s="7">
        <v>576138</v>
      </c>
      <c r="G593" s="7">
        <f t="shared" ref="G593:M593" si="193">G589</f>
        <v>306513</v>
      </c>
      <c r="H593" s="7">
        <f t="shared" si="193"/>
        <v>148682</v>
      </c>
      <c r="I593" s="7">
        <f t="shared" si="193"/>
        <v>18559</v>
      </c>
      <c r="J593" s="7">
        <f t="shared" si="193"/>
        <v>1191</v>
      </c>
      <c r="K593" s="7">
        <v>101193</v>
      </c>
      <c r="L593" s="7">
        <f t="shared" si="193"/>
        <v>0</v>
      </c>
      <c r="M593" s="7">
        <f t="shared" si="193"/>
        <v>0</v>
      </c>
      <c r="N593" s="7">
        <v>0</v>
      </c>
      <c r="O593" s="7">
        <f>O589</f>
        <v>0</v>
      </c>
      <c r="P593" s="7">
        <f>P589</f>
        <v>0</v>
      </c>
      <c r="Q593" s="7">
        <f>Q589</f>
        <v>0</v>
      </c>
      <c r="R593" s="7"/>
      <c r="S593" s="7"/>
      <c r="T593" s="7"/>
      <c r="U593" s="7">
        <f>SUM(G593:M593)</f>
        <v>576138</v>
      </c>
      <c r="V593" s="138" t="str">
        <f>IF(ABS(F593-U593)&lt;0.01,"ok","err")</f>
        <v>ok</v>
      </c>
    </row>
    <row r="594" spans="1:22" x14ac:dyDescent="0.25">
      <c r="A594" s="116" t="s">
        <v>679</v>
      </c>
      <c r="D594" s="116" t="s">
        <v>318</v>
      </c>
      <c r="F594" s="7">
        <v>576138</v>
      </c>
      <c r="G594" s="7">
        <f t="shared" ref="G594:P594" si="194">G593</f>
        <v>306513</v>
      </c>
      <c r="H594" s="7">
        <f t="shared" si="194"/>
        <v>148682</v>
      </c>
      <c r="I594" s="7">
        <f t="shared" si="194"/>
        <v>18559</v>
      </c>
      <c r="J594" s="7">
        <f t="shared" si="194"/>
        <v>1191</v>
      </c>
      <c r="K594" s="7">
        <f t="shared" si="194"/>
        <v>101193</v>
      </c>
      <c r="L594" s="7">
        <f t="shared" si="194"/>
        <v>0</v>
      </c>
      <c r="M594" s="7">
        <f t="shared" si="194"/>
        <v>0</v>
      </c>
      <c r="N594" s="7">
        <v>0</v>
      </c>
      <c r="O594" s="7">
        <f t="shared" si="194"/>
        <v>0</v>
      </c>
      <c r="P594" s="7">
        <f t="shared" si="194"/>
        <v>0</v>
      </c>
      <c r="Q594" s="7">
        <v>0</v>
      </c>
      <c r="R594" s="7"/>
      <c r="S594" s="7"/>
      <c r="T594" s="7"/>
      <c r="U594" s="7">
        <f>SUM(G594:M594)</f>
        <v>576138</v>
      </c>
      <c r="V594" s="138" t="str">
        <f>IF(ABS(F594-U594)&lt;0.01,"ok","err")</f>
        <v>ok</v>
      </c>
    </row>
    <row r="595" spans="1:22" x14ac:dyDescent="0.25">
      <c r="A595" s="116" t="s">
        <v>678</v>
      </c>
      <c r="D595" s="116" t="s">
        <v>680</v>
      </c>
      <c r="F595" s="7">
        <f>SUM(G595:M595)</f>
        <v>472764</v>
      </c>
      <c r="G595" s="7">
        <v>306513</v>
      </c>
      <c r="H595" s="7">
        <v>148682</v>
      </c>
      <c r="I595" s="7">
        <v>17569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U595" s="7">
        <f>SUM(G595:M595)</f>
        <v>472764</v>
      </c>
      <c r="V595" s="138" t="str">
        <f>IF(ABS(F595-U595)&lt;0.01,"ok","err")</f>
        <v>ok</v>
      </c>
    </row>
    <row r="596" spans="1:22" x14ac:dyDescent="0.25"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U596" s="7"/>
      <c r="V596" s="138"/>
    </row>
    <row r="597" spans="1:22" x14ac:dyDescent="0.25">
      <c r="A597" s="110" t="s">
        <v>866</v>
      </c>
      <c r="F597" s="137"/>
      <c r="G597" s="137"/>
      <c r="U597" s="7"/>
    </row>
    <row r="598" spans="1:22" x14ac:dyDescent="0.25">
      <c r="A598" s="116" t="s">
        <v>865</v>
      </c>
      <c r="F598" s="7">
        <v>324430.61538461538</v>
      </c>
      <c r="G598" s="7">
        <v>298995.53846153844</v>
      </c>
      <c r="H598" s="7">
        <v>25100.615384615383</v>
      </c>
      <c r="I598" s="7">
        <v>252.46153846153845</v>
      </c>
      <c r="J598" s="7">
        <v>5</v>
      </c>
      <c r="K598" s="7">
        <v>77</v>
      </c>
      <c r="L598" s="7"/>
      <c r="M598" s="7"/>
      <c r="N598" s="7"/>
      <c r="O598" s="7"/>
      <c r="P598" s="7"/>
      <c r="Q598" s="7"/>
      <c r="R598" s="7"/>
      <c r="S598" s="7"/>
      <c r="T598" s="7"/>
      <c r="U598" s="7">
        <f t="shared" ref="U598" si="195">SUM(G598:M598)</f>
        <v>324430.61538461538</v>
      </c>
      <c r="V598" s="138" t="str">
        <f t="shared" ref="V598" si="196">IF(ABS(F598-U598)&lt;0.01,"ok","err")</f>
        <v>ok</v>
      </c>
    </row>
    <row r="599" spans="1:22" x14ac:dyDescent="0.25">
      <c r="A599" s="116" t="s">
        <v>864</v>
      </c>
      <c r="D599" s="116" t="s">
        <v>867</v>
      </c>
      <c r="F599" s="7">
        <f>SUM(G599:M599)</f>
        <v>324430.61538461538</v>
      </c>
      <c r="G599" s="7">
        <f>G598</f>
        <v>298995.53846153844</v>
      </c>
      <c r="H599" s="7">
        <f>H598</f>
        <v>25100.615384615383</v>
      </c>
      <c r="I599" s="7">
        <f>I598</f>
        <v>252.46153846153845</v>
      </c>
      <c r="J599" s="7">
        <f>J598</f>
        <v>5</v>
      </c>
      <c r="K599" s="7">
        <f>K598</f>
        <v>77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/>
      <c r="S599" s="7"/>
      <c r="T599" s="7"/>
      <c r="U599" s="7">
        <f t="shared" ref="U599" si="197">SUM(G599:M599)</f>
        <v>324430.61538461538</v>
      </c>
      <c r="V599" s="138" t="str">
        <f t="shared" ref="V599" si="198">IF(ABS(F599-U599)&lt;0.01,"ok","err")</f>
        <v>ok</v>
      </c>
    </row>
    <row r="600" spans="1:22" x14ac:dyDescent="0.25">
      <c r="A600" s="116" t="s">
        <v>842</v>
      </c>
      <c r="D600" s="116" t="s">
        <v>868</v>
      </c>
      <c r="F600" s="7">
        <f>SUM(G600:M600)</f>
        <v>324341.61538461538</v>
      </c>
      <c r="G600" s="7">
        <f>G599</f>
        <v>298995.53846153844</v>
      </c>
      <c r="H600" s="7">
        <f>H599</f>
        <v>25100.615384615383</v>
      </c>
      <c r="I600" s="7">
        <f>I599-7</f>
        <v>245.46153846153845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/>
      <c r="S600" s="7"/>
      <c r="T600" s="7"/>
      <c r="U600" s="7">
        <f>SUM(G600:M600)</f>
        <v>324341.61538461538</v>
      </c>
      <c r="V600" s="138" t="str">
        <f>IF(ABS(F600-U600)&lt;0.01,"ok","err")</f>
        <v>ok</v>
      </c>
    </row>
    <row r="601" spans="1:22" x14ac:dyDescent="0.25">
      <c r="A601" s="116" t="s">
        <v>12</v>
      </c>
      <c r="D601" s="116" t="s">
        <v>869</v>
      </c>
      <c r="F601" s="7">
        <f>F602</f>
        <v>350481.69230769225</v>
      </c>
      <c r="G601" s="7">
        <f t="shared" ref="G601:M601" si="199">G602</f>
        <v>298995.53846153844</v>
      </c>
      <c r="H601" s="7">
        <f t="shared" si="199"/>
        <v>50201.230769230766</v>
      </c>
      <c r="I601" s="7">
        <f t="shared" si="199"/>
        <v>504.92307692307691</v>
      </c>
      <c r="J601" s="7">
        <f t="shared" si="199"/>
        <v>10</v>
      </c>
      <c r="K601" s="7">
        <f t="shared" si="199"/>
        <v>770</v>
      </c>
      <c r="L601" s="7">
        <f t="shared" si="199"/>
        <v>0</v>
      </c>
      <c r="M601" s="7">
        <f t="shared" si="199"/>
        <v>0</v>
      </c>
      <c r="N601" s="7">
        <v>0</v>
      </c>
      <c r="O601" s="7">
        <f>O602</f>
        <v>0</v>
      </c>
      <c r="P601" s="7">
        <f>P602</f>
        <v>0</v>
      </c>
      <c r="Q601" s="7">
        <f>Q602</f>
        <v>0</v>
      </c>
      <c r="R601" s="7">
        <v>0</v>
      </c>
      <c r="S601" s="7">
        <v>0</v>
      </c>
      <c r="T601" s="7">
        <v>0</v>
      </c>
      <c r="U601" s="7">
        <f>SUM(G601:M601)</f>
        <v>350481.69230769225</v>
      </c>
      <c r="V601" s="138" t="str">
        <f>IF(ABS(F601-U601)&lt;0.0001,"ok","err")</f>
        <v>ok</v>
      </c>
    </row>
    <row r="602" spans="1:22" x14ac:dyDescent="0.25">
      <c r="A602" s="116" t="s">
        <v>13</v>
      </c>
      <c r="D602" s="116" t="s">
        <v>870</v>
      </c>
      <c r="F602" s="7">
        <f>U602</f>
        <v>350481.69230769225</v>
      </c>
      <c r="G602" s="7">
        <f>G598*1</f>
        <v>298995.53846153844</v>
      </c>
      <c r="H602" s="7">
        <f>H598*2</f>
        <v>50201.230769230766</v>
      </c>
      <c r="I602" s="7">
        <f>I598*2</f>
        <v>504.92307692307691</v>
      </c>
      <c r="J602" s="7">
        <f>J598*2</f>
        <v>10</v>
      </c>
      <c r="K602" s="7">
        <f>K598*10</f>
        <v>770</v>
      </c>
      <c r="L602" s="7">
        <f>L605*50</f>
        <v>0</v>
      </c>
      <c r="M602" s="7">
        <f>M605*50</f>
        <v>0</v>
      </c>
      <c r="N602" s="7">
        <v>0</v>
      </c>
      <c r="O602" s="7">
        <f>O605*20</f>
        <v>0</v>
      </c>
      <c r="P602" s="7">
        <f>P605*20</f>
        <v>0</v>
      </c>
      <c r="Q602" s="7">
        <f>Q605*20</f>
        <v>0</v>
      </c>
      <c r="R602" s="7"/>
      <c r="S602" s="7"/>
      <c r="T602" s="7"/>
      <c r="U602" s="7">
        <f>SUM(G602:M602)</f>
        <v>350481.69230769225</v>
      </c>
      <c r="V602" s="138" t="str">
        <f>IF(ABS(F602-U602)&lt;0.01,"ok","err")</f>
        <v>ok</v>
      </c>
    </row>
    <row r="604" spans="1:22" x14ac:dyDescent="0.25">
      <c r="A604" s="110" t="s">
        <v>871</v>
      </c>
    </row>
    <row r="605" spans="1:22" x14ac:dyDescent="0.25">
      <c r="A605" s="116" t="s">
        <v>863</v>
      </c>
      <c r="F605" s="7">
        <v>324393.66666666663</v>
      </c>
      <c r="G605" s="7">
        <v>298980.08333333331</v>
      </c>
      <c r="H605" s="7">
        <v>25079.083333333332</v>
      </c>
      <c r="I605" s="7">
        <v>252.5</v>
      </c>
      <c r="J605" s="7">
        <v>5</v>
      </c>
      <c r="K605" s="7">
        <v>77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/>
      <c r="S605" s="7"/>
      <c r="T605" s="7"/>
      <c r="U605" s="7">
        <f>SUM(G605:M605)</f>
        <v>324393.66666666663</v>
      </c>
      <c r="V605" s="138" t="str">
        <f>IF(ABS(F605-U605)&lt;0.01,"ok","err")</f>
        <v>ok</v>
      </c>
    </row>
    <row r="606" spans="1:22" x14ac:dyDescent="0.25">
      <c r="A606" s="116" t="s">
        <v>864</v>
      </c>
      <c r="D606" s="116" t="s">
        <v>872</v>
      </c>
      <c r="F606" s="7">
        <f>SUM(G606:M606)</f>
        <v>324393.66666666663</v>
      </c>
      <c r="G606" s="7">
        <f>G605</f>
        <v>298980.08333333331</v>
      </c>
      <c r="H606" s="7">
        <f t="shared" ref="H606:K606" si="200">H605</f>
        <v>25079.083333333332</v>
      </c>
      <c r="I606" s="7">
        <f t="shared" si="200"/>
        <v>252.5</v>
      </c>
      <c r="J606" s="7">
        <f t="shared" si="200"/>
        <v>5</v>
      </c>
      <c r="K606" s="7">
        <f t="shared" si="200"/>
        <v>77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/>
      <c r="S606" s="7"/>
      <c r="T606" s="7"/>
      <c r="U606" s="7">
        <f t="shared" ref="U606" si="201">SUM(G606:M606)</f>
        <v>324393.66666666663</v>
      </c>
      <c r="V606" s="138" t="str">
        <f t="shared" ref="V606" si="202">IF(ABS(F606-U606)&lt;0.01,"ok","err")</f>
        <v>ok</v>
      </c>
    </row>
    <row r="607" spans="1:22" x14ac:dyDescent="0.25">
      <c r="A607" s="116" t="s">
        <v>842</v>
      </c>
      <c r="D607" s="116" t="s">
        <v>873</v>
      </c>
      <c r="F607" s="7">
        <f>SUM(G607:M607)</f>
        <v>324304.66666666663</v>
      </c>
      <c r="G607" s="7">
        <f>G606</f>
        <v>298980.08333333331</v>
      </c>
      <c r="H607" s="7">
        <f>H606</f>
        <v>25079.083333333332</v>
      </c>
      <c r="I607" s="7">
        <f>I606-7</f>
        <v>245.5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/>
      <c r="S607" s="7"/>
      <c r="T607" s="7"/>
      <c r="U607" s="7">
        <f>SUM(G607:M607)</f>
        <v>324304.66666666663</v>
      </c>
      <c r="V607" s="138" t="str">
        <f>IF(ABS(F607-U607)&lt;0.01,"ok","err")</f>
        <v>ok</v>
      </c>
    </row>
    <row r="608" spans="1:22" x14ac:dyDescent="0.25">
      <c r="A608" s="116" t="s">
        <v>12</v>
      </c>
      <c r="D608" s="116" t="s">
        <v>874</v>
      </c>
      <c r="F608" s="7">
        <f>F609</f>
        <v>350423.25</v>
      </c>
      <c r="G608" s="7">
        <f t="shared" ref="G608:M608" si="203">G609</f>
        <v>298980.08333333331</v>
      </c>
      <c r="H608" s="7">
        <f t="shared" si="203"/>
        <v>50158.166666666664</v>
      </c>
      <c r="I608" s="7">
        <f t="shared" si="203"/>
        <v>505</v>
      </c>
      <c r="J608" s="7">
        <f t="shared" si="203"/>
        <v>10</v>
      </c>
      <c r="K608" s="7">
        <f t="shared" si="203"/>
        <v>770</v>
      </c>
      <c r="L608" s="7">
        <f t="shared" si="203"/>
        <v>0</v>
      </c>
      <c r="M608" s="7">
        <f t="shared" si="203"/>
        <v>0</v>
      </c>
      <c r="N608" s="7">
        <v>0</v>
      </c>
      <c r="O608" s="7">
        <f>O609</f>
        <v>0</v>
      </c>
      <c r="P608" s="7">
        <f>P609</f>
        <v>0</v>
      </c>
      <c r="Q608" s="7">
        <f>Q609</f>
        <v>0</v>
      </c>
      <c r="R608" s="7">
        <v>0</v>
      </c>
      <c r="S608" s="7">
        <v>0</v>
      </c>
      <c r="T608" s="7">
        <v>0</v>
      </c>
      <c r="U608" s="7">
        <f t="shared" ref="U608:U609" si="204">SUM(G608:M608)</f>
        <v>350423.25</v>
      </c>
      <c r="V608" s="138" t="str">
        <f>IF(ABS(F608-U608)&lt;0.0001,"ok","err")</f>
        <v>ok</v>
      </c>
    </row>
    <row r="609" spans="1:22" x14ac:dyDescent="0.25">
      <c r="A609" s="116" t="s">
        <v>13</v>
      </c>
      <c r="D609" s="116" t="s">
        <v>875</v>
      </c>
      <c r="F609" s="7">
        <f>U609</f>
        <v>350423.25</v>
      </c>
      <c r="G609" s="7">
        <f>G605*1</f>
        <v>298980.08333333331</v>
      </c>
      <c r="H609" s="7">
        <f>H605*2</f>
        <v>50158.166666666664</v>
      </c>
      <c r="I609" s="7">
        <f>I605*2</f>
        <v>505</v>
      </c>
      <c r="J609" s="7">
        <f>J605*2</f>
        <v>10</v>
      </c>
      <c r="K609" s="7">
        <f>K605*10</f>
        <v>770</v>
      </c>
      <c r="L609" s="7">
        <f>L607*50</f>
        <v>0</v>
      </c>
      <c r="M609" s="7">
        <f>M607*50</f>
        <v>0</v>
      </c>
      <c r="N609" s="7">
        <v>0</v>
      </c>
      <c r="O609" s="7">
        <f>O607*20</f>
        <v>0</v>
      </c>
      <c r="P609" s="7">
        <f>P607*20</f>
        <v>0</v>
      </c>
      <c r="Q609" s="7">
        <f>Q607*20</f>
        <v>0</v>
      </c>
      <c r="R609" s="7"/>
      <c r="S609" s="7"/>
      <c r="T609" s="7"/>
      <c r="U609" s="7">
        <f t="shared" si="204"/>
        <v>350423.25</v>
      </c>
      <c r="V609" s="138" t="str">
        <f t="shared" ref="V609" si="205">IF(ABS(F609-U609)&lt;0.01,"ok","err")</f>
        <v>ok</v>
      </c>
    </row>
    <row r="610" spans="1:22" x14ac:dyDescent="0.25">
      <c r="F610" s="7"/>
      <c r="G610" s="7"/>
      <c r="H610" s="7"/>
      <c r="I610" s="7"/>
      <c r="J610" s="7"/>
      <c r="K610" s="7"/>
      <c r="L610" s="7"/>
      <c r="M610" s="7"/>
      <c r="N610" s="139"/>
      <c r="O610" s="139"/>
      <c r="P610" s="139"/>
      <c r="Q610" s="139"/>
      <c r="R610" s="7"/>
      <c r="S610" s="7"/>
      <c r="T610" s="7"/>
      <c r="U610" s="7"/>
      <c r="V610" s="138"/>
    </row>
    <row r="611" spans="1:22" x14ac:dyDescent="0.25">
      <c r="F611" s="7"/>
      <c r="G611" s="7"/>
      <c r="H611" s="7"/>
      <c r="I611" s="7"/>
      <c r="J611" s="7"/>
      <c r="K611" s="7"/>
      <c r="L611" s="7"/>
      <c r="M611" s="7"/>
      <c r="N611" s="139"/>
      <c r="O611" s="139"/>
      <c r="P611" s="139"/>
      <c r="Q611" s="139"/>
      <c r="R611" s="7"/>
      <c r="S611" s="7"/>
      <c r="T611" s="7"/>
      <c r="U611" s="7"/>
      <c r="V611" s="138"/>
    </row>
    <row r="612" spans="1:22" x14ac:dyDescent="0.25">
      <c r="A612" s="116" t="s">
        <v>10</v>
      </c>
      <c r="D612" s="116" t="s">
        <v>319</v>
      </c>
      <c r="F612" s="7">
        <f t="shared" ref="F612:M612" si="206">F635</f>
        <v>291897258.96923077</v>
      </c>
      <c r="G612" s="7">
        <f t="shared" si="206"/>
        <v>215982417.16307691</v>
      </c>
      <c r="H612" s="7">
        <f t="shared" si="206"/>
        <v>73923822.369230762</v>
      </c>
      <c r="I612" s="7">
        <f t="shared" si="206"/>
        <v>1502880.8169230768</v>
      </c>
      <c r="J612" s="7">
        <f t="shared" si="206"/>
        <v>29764.55</v>
      </c>
      <c r="K612" s="7">
        <f t="shared" si="206"/>
        <v>458374.07</v>
      </c>
      <c r="L612" s="7">
        <f t="shared" si="206"/>
        <v>0</v>
      </c>
      <c r="M612" s="7">
        <f t="shared" si="206"/>
        <v>0</v>
      </c>
      <c r="N612" s="7">
        <v>0</v>
      </c>
      <c r="O612" s="7">
        <f t="shared" ref="O612:T612" si="207">O635</f>
        <v>0</v>
      </c>
      <c r="P612" s="7">
        <f t="shared" si="207"/>
        <v>0</v>
      </c>
      <c r="Q612" s="7">
        <f t="shared" si="207"/>
        <v>0</v>
      </c>
      <c r="R612" s="7">
        <f t="shared" si="207"/>
        <v>0</v>
      </c>
      <c r="S612" s="7">
        <f t="shared" si="207"/>
        <v>0</v>
      </c>
      <c r="T612" s="7">
        <f t="shared" si="207"/>
        <v>0</v>
      </c>
      <c r="U612" s="7">
        <f>SUM(G612:M612)</f>
        <v>291897258.96923077</v>
      </c>
      <c r="V612" s="138" t="str">
        <f>IF(ABS(F612-U612)&lt;0.01,"ok","err")</f>
        <v>ok</v>
      </c>
    </row>
    <row r="613" spans="1:22" x14ac:dyDescent="0.25">
      <c r="A613" s="116" t="s">
        <v>11</v>
      </c>
      <c r="D613" s="116" t="s">
        <v>320</v>
      </c>
      <c r="F613" s="7">
        <v>156342228.99228984</v>
      </c>
      <c r="G613" s="7">
        <v>103186280.82485965</v>
      </c>
      <c r="H613" s="7">
        <v>45254343.433923297</v>
      </c>
      <c r="I613" s="7">
        <v>3414992.2144400007</v>
      </c>
      <c r="J613" s="7">
        <v>18645.135346874988</v>
      </c>
      <c r="K613" s="7">
        <v>4467967.3837200003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f>SUM(G613:M613)</f>
        <v>156342228.99228984</v>
      </c>
      <c r="V613" s="138" t="str">
        <f>IF(ABS(F613-U613)&lt;0.01,"ok","err")</f>
        <v>ok</v>
      </c>
    </row>
    <row r="614" spans="1:22" x14ac:dyDescent="0.25">
      <c r="F614" s="7"/>
      <c r="G614" s="7"/>
      <c r="H614" s="7"/>
      <c r="I614" s="7"/>
      <c r="J614" s="7"/>
      <c r="K614" s="7"/>
      <c r="L614" s="7"/>
      <c r="M614" s="7"/>
      <c r="N614" s="139"/>
      <c r="O614" s="139"/>
      <c r="P614" s="139"/>
      <c r="Q614" s="139"/>
      <c r="R614" s="7"/>
      <c r="S614" s="7"/>
      <c r="T614" s="7"/>
      <c r="U614" s="7"/>
      <c r="V614" s="138"/>
    </row>
    <row r="615" spans="1:22" x14ac:dyDescent="0.25">
      <c r="F615" s="7"/>
      <c r="G615" s="7"/>
      <c r="H615" s="7"/>
      <c r="I615" s="7"/>
      <c r="J615" s="7"/>
      <c r="K615" s="7"/>
      <c r="L615" s="7"/>
      <c r="M615" s="7"/>
      <c r="N615" s="139"/>
      <c r="O615" s="139"/>
      <c r="P615" s="139"/>
      <c r="Q615" s="139"/>
      <c r="R615" s="7"/>
      <c r="S615" s="7"/>
      <c r="T615" s="7"/>
      <c r="U615" s="7"/>
      <c r="V615" s="138"/>
    </row>
    <row r="618" spans="1:22" x14ac:dyDescent="0.25">
      <c r="F618" s="7"/>
      <c r="G618" s="7"/>
      <c r="H618" s="7"/>
      <c r="I618" s="7"/>
      <c r="J618" s="7"/>
      <c r="K618" s="7"/>
      <c r="L618" s="7"/>
      <c r="M618" s="7"/>
      <c r="N618" s="139"/>
      <c r="O618" s="139"/>
      <c r="P618" s="139"/>
      <c r="Q618" s="139"/>
      <c r="R618" s="7"/>
      <c r="S618" s="7"/>
      <c r="T618" s="7"/>
      <c r="U618" s="7"/>
      <c r="V618" s="138"/>
    </row>
    <row r="619" spans="1:22" x14ac:dyDescent="0.25">
      <c r="F619" s="7"/>
      <c r="G619" s="7"/>
      <c r="H619" s="7"/>
      <c r="I619" s="7"/>
      <c r="J619" s="139"/>
      <c r="K619" s="139"/>
      <c r="L619" s="139"/>
      <c r="M619" s="139"/>
      <c r="N619" s="139"/>
      <c r="O619" s="139"/>
      <c r="P619" s="139"/>
      <c r="Q619" s="139"/>
      <c r="R619" s="7"/>
      <c r="S619" s="7"/>
      <c r="T619" s="7"/>
      <c r="U619" s="7"/>
      <c r="V619" s="138"/>
    </row>
    <row r="620" spans="1:22" x14ac:dyDescent="0.25">
      <c r="A620" s="121" t="s">
        <v>659</v>
      </c>
      <c r="F620" s="7"/>
      <c r="G620" s="139"/>
      <c r="H620" s="139"/>
      <c r="I620" s="139"/>
      <c r="J620" s="139"/>
      <c r="K620" s="139"/>
      <c r="L620" s="139"/>
      <c r="M620" s="139"/>
      <c r="N620" s="7"/>
      <c r="O620" s="7"/>
      <c r="P620" s="7"/>
      <c r="Q620" s="7"/>
      <c r="R620" s="7"/>
      <c r="S620" s="7"/>
      <c r="T620" s="7"/>
      <c r="U620" s="139"/>
      <c r="V620" s="109"/>
    </row>
    <row r="621" spans="1:22" x14ac:dyDescent="0.25">
      <c r="H621" s="7"/>
      <c r="I621" s="7"/>
      <c r="J621" s="7"/>
      <c r="K621" s="7"/>
      <c r="L621" s="7"/>
      <c r="M621" s="7"/>
      <c r="U621" s="7"/>
    </row>
    <row r="622" spans="1:22" x14ac:dyDescent="0.25">
      <c r="A622" s="110" t="s">
        <v>303</v>
      </c>
      <c r="U622" s="7"/>
    </row>
    <row r="623" spans="1:22" x14ac:dyDescent="0.25">
      <c r="U623" s="7"/>
    </row>
    <row r="624" spans="1:22" x14ac:dyDescent="0.25">
      <c r="A624" s="116" t="s">
        <v>304</v>
      </c>
      <c r="D624" s="116" t="s">
        <v>308</v>
      </c>
      <c r="F624" s="124">
        <f t="shared" ref="F624:Q624" si="208">F517</f>
        <v>46853069.344652206</v>
      </c>
      <c r="G624" s="124">
        <f t="shared" si="208"/>
        <v>27679316.790644109</v>
      </c>
      <c r="H624" s="124">
        <f t="shared" si="208"/>
        <v>13332305.002621263</v>
      </c>
      <c r="I624" s="124">
        <f t="shared" si="208"/>
        <v>2616782.5917002582</v>
      </c>
      <c r="J624" s="124">
        <f t="shared" si="208"/>
        <v>224099.31844921791</v>
      </c>
      <c r="K624" s="124">
        <f t="shared" si="208"/>
        <v>3000565.641237352</v>
      </c>
      <c r="L624" s="124">
        <f t="shared" si="208"/>
        <v>0</v>
      </c>
      <c r="M624" s="124">
        <f t="shared" si="208"/>
        <v>0</v>
      </c>
      <c r="N624" s="124">
        <f t="shared" si="208"/>
        <v>0</v>
      </c>
      <c r="O624" s="124">
        <f t="shared" si="208"/>
        <v>0</v>
      </c>
      <c r="P624" s="124">
        <f t="shared" si="208"/>
        <v>0</v>
      </c>
      <c r="Q624" s="124">
        <f t="shared" si="208"/>
        <v>0</v>
      </c>
      <c r="R624" s="124">
        <v>0</v>
      </c>
      <c r="S624" s="124">
        <v>0</v>
      </c>
      <c r="T624" s="124">
        <v>0</v>
      </c>
      <c r="U624" s="7">
        <f>SUM(G624:M624)</f>
        <v>46853069.344652206</v>
      </c>
      <c r="V624" s="109" t="str">
        <f>IF(ABS(F624-U624)&lt;2,"ok","err")</f>
        <v>ok</v>
      </c>
    </row>
    <row r="625" spans="1:24" x14ac:dyDescent="0.25">
      <c r="U625" s="7"/>
    </row>
    <row r="626" spans="1:24" x14ac:dyDescent="0.25">
      <c r="A626" s="116" t="s">
        <v>651</v>
      </c>
      <c r="D626" s="116" t="s">
        <v>307</v>
      </c>
      <c r="F626" s="123">
        <f t="shared" ref="F626:Q626" si="209">F460</f>
        <v>17528491.233574867</v>
      </c>
      <c r="G626" s="123">
        <f t="shared" si="209"/>
        <v>12836937.229469217</v>
      </c>
      <c r="H626" s="123">
        <f t="shared" si="209"/>
        <v>4109690.9912101785</v>
      </c>
      <c r="I626" s="123">
        <f t="shared" si="209"/>
        <v>274325.55054312776</v>
      </c>
      <c r="J626" s="123">
        <f t="shared" si="209"/>
        <v>3503.539125449156</v>
      </c>
      <c r="K626" s="123">
        <f t="shared" si="209"/>
        <v>304033.92322689865</v>
      </c>
      <c r="L626" s="123">
        <f t="shared" si="209"/>
        <v>0</v>
      </c>
      <c r="M626" s="123">
        <f t="shared" si="209"/>
        <v>0</v>
      </c>
      <c r="N626" s="123">
        <f t="shared" si="209"/>
        <v>0</v>
      </c>
      <c r="O626" s="123">
        <f t="shared" si="209"/>
        <v>0</v>
      </c>
      <c r="P626" s="123">
        <f t="shared" si="209"/>
        <v>0</v>
      </c>
      <c r="Q626" s="123">
        <f t="shared" si="209"/>
        <v>0</v>
      </c>
      <c r="R626" s="123"/>
      <c r="S626" s="123"/>
      <c r="T626" s="123"/>
      <c r="U626" s="7">
        <f>SUM(G626:M626)</f>
        <v>17528491.233574875</v>
      </c>
      <c r="V626" s="109" t="str">
        <f>IF(ABS(F626-U626)&lt;0.01,"ok","err")</f>
        <v>ok</v>
      </c>
    </row>
    <row r="627" spans="1:24" x14ac:dyDescent="0.25">
      <c r="A627" s="116" t="s">
        <v>689</v>
      </c>
      <c r="F627" s="123">
        <v>0</v>
      </c>
      <c r="G627" s="7">
        <f>$F627*(G626/$F626)</f>
        <v>0</v>
      </c>
      <c r="H627" s="7">
        <f t="shared" ref="H627:Q627" si="210">$F627*(H626/$F626)</f>
        <v>0</v>
      </c>
      <c r="I627" s="7">
        <f t="shared" si="210"/>
        <v>0</v>
      </c>
      <c r="J627" s="7">
        <f t="shared" si="210"/>
        <v>0</v>
      </c>
      <c r="K627" s="7">
        <f t="shared" si="210"/>
        <v>0</v>
      </c>
      <c r="L627" s="7">
        <f t="shared" si="210"/>
        <v>0</v>
      </c>
      <c r="M627" s="7">
        <f t="shared" si="210"/>
        <v>0</v>
      </c>
      <c r="N627" s="7">
        <f t="shared" si="210"/>
        <v>0</v>
      </c>
      <c r="O627" s="7">
        <f t="shared" si="210"/>
        <v>0</v>
      </c>
      <c r="P627" s="7">
        <f t="shared" si="210"/>
        <v>0</v>
      </c>
      <c r="Q627" s="7">
        <f t="shared" si="210"/>
        <v>0</v>
      </c>
      <c r="R627" s="123"/>
      <c r="S627" s="123"/>
      <c r="T627" s="123"/>
      <c r="U627" s="7">
        <f>SUM(G627:M627)</f>
        <v>0</v>
      </c>
      <c r="V627" s="109" t="str">
        <f>IF(ABS(F627-U627)&lt;0.01,"ok","err")</f>
        <v>ok</v>
      </c>
    </row>
    <row r="628" spans="1:24" x14ac:dyDescent="0.25">
      <c r="U628" s="7"/>
    </row>
    <row r="629" spans="1:24" x14ac:dyDescent="0.25">
      <c r="A629" s="116" t="s">
        <v>303</v>
      </c>
      <c r="D629" s="116" t="s">
        <v>306</v>
      </c>
      <c r="F629" s="124">
        <f>F624-F626-F627</f>
        <v>29324578.111077338</v>
      </c>
      <c r="G629" s="124">
        <f t="shared" ref="G629:Q629" si="211">G624-G626-G627</f>
        <v>14842379.561174892</v>
      </c>
      <c r="H629" s="124">
        <f t="shared" si="211"/>
        <v>9222614.0114110857</v>
      </c>
      <c r="I629" s="124">
        <f t="shared" si="211"/>
        <v>2342457.0411571306</v>
      </c>
      <c r="J629" s="124">
        <f t="shared" si="211"/>
        <v>220595.77932376874</v>
      </c>
      <c r="K629" s="124">
        <f t="shared" si="211"/>
        <v>2696531.7180104535</v>
      </c>
      <c r="L629" s="124">
        <f t="shared" si="211"/>
        <v>0</v>
      </c>
      <c r="M629" s="124">
        <f t="shared" si="211"/>
        <v>0</v>
      </c>
      <c r="N629" s="124">
        <f t="shared" si="211"/>
        <v>0</v>
      </c>
      <c r="O629" s="124">
        <f t="shared" si="211"/>
        <v>0</v>
      </c>
      <c r="P629" s="124">
        <f t="shared" si="211"/>
        <v>0</v>
      </c>
      <c r="Q629" s="124">
        <f t="shared" si="211"/>
        <v>0</v>
      </c>
      <c r="R629" s="124"/>
      <c r="S629" s="124"/>
      <c r="T629" s="124"/>
      <c r="U629" s="7">
        <f>SUM(G629:M629)</f>
        <v>29324578.111077331</v>
      </c>
      <c r="V629" s="109" t="str">
        <f>IF(ABS(F629-U629)&lt;2,"ok","err")</f>
        <v>ok</v>
      </c>
    </row>
    <row r="630" spans="1:24" x14ac:dyDescent="0.25">
      <c r="U630" s="7"/>
    </row>
    <row r="631" spans="1:24" x14ac:dyDescent="0.25">
      <c r="A631" s="116" t="s">
        <v>666</v>
      </c>
      <c r="D631" s="116" t="s">
        <v>667</v>
      </c>
      <c r="F631" s="124">
        <f t="shared" ref="F631:Q631" si="212">F119+F122+F129+F132+F135</f>
        <v>44251670.43053776</v>
      </c>
      <c r="G631" s="124">
        <f t="shared" si="212"/>
        <v>32885935.12322329</v>
      </c>
      <c r="H631" s="124">
        <f t="shared" si="212"/>
        <v>9042286.304791145</v>
      </c>
      <c r="I631" s="124">
        <f t="shared" si="212"/>
        <v>695991.79978182132</v>
      </c>
      <c r="J631" s="124">
        <f t="shared" si="212"/>
        <v>20555.50738159156</v>
      </c>
      <c r="K631" s="124">
        <f t="shared" si="212"/>
        <v>1606901.6953599153</v>
      </c>
      <c r="L631" s="124">
        <f t="shared" si="212"/>
        <v>0</v>
      </c>
      <c r="M631" s="124">
        <f t="shared" si="212"/>
        <v>0</v>
      </c>
      <c r="N631" s="124">
        <f t="shared" si="212"/>
        <v>0</v>
      </c>
      <c r="O631" s="124">
        <f t="shared" si="212"/>
        <v>0</v>
      </c>
      <c r="P631" s="124">
        <f t="shared" si="212"/>
        <v>0</v>
      </c>
      <c r="Q631" s="124">
        <f t="shared" si="212"/>
        <v>0</v>
      </c>
      <c r="U631" s="7">
        <f>SUM(G631:M631)</f>
        <v>44251670.43053776</v>
      </c>
    </row>
    <row r="632" spans="1:24" x14ac:dyDescent="0.25">
      <c r="U632" s="7"/>
    </row>
    <row r="633" spans="1:24" x14ac:dyDescent="0.25">
      <c r="A633" s="116" t="s">
        <v>322</v>
      </c>
      <c r="F633" s="137">
        <f t="shared" ref="F633:T633" si="213">F599</f>
        <v>324430.61538461538</v>
      </c>
      <c r="G633" s="137">
        <f t="shared" si="213"/>
        <v>298995.53846153844</v>
      </c>
      <c r="H633" s="137">
        <f t="shared" si="213"/>
        <v>25100.615384615383</v>
      </c>
      <c r="I633" s="137">
        <f t="shared" si="213"/>
        <v>252.46153846153845</v>
      </c>
      <c r="J633" s="137">
        <f t="shared" si="213"/>
        <v>5</v>
      </c>
      <c r="K633" s="137">
        <f t="shared" si="213"/>
        <v>77</v>
      </c>
      <c r="L633" s="137">
        <f t="shared" si="213"/>
        <v>0</v>
      </c>
      <c r="M633" s="137">
        <f t="shared" si="213"/>
        <v>0</v>
      </c>
      <c r="N633" s="137">
        <f t="shared" si="213"/>
        <v>0</v>
      </c>
      <c r="O633" s="137">
        <f t="shared" si="213"/>
        <v>0</v>
      </c>
      <c r="P633" s="137">
        <f t="shared" si="213"/>
        <v>0</v>
      </c>
      <c r="Q633" s="137">
        <f t="shared" si="213"/>
        <v>0</v>
      </c>
      <c r="R633" s="137">
        <f t="shared" si="213"/>
        <v>0</v>
      </c>
      <c r="S633" s="137">
        <f t="shared" si="213"/>
        <v>0</v>
      </c>
      <c r="T633" s="137">
        <f t="shared" si="213"/>
        <v>0</v>
      </c>
      <c r="U633" s="7">
        <f>SUM(G633:M633)</f>
        <v>324430.61538461538</v>
      </c>
      <c r="V633" s="109" t="str">
        <f>IF(ABS(F633-U633)&lt;0.01,"ok","err")</f>
        <v>ok</v>
      </c>
    </row>
    <row r="634" spans="1:24" x14ac:dyDescent="0.25">
      <c r="G634" s="141"/>
      <c r="U634" s="7"/>
    </row>
    <row r="635" spans="1:24" x14ac:dyDescent="0.25">
      <c r="A635" s="116" t="s">
        <v>681</v>
      </c>
      <c r="F635" s="137">
        <v>291897258.96923077</v>
      </c>
      <c r="G635" s="7">
        <f>G598*G636</f>
        <v>215982417.16307691</v>
      </c>
      <c r="H635" s="7">
        <f>H598*H636</f>
        <v>73923822.369230762</v>
      </c>
      <c r="I635" s="7">
        <f>I598*I636</f>
        <v>1502880.8169230768</v>
      </c>
      <c r="J635" s="7">
        <f>J598*J636</f>
        <v>29764.55</v>
      </c>
      <c r="K635" s="7">
        <f>K598*K636</f>
        <v>458374.07</v>
      </c>
      <c r="L635" s="7">
        <v>0</v>
      </c>
      <c r="M635" s="7">
        <f t="shared" ref="M635:Q635" si="214">$F635*M636</f>
        <v>0</v>
      </c>
      <c r="N635" s="7">
        <f t="shared" si="214"/>
        <v>0</v>
      </c>
      <c r="O635" s="7">
        <f t="shared" si="214"/>
        <v>0</v>
      </c>
      <c r="P635" s="7">
        <f t="shared" si="214"/>
        <v>0</v>
      </c>
      <c r="Q635" s="7">
        <f t="shared" si="214"/>
        <v>0</v>
      </c>
      <c r="R635" s="137">
        <f>R633*R634</f>
        <v>0</v>
      </c>
      <c r="S635" s="137">
        <f>S633*S634</f>
        <v>0</v>
      </c>
      <c r="T635" s="137">
        <f>T633*T634</f>
        <v>0</v>
      </c>
      <c r="U635" s="7">
        <f>SUM(G635:M635)</f>
        <v>291897258.96923077</v>
      </c>
      <c r="V635" s="109" t="str">
        <f>IF(ABS(F635-U635)&lt;0.01,"ok","err")</f>
        <v>ok</v>
      </c>
    </row>
    <row r="636" spans="1:24" x14ac:dyDescent="0.25">
      <c r="G636" s="175">
        <v>722.36</v>
      </c>
      <c r="H636" s="175">
        <f>(1265.72+4624.48)/2</f>
        <v>2945.1</v>
      </c>
      <c r="I636" s="175">
        <v>5952.91</v>
      </c>
      <c r="J636" s="175">
        <v>5952.91</v>
      </c>
      <c r="K636" s="175">
        <v>5952.91</v>
      </c>
      <c r="L636" s="139">
        <v>0</v>
      </c>
      <c r="M636" s="139">
        <v>0</v>
      </c>
      <c r="N636" s="139">
        <v>0</v>
      </c>
      <c r="O636" s="139">
        <f>M636/4</f>
        <v>0</v>
      </c>
      <c r="P636" s="139">
        <f>M636/4</f>
        <v>0</v>
      </c>
      <c r="Q636" s="139">
        <f>M636/2</f>
        <v>0</v>
      </c>
      <c r="U636" s="142">
        <f>SUM(G636:M636)</f>
        <v>21526.19</v>
      </c>
    </row>
    <row r="637" spans="1:24" x14ac:dyDescent="0.25">
      <c r="F637" s="137"/>
      <c r="G637" s="7"/>
      <c r="H637" s="7"/>
      <c r="I637" s="7"/>
      <c r="J637" s="7"/>
      <c r="K637" s="7"/>
      <c r="L637" s="7"/>
      <c r="M637" s="7"/>
      <c r="U637" s="139"/>
    </row>
    <row r="638" spans="1:24" s="7" customFormat="1" x14ac:dyDescent="0.25">
      <c r="A638" s="116" t="s">
        <v>688</v>
      </c>
      <c r="D638" s="143" t="s">
        <v>767</v>
      </c>
      <c r="F638" s="7">
        <v>326874820.25007921</v>
      </c>
      <c r="G638" s="7">
        <v>217967718.12771013</v>
      </c>
      <c r="H638" s="7">
        <v>90537707.064220667</v>
      </c>
      <c r="I638" s="7">
        <v>10983882.718690034</v>
      </c>
      <c r="J638" s="7">
        <v>832734.57018943038</v>
      </c>
      <c r="K638" s="7">
        <v>6552777.7692689793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U638" s="7">
        <f t="shared" ref="U638:U643" si="215">SUM(G638:M638)</f>
        <v>326874820.25007921</v>
      </c>
      <c r="V638" s="109" t="str">
        <f>IF(ABS(F638-U638)=0,"ok","err")</f>
        <v>ok</v>
      </c>
      <c r="W638" s="124"/>
      <c r="X638" s="109"/>
    </row>
    <row r="639" spans="1:24" x14ac:dyDescent="0.25">
      <c r="A639" s="116" t="s">
        <v>694</v>
      </c>
      <c r="D639" s="129" t="s">
        <v>684</v>
      </c>
      <c r="F639" s="7">
        <v>2269120.6106244843</v>
      </c>
      <c r="G639" s="7">
        <v>1435561.3472547519</v>
      </c>
      <c r="H639" s="7">
        <f>824766.328939773+74.72</f>
        <v>824841.048939773</v>
      </c>
      <c r="I639" s="7">
        <v>0</v>
      </c>
      <c r="J639" s="7">
        <v>8718.2144299590746</v>
      </c>
      <c r="K639" s="7">
        <v>0</v>
      </c>
      <c r="L639" s="7">
        <v>0</v>
      </c>
      <c r="M639" s="7"/>
      <c r="N639" s="7">
        <v>0</v>
      </c>
      <c r="O639" s="7">
        <v>0</v>
      </c>
      <c r="P639" s="7">
        <v>0</v>
      </c>
      <c r="Q639" s="7">
        <v>0</v>
      </c>
      <c r="R639" s="137"/>
      <c r="S639" s="137"/>
      <c r="T639" s="137"/>
      <c r="U639" s="7">
        <f t="shared" si="215"/>
        <v>2269120.6106244843</v>
      </c>
      <c r="V639" s="109" t="str">
        <f>IF(ABS(F639-U639)=0,"ok","err")</f>
        <v>ok</v>
      </c>
    </row>
    <row r="640" spans="1:24" x14ac:dyDescent="0.25">
      <c r="A640" s="116" t="s">
        <v>662</v>
      </c>
      <c r="D640" s="116" t="s">
        <v>663</v>
      </c>
      <c r="F640" s="7">
        <v>1177077.95</v>
      </c>
      <c r="G640" s="7">
        <v>960120.77</v>
      </c>
      <c r="H640" s="7">
        <v>202313.21</v>
      </c>
      <c r="I640" s="7">
        <v>14643.97</v>
      </c>
      <c r="J640" s="7">
        <v>0</v>
      </c>
      <c r="K640" s="7"/>
      <c r="L640" s="7">
        <v>0</v>
      </c>
      <c r="M640" s="7">
        <v>0</v>
      </c>
      <c r="N640" s="139">
        <v>0</v>
      </c>
      <c r="O640" s="139">
        <v>0</v>
      </c>
      <c r="P640" s="139">
        <v>0</v>
      </c>
      <c r="Q640" s="139">
        <v>0</v>
      </c>
      <c r="R640" s="7"/>
      <c r="S640" s="7"/>
      <c r="T640" s="7"/>
      <c r="U640" s="7">
        <f>SUM(G640:M640)</f>
        <v>1177077.95</v>
      </c>
      <c r="V640" s="138" t="str">
        <f>IF(ABS(F640-U640)=0,"ok","err")</f>
        <v>ok</v>
      </c>
    </row>
    <row r="641" spans="1:25" x14ac:dyDescent="0.25">
      <c r="A641" s="116" t="s">
        <v>713</v>
      </c>
      <c r="D641" s="129" t="s">
        <v>712</v>
      </c>
      <c r="F641" s="7">
        <v>83828.7</v>
      </c>
      <c r="G641" s="7">
        <v>57772</v>
      </c>
      <c r="H641" s="7">
        <v>24770.18</v>
      </c>
      <c r="I641" s="7">
        <v>1286.52</v>
      </c>
      <c r="J641" s="7"/>
      <c r="K641" s="7"/>
      <c r="L641" s="7"/>
      <c r="M641" s="7"/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f t="shared" si="215"/>
        <v>83828.7</v>
      </c>
      <c r="V641" s="109" t="str">
        <f>IF(ABS(F641-U641)=0,"ok","err")</f>
        <v>ok</v>
      </c>
      <c r="Y641" s="137"/>
    </row>
    <row r="642" spans="1:25" x14ac:dyDescent="0.25">
      <c r="A642" s="116" t="s">
        <v>766</v>
      </c>
      <c r="D642" s="129" t="s">
        <v>765</v>
      </c>
      <c r="F642" s="7">
        <v>123682587.1844966</v>
      </c>
      <c r="G642" s="7">
        <v>78109569.320744142</v>
      </c>
      <c r="H642" s="7">
        <f>39681903.348993+6210.11</f>
        <v>39688113.458993003</v>
      </c>
      <c r="I642" s="7">
        <f>5367345.91096048+29.95</f>
        <v>5367375.8609604798</v>
      </c>
      <c r="J642" s="7">
        <v>517528.5437989661</v>
      </c>
      <c r="K642" s="7"/>
      <c r="L642" s="7">
        <v>0</v>
      </c>
      <c r="M642" s="7">
        <v>0</v>
      </c>
      <c r="N642" s="7"/>
      <c r="O642" s="7">
        <v>0</v>
      </c>
      <c r="P642" s="7">
        <v>0</v>
      </c>
      <c r="Q642" s="7">
        <v>0</v>
      </c>
      <c r="U642" s="7">
        <f>SUM(G642:M642)</f>
        <v>123682587.1844966</v>
      </c>
      <c r="V642" s="109" t="s">
        <v>0</v>
      </c>
    </row>
    <row r="643" spans="1:25" x14ac:dyDescent="0.25">
      <c r="A643" s="116" t="s">
        <v>855</v>
      </c>
      <c r="D643" s="129" t="s">
        <v>856</v>
      </c>
      <c r="F643" s="7">
        <v>14201945.988532811</v>
      </c>
      <c r="G643" s="7">
        <v>9542287.5096951965</v>
      </c>
      <c r="H643" s="7">
        <v>4023411.2985513452</v>
      </c>
      <c r="I643" s="7">
        <v>515213.97658613569</v>
      </c>
      <c r="J643" s="7">
        <v>40082.111565497587</v>
      </c>
      <c r="K643" s="7">
        <v>80951.092134637074</v>
      </c>
      <c r="L643" s="7"/>
      <c r="M643" s="7"/>
      <c r="N643" s="7"/>
      <c r="O643" s="7"/>
      <c r="P643" s="7"/>
      <c r="Q643" s="7"/>
      <c r="U643" s="7">
        <f t="shared" si="215"/>
        <v>14201945.988532811</v>
      </c>
      <c r="V643" s="109" t="s">
        <v>0</v>
      </c>
    </row>
    <row r="644" spans="1:25" x14ac:dyDescent="0.25">
      <c r="A644" s="116" t="s">
        <v>763</v>
      </c>
      <c r="D644" s="129" t="s">
        <v>764</v>
      </c>
      <c r="F644" s="7">
        <f t="shared" ref="F644:Q644" si="216">F478+SUM(F495:F508)</f>
        <v>-141624346.17302981</v>
      </c>
      <c r="G644" s="7">
        <f t="shared" si="216"/>
        <v>-90068109.989885256</v>
      </c>
      <c r="H644" s="7">
        <f t="shared" si="216"/>
        <v>-44943717.855326407</v>
      </c>
      <c r="I644" s="7">
        <f t="shared" si="216"/>
        <v>-5932009.0874936208</v>
      </c>
      <c r="J644" s="7">
        <f t="shared" si="216"/>
        <v>-570075.55348996492</v>
      </c>
      <c r="K644" s="7">
        <f t="shared" si="216"/>
        <v>-110433.68683455532</v>
      </c>
      <c r="L644" s="7">
        <f t="shared" si="216"/>
        <v>0</v>
      </c>
      <c r="M644" s="7">
        <f t="shared" si="216"/>
        <v>0</v>
      </c>
      <c r="N644" s="7">
        <f t="shared" si="216"/>
        <v>0</v>
      </c>
      <c r="O644" s="7">
        <f t="shared" si="216"/>
        <v>0</v>
      </c>
      <c r="P644" s="7">
        <f t="shared" si="216"/>
        <v>0</v>
      </c>
      <c r="Q644" s="7">
        <f t="shared" si="216"/>
        <v>0</v>
      </c>
      <c r="U644" s="7">
        <f>SUM(G644:M644)</f>
        <v>-141624346.17302978</v>
      </c>
      <c r="V644" s="109" t="s">
        <v>0</v>
      </c>
    </row>
    <row r="645" spans="1:25" x14ac:dyDescent="0.25">
      <c r="F645" s="137"/>
      <c r="M645" s="137"/>
      <c r="U645" s="7"/>
    </row>
    <row r="646" spans="1:25" x14ac:dyDescent="0.25">
      <c r="A646" s="116" t="s">
        <v>737</v>
      </c>
      <c r="D646" s="116" t="s">
        <v>738</v>
      </c>
      <c r="F646" s="137">
        <f t="shared" ref="F646:M646" si="217">F81+F82</f>
        <v>23346279.952358112</v>
      </c>
      <c r="G646" s="137">
        <f t="shared" si="217"/>
        <v>16813939.936020937</v>
      </c>
      <c r="H646" s="137">
        <f t="shared" si="217"/>
        <v>3987145.4381683622</v>
      </c>
      <c r="I646" s="137">
        <f t="shared" si="217"/>
        <v>397557.81408276892</v>
      </c>
      <c r="J646" s="137">
        <f t="shared" si="217"/>
        <v>25123.406295266203</v>
      </c>
      <c r="K646" s="137">
        <f t="shared" si="217"/>
        <v>2122513.3577907798</v>
      </c>
      <c r="L646" s="137">
        <f t="shared" si="217"/>
        <v>0</v>
      </c>
      <c r="M646" s="137">
        <f t="shared" si="217"/>
        <v>0</v>
      </c>
      <c r="U646" s="7">
        <f>SUM(G646:M646)</f>
        <v>23346279.952358112</v>
      </c>
      <c r="V646" s="109" t="s">
        <v>0</v>
      </c>
    </row>
    <row r="647" spans="1:25" x14ac:dyDescent="0.25">
      <c r="U647" s="7"/>
    </row>
    <row r="648" spans="1:25" x14ac:dyDescent="0.25">
      <c r="A648" s="132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8"/>
    </row>
    <row r="649" spans="1:25" x14ac:dyDescent="0.25">
      <c r="A649" s="134"/>
      <c r="B649" s="134"/>
      <c r="C649" s="134"/>
      <c r="D649" s="134"/>
      <c r="E649" s="134"/>
      <c r="F649" s="134"/>
      <c r="G649" s="14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8"/>
    </row>
    <row r="650" spans="1:25" x14ac:dyDescent="0.25">
      <c r="A650" s="132"/>
      <c r="B650" s="134"/>
      <c r="C650" s="134"/>
      <c r="D650" s="134"/>
      <c r="E650" s="134"/>
      <c r="F650" s="134"/>
      <c r="G650" s="8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8"/>
    </row>
    <row r="651" spans="1:25" x14ac:dyDescent="0.25">
      <c r="A651" s="134"/>
      <c r="B651" s="134"/>
      <c r="C651" s="134"/>
      <c r="D651" s="134"/>
      <c r="E651" s="134"/>
      <c r="F651" s="144"/>
      <c r="G651" s="8"/>
      <c r="H651" s="144"/>
      <c r="I651" s="144"/>
      <c r="J651" s="144"/>
      <c r="K651" s="144"/>
      <c r="L651" s="144"/>
      <c r="M651" s="144"/>
      <c r="N651" s="144"/>
      <c r="O651" s="144"/>
      <c r="P651" s="144"/>
      <c r="Q651" s="144"/>
      <c r="R651" s="134"/>
      <c r="S651" s="134"/>
      <c r="T651" s="134"/>
      <c r="U651" s="8"/>
    </row>
    <row r="652" spans="1:25" x14ac:dyDescent="0.25">
      <c r="A652" s="134"/>
      <c r="B652" s="134"/>
      <c r="C652" s="134"/>
      <c r="D652" s="134"/>
      <c r="E652" s="134"/>
      <c r="F652" s="145"/>
      <c r="G652" s="144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34"/>
      <c r="S652" s="134"/>
      <c r="T652" s="134"/>
      <c r="U652" s="8"/>
    </row>
    <row r="653" spans="1:25" x14ac:dyDescent="0.25">
      <c r="A653" s="134"/>
      <c r="B653" s="134"/>
      <c r="C653" s="134"/>
      <c r="D653" s="134"/>
      <c r="E653" s="134"/>
      <c r="F653" s="146"/>
      <c r="G653" s="8"/>
      <c r="H653" s="146"/>
      <c r="I653" s="146"/>
      <c r="J653" s="146"/>
      <c r="K653" s="146"/>
      <c r="L653" s="146"/>
      <c r="M653" s="146"/>
      <c r="N653" s="146"/>
      <c r="O653" s="146"/>
      <c r="P653" s="146"/>
      <c r="Q653" s="146"/>
      <c r="R653" s="134"/>
      <c r="S653" s="134"/>
      <c r="T653" s="134"/>
      <c r="U653" s="8"/>
    </row>
    <row r="654" spans="1:25" x14ac:dyDescent="0.25">
      <c r="A654" s="134"/>
      <c r="B654" s="134"/>
      <c r="C654" s="134"/>
      <c r="D654" s="134"/>
      <c r="E654" s="134"/>
      <c r="F654" s="134"/>
      <c r="G654" s="7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8"/>
    </row>
    <row r="655" spans="1:25" x14ac:dyDescent="0.25">
      <c r="A655" s="134"/>
      <c r="B655" s="134"/>
      <c r="C655" s="134"/>
      <c r="D655" s="134"/>
      <c r="E655" s="134"/>
      <c r="F655" s="144"/>
      <c r="H655" s="144"/>
      <c r="I655" s="144"/>
      <c r="J655" s="144"/>
      <c r="K655" s="144"/>
      <c r="L655" s="144"/>
      <c r="M655" s="144"/>
      <c r="N655" s="144"/>
      <c r="O655" s="144"/>
      <c r="P655" s="144"/>
      <c r="Q655" s="144"/>
      <c r="R655" s="134"/>
      <c r="S655" s="134"/>
      <c r="T655" s="134"/>
      <c r="U655" s="8"/>
    </row>
    <row r="656" spans="1:25" x14ac:dyDescent="0.25">
      <c r="A656" s="134"/>
      <c r="B656" s="134"/>
      <c r="C656" s="134"/>
      <c r="D656" s="134"/>
      <c r="E656" s="134"/>
      <c r="F656" s="8"/>
      <c r="G656" s="7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134"/>
      <c r="S656" s="134"/>
      <c r="T656" s="134"/>
      <c r="U656" s="8"/>
    </row>
    <row r="657" spans="1:21" x14ac:dyDescent="0.25">
      <c r="A657" s="134"/>
      <c r="B657" s="134"/>
      <c r="C657" s="134"/>
      <c r="D657" s="134"/>
      <c r="E657" s="134"/>
      <c r="F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134"/>
      <c r="S657" s="134"/>
      <c r="T657" s="134"/>
      <c r="U657" s="8"/>
    </row>
    <row r="658" spans="1:21" x14ac:dyDescent="0.25">
      <c r="A658" s="134"/>
      <c r="B658" s="134"/>
      <c r="C658" s="134"/>
      <c r="D658" s="134"/>
      <c r="E658" s="134"/>
      <c r="F658" s="8"/>
      <c r="G658" s="124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134"/>
      <c r="S658" s="134"/>
      <c r="T658" s="134"/>
      <c r="U658" s="8"/>
    </row>
    <row r="659" spans="1:21" x14ac:dyDescent="0.25">
      <c r="A659" s="134"/>
      <c r="B659" s="134"/>
      <c r="C659" s="134"/>
      <c r="D659" s="134"/>
      <c r="E659" s="134"/>
      <c r="F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134"/>
      <c r="S659" s="134"/>
      <c r="T659" s="134"/>
      <c r="U659" s="8"/>
    </row>
    <row r="660" spans="1:21" x14ac:dyDescent="0.25">
      <c r="A660" s="134"/>
      <c r="B660" s="134"/>
      <c r="C660" s="134"/>
      <c r="D660" s="134"/>
      <c r="E660" s="134"/>
      <c r="F660" s="134"/>
      <c r="G660" s="136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8"/>
    </row>
    <row r="661" spans="1:21" x14ac:dyDescent="0.25">
      <c r="A661" s="134"/>
      <c r="B661" s="134"/>
      <c r="C661" s="134"/>
      <c r="D661" s="134"/>
      <c r="E661" s="134"/>
      <c r="F661" s="144"/>
      <c r="G661" s="147"/>
      <c r="H661" s="144"/>
      <c r="I661" s="144"/>
      <c r="J661" s="144"/>
      <c r="K661" s="144"/>
      <c r="L661" s="144"/>
      <c r="M661" s="144"/>
      <c r="N661" s="144"/>
      <c r="O661" s="144"/>
      <c r="P661" s="144"/>
      <c r="Q661" s="144"/>
      <c r="R661" s="134"/>
      <c r="S661" s="134"/>
      <c r="T661" s="134"/>
      <c r="U661" s="8"/>
    </row>
    <row r="662" spans="1:21" x14ac:dyDescent="0.25">
      <c r="A662" s="134"/>
      <c r="B662" s="134"/>
      <c r="C662" s="134"/>
      <c r="D662" s="134"/>
      <c r="E662" s="134"/>
      <c r="F662" s="8"/>
      <c r="G662" s="145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134"/>
      <c r="S662" s="134"/>
      <c r="T662" s="134"/>
      <c r="U662" s="8"/>
    </row>
    <row r="663" spans="1:21" x14ac:dyDescent="0.25">
      <c r="A663" s="134"/>
      <c r="B663" s="134"/>
      <c r="C663" s="134"/>
      <c r="D663" s="134"/>
      <c r="E663" s="134"/>
      <c r="F663" s="144"/>
      <c r="H663" s="144"/>
      <c r="I663" s="144"/>
      <c r="J663" s="144"/>
      <c r="K663" s="144"/>
      <c r="L663" s="144"/>
      <c r="M663" s="144"/>
      <c r="N663" s="144"/>
      <c r="O663" s="144"/>
      <c r="P663" s="144"/>
      <c r="Q663" s="144"/>
      <c r="R663" s="134"/>
      <c r="S663" s="134"/>
      <c r="T663" s="134"/>
      <c r="U663" s="8"/>
    </row>
    <row r="664" spans="1:21" x14ac:dyDescent="0.25">
      <c r="A664" s="134"/>
      <c r="B664" s="134"/>
      <c r="C664" s="134"/>
      <c r="D664" s="134"/>
      <c r="E664" s="134"/>
      <c r="F664" s="134"/>
      <c r="G664" s="148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8"/>
    </row>
    <row r="665" spans="1:21" x14ac:dyDescent="0.25">
      <c r="A665" s="134"/>
      <c r="B665" s="134"/>
      <c r="C665" s="134"/>
      <c r="D665" s="134"/>
      <c r="E665" s="134"/>
      <c r="F665" s="149"/>
      <c r="G665" s="137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34"/>
      <c r="S665" s="134"/>
      <c r="T665" s="134"/>
      <c r="U665" s="8"/>
    </row>
    <row r="666" spans="1:21" x14ac:dyDescent="0.25">
      <c r="A666" s="134"/>
      <c r="B666" s="134"/>
      <c r="C666" s="134"/>
      <c r="D666" s="134"/>
      <c r="E666" s="134"/>
      <c r="F666" s="134"/>
      <c r="G666" s="12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8"/>
    </row>
    <row r="667" spans="1:21" x14ac:dyDescent="0.25">
      <c r="A667" s="134"/>
      <c r="B667" s="134"/>
      <c r="C667" s="134"/>
      <c r="D667" s="134"/>
      <c r="E667" s="134"/>
      <c r="F667" s="150"/>
      <c r="G667" s="151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34"/>
      <c r="S667" s="134"/>
      <c r="T667" s="134"/>
      <c r="U667" s="8"/>
    </row>
    <row r="668" spans="1:21" x14ac:dyDescent="0.25">
      <c r="A668" s="134"/>
      <c r="B668" s="134"/>
      <c r="C668" s="134"/>
      <c r="D668" s="134"/>
      <c r="E668" s="134"/>
      <c r="F668" s="152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8"/>
    </row>
    <row r="669" spans="1:21" x14ac:dyDescent="0.25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8"/>
    </row>
    <row r="670" spans="1:21" x14ac:dyDescent="0.25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8"/>
    </row>
    <row r="671" spans="1:21" x14ac:dyDescent="0.25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8"/>
    </row>
    <row r="672" spans="1:21" x14ac:dyDescent="0.25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8"/>
    </row>
    <row r="673" spans="1:21" x14ac:dyDescent="0.25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8"/>
    </row>
    <row r="674" spans="1:21" x14ac:dyDescent="0.25">
      <c r="A674" s="132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8"/>
    </row>
    <row r="675" spans="1:21" x14ac:dyDescent="0.25">
      <c r="A675" s="134"/>
      <c r="B675" s="134"/>
      <c r="C675" s="134"/>
      <c r="D675" s="134"/>
      <c r="E675" s="134"/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34"/>
      <c r="S675" s="134"/>
      <c r="T675" s="134"/>
      <c r="U675" s="8"/>
    </row>
    <row r="676" spans="1:21" x14ac:dyDescent="0.25">
      <c r="A676" s="134"/>
      <c r="B676" s="134"/>
      <c r="C676" s="134"/>
      <c r="D676" s="134"/>
      <c r="E676" s="134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34"/>
      <c r="S676" s="134"/>
      <c r="T676" s="134"/>
      <c r="U676" s="8"/>
    </row>
    <row r="677" spans="1:21" x14ac:dyDescent="0.25">
      <c r="A677" s="134"/>
      <c r="B677" s="134"/>
      <c r="C677" s="134"/>
      <c r="D677" s="134"/>
      <c r="E677" s="134"/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34"/>
      <c r="S677" s="134"/>
      <c r="T677" s="134"/>
      <c r="U677" s="8"/>
    </row>
    <row r="678" spans="1:21" x14ac:dyDescent="0.25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8"/>
    </row>
    <row r="679" spans="1:21" x14ac:dyDescent="0.25">
      <c r="A679" s="134"/>
      <c r="B679" s="134"/>
      <c r="C679" s="134"/>
      <c r="D679" s="134"/>
      <c r="E679" s="134"/>
      <c r="F679" s="144"/>
      <c r="G679" s="144"/>
      <c r="H679" s="144"/>
      <c r="I679" s="144"/>
      <c r="J679" s="144"/>
      <c r="K679" s="144"/>
      <c r="L679" s="144"/>
      <c r="M679" s="144"/>
      <c r="N679" s="144"/>
      <c r="O679" s="144"/>
      <c r="P679" s="144"/>
      <c r="Q679" s="144"/>
      <c r="R679" s="134"/>
      <c r="S679" s="134"/>
      <c r="T679" s="134"/>
      <c r="U679" s="8"/>
    </row>
    <row r="680" spans="1:21" x14ac:dyDescent="0.25">
      <c r="A680" s="134"/>
      <c r="B680" s="134"/>
      <c r="C680" s="134"/>
      <c r="D680" s="134"/>
      <c r="E680" s="134"/>
      <c r="F680" s="149"/>
      <c r="G680" s="149"/>
      <c r="H680" s="149"/>
      <c r="I680" s="149"/>
      <c r="J680" s="149"/>
      <c r="K680" s="149"/>
      <c r="L680" s="149"/>
      <c r="M680" s="149"/>
      <c r="N680" s="149"/>
      <c r="O680" s="149"/>
      <c r="P680" s="149"/>
      <c r="Q680" s="149"/>
      <c r="R680" s="134"/>
      <c r="S680" s="134"/>
      <c r="T680" s="134"/>
      <c r="U680" s="8"/>
    </row>
    <row r="681" spans="1:21" x14ac:dyDescent="0.25">
      <c r="A681" s="134"/>
      <c r="B681" s="134"/>
      <c r="C681" s="134"/>
      <c r="D681" s="134"/>
      <c r="E681" s="134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134"/>
      <c r="S681" s="134"/>
      <c r="T681" s="134"/>
      <c r="U681" s="8"/>
    </row>
    <row r="682" spans="1:21" x14ac:dyDescent="0.25">
      <c r="A682" s="134"/>
      <c r="B682" s="134"/>
      <c r="C682" s="134"/>
      <c r="D682" s="134"/>
      <c r="E682" s="134"/>
      <c r="F682" s="149"/>
      <c r="G682" s="149"/>
      <c r="H682" s="149"/>
      <c r="I682" s="149"/>
      <c r="J682" s="149"/>
      <c r="K682" s="149"/>
      <c r="L682" s="149"/>
      <c r="M682" s="149"/>
      <c r="N682" s="149"/>
      <c r="O682" s="149"/>
      <c r="P682" s="149"/>
      <c r="Q682" s="149"/>
      <c r="R682" s="134"/>
      <c r="S682" s="134"/>
      <c r="T682" s="134"/>
      <c r="U682" s="8"/>
    </row>
    <row r="683" spans="1:21" x14ac:dyDescent="0.25">
      <c r="A683" s="134"/>
      <c r="B683" s="134"/>
      <c r="C683" s="134"/>
      <c r="D683" s="134"/>
      <c r="E683" s="134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134"/>
      <c r="S683" s="134"/>
      <c r="T683" s="134"/>
      <c r="U683" s="8"/>
    </row>
    <row r="684" spans="1:21" x14ac:dyDescent="0.25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8"/>
    </row>
    <row r="685" spans="1:21" x14ac:dyDescent="0.25">
      <c r="A685" s="134"/>
      <c r="B685" s="134"/>
      <c r="C685" s="134"/>
      <c r="D685" s="134"/>
      <c r="E685" s="134"/>
      <c r="F685" s="144"/>
      <c r="G685" s="144"/>
      <c r="H685" s="144"/>
      <c r="I685" s="144"/>
      <c r="J685" s="144"/>
      <c r="K685" s="144"/>
      <c r="L685" s="144"/>
      <c r="M685" s="144"/>
      <c r="N685" s="144"/>
      <c r="O685" s="144"/>
      <c r="P685" s="144"/>
      <c r="Q685" s="144"/>
      <c r="R685" s="134"/>
      <c r="S685" s="134"/>
      <c r="T685" s="134"/>
      <c r="U685" s="8"/>
    </row>
    <row r="686" spans="1:21" x14ac:dyDescent="0.25">
      <c r="A686" s="134"/>
      <c r="B686" s="134"/>
      <c r="C686" s="134"/>
      <c r="D686" s="134"/>
      <c r="E686" s="134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134"/>
      <c r="S686" s="134"/>
      <c r="T686" s="134"/>
      <c r="U686" s="8"/>
    </row>
    <row r="687" spans="1:21" x14ac:dyDescent="0.25">
      <c r="A687" s="134"/>
      <c r="B687" s="134"/>
      <c r="C687" s="134"/>
      <c r="D687" s="134"/>
      <c r="E687" s="134"/>
      <c r="F687" s="144"/>
      <c r="G687" s="144"/>
      <c r="H687" s="144"/>
      <c r="I687" s="144"/>
      <c r="J687" s="144"/>
      <c r="K687" s="144"/>
      <c r="L687" s="144"/>
      <c r="M687" s="144"/>
      <c r="N687" s="144"/>
      <c r="O687" s="144"/>
      <c r="P687" s="144"/>
      <c r="Q687" s="144"/>
      <c r="R687" s="134"/>
      <c r="S687" s="134"/>
      <c r="T687" s="134"/>
      <c r="U687" s="8"/>
    </row>
    <row r="688" spans="1:21" x14ac:dyDescent="0.25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8"/>
    </row>
    <row r="689" spans="1:21" x14ac:dyDescent="0.25">
      <c r="A689" s="134"/>
      <c r="B689" s="134"/>
      <c r="C689" s="134"/>
      <c r="D689" s="134"/>
      <c r="E689" s="134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34"/>
      <c r="S689" s="134"/>
      <c r="T689" s="134"/>
      <c r="U689" s="8"/>
    </row>
    <row r="690" spans="1:21" x14ac:dyDescent="0.25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8"/>
    </row>
    <row r="691" spans="1:21" x14ac:dyDescent="0.25">
      <c r="A691" s="134"/>
      <c r="B691" s="134"/>
      <c r="C691" s="134"/>
      <c r="D691" s="134"/>
      <c r="E691" s="134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34"/>
      <c r="S691" s="134"/>
      <c r="T691" s="134"/>
      <c r="U691" s="8"/>
    </row>
    <row r="692" spans="1:21" x14ac:dyDescent="0.25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8"/>
    </row>
    <row r="693" spans="1:21" x14ac:dyDescent="0.25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8"/>
    </row>
    <row r="694" spans="1:21" x14ac:dyDescent="0.25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8"/>
    </row>
    <row r="695" spans="1:21" x14ac:dyDescent="0.25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8"/>
    </row>
    <row r="696" spans="1:21" x14ac:dyDescent="0.25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8"/>
    </row>
    <row r="697" spans="1:21" x14ac:dyDescent="0.25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8"/>
    </row>
    <row r="698" spans="1:21" x14ac:dyDescent="0.25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8"/>
    </row>
    <row r="699" spans="1:21" x14ac:dyDescent="0.25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8"/>
    </row>
    <row r="700" spans="1:21" x14ac:dyDescent="0.25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8"/>
    </row>
    <row r="701" spans="1:21" x14ac:dyDescent="0.25">
      <c r="A701" s="132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8"/>
    </row>
    <row r="702" spans="1:21" x14ac:dyDescent="0.25">
      <c r="A702" s="134"/>
      <c r="B702" s="134"/>
      <c r="C702" s="134"/>
      <c r="D702" s="134"/>
      <c r="E702" s="134"/>
      <c r="F702" s="146"/>
      <c r="G702" s="146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34"/>
      <c r="S702" s="134"/>
      <c r="T702" s="134"/>
      <c r="U702" s="8"/>
    </row>
    <row r="703" spans="1:21" x14ac:dyDescent="0.25">
      <c r="A703" s="134"/>
      <c r="B703" s="134"/>
      <c r="C703" s="134"/>
      <c r="D703" s="134"/>
      <c r="E703" s="134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34"/>
      <c r="S703" s="134"/>
      <c r="T703" s="134"/>
      <c r="U703" s="8"/>
    </row>
    <row r="704" spans="1:21" x14ac:dyDescent="0.25">
      <c r="A704" s="134"/>
      <c r="B704" s="134"/>
      <c r="C704" s="134"/>
      <c r="D704" s="134"/>
      <c r="E704" s="134"/>
      <c r="F704" s="146"/>
      <c r="G704" s="146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34"/>
      <c r="S704" s="134"/>
      <c r="T704" s="134"/>
      <c r="U704" s="8"/>
    </row>
    <row r="705" spans="1:21" x14ac:dyDescent="0.25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8"/>
    </row>
    <row r="706" spans="1:21" x14ac:dyDescent="0.25">
      <c r="A706" s="134"/>
      <c r="B706" s="134"/>
      <c r="C706" s="134"/>
      <c r="D706" s="134"/>
      <c r="E706" s="134"/>
      <c r="F706" s="144"/>
      <c r="G706" s="144"/>
      <c r="H706" s="144"/>
      <c r="I706" s="144"/>
      <c r="J706" s="144"/>
      <c r="K706" s="144"/>
      <c r="L706" s="144"/>
      <c r="M706" s="144"/>
      <c r="N706" s="144"/>
      <c r="O706" s="144"/>
      <c r="P706" s="144"/>
      <c r="Q706" s="144"/>
      <c r="R706" s="134"/>
      <c r="S706" s="134"/>
      <c r="T706" s="134"/>
      <c r="U706" s="8"/>
    </row>
    <row r="707" spans="1:21" x14ac:dyDescent="0.25">
      <c r="A707" s="134"/>
      <c r="B707" s="134"/>
      <c r="C707" s="134"/>
      <c r="D707" s="134"/>
      <c r="E707" s="134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34"/>
      <c r="S707" s="134"/>
      <c r="T707" s="134"/>
      <c r="U707" s="8"/>
    </row>
    <row r="708" spans="1:21" x14ac:dyDescent="0.25">
      <c r="A708" s="134"/>
      <c r="B708" s="134"/>
      <c r="C708" s="134"/>
      <c r="D708" s="134"/>
      <c r="E708" s="134"/>
      <c r="F708" s="149"/>
      <c r="G708" s="149"/>
      <c r="H708" s="149"/>
      <c r="I708" s="149"/>
      <c r="J708" s="149"/>
      <c r="K708" s="149"/>
      <c r="L708" s="149"/>
      <c r="M708" s="149"/>
      <c r="N708" s="149"/>
      <c r="O708" s="149"/>
      <c r="P708" s="149"/>
      <c r="Q708" s="149"/>
      <c r="R708" s="134"/>
      <c r="S708" s="134"/>
      <c r="T708" s="134"/>
      <c r="U708" s="8"/>
    </row>
    <row r="709" spans="1:21" x14ac:dyDescent="0.25">
      <c r="A709" s="134"/>
      <c r="B709" s="134"/>
      <c r="C709" s="134"/>
      <c r="D709" s="134"/>
      <c r="E709" s="134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34"/>
      <c r="S709" s="134"/>
      <c r="T709" s="134"/>
      <c r="U709" s="8"/>
    </row>
    <row r="710" spans="1:21" x14ac:dyDescent="0.25">
      <c r="A710" s="134"/>
      <c r="B710" s="134"/>
      <c r="C710" s="134"/>
      <c r="D710" s="134"/>
      <c r="E710" s="134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134"/>
      <c r="S710" s="134"/>
      <c r="T710" s="134"/>
      <c r="U710" s="8"/>
    </row>
    <row r="711" spans="1:21" x14ac:dyDescent="0.25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8"/>
    </row>
    <row r="712" spans="1:21" x14ac:dyDescent="0.25">
      <c r="A712" s="134"/>
      <c r="B712" s="134"/>
      <c r="C712" s="134"/>
      <c r="D712" s="134"/>
      <c r="E712" s="134"/>
      <c r="F712" s="144"/>
      <c r="G712" s="144"/>
      <c r="H712" s="144"/>
      <c r="I712" s="144"/>
      <c r="J712" s="144"/>
      <c r="K712" s="144"/>
      <c r="L712" s="144"/>
      <c r="M712" s="144"/>
      <c r="N712" s="144"/>
      <c r="O712" s="144"/>
      <c r="P712" s="144"/>
      <c r="Q712" s="144"/>
      <c r="R712" s="134"/>
      <c r="S712" s="134"/>
      <c r="T712" s="134"/>
      <c r="U712" s="8"/>
    </row>
    <row r="713" spans="1:21" x14ac:dyDescent="0.25">
      <c r="A713" s="134"/>
      <c r="B713" s="134"/>
      <c r="C713" s="134"/>
      <c r="D713" s="134"/>
      <c r="E713" s="134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134"/>
      <c r="S713" s="134"/>
      <c r="T713" s="134"/>
      <c r="U713" s="8"/>
    </row>
    <row r="714" spans="1:21" x14ac:dyDescent="0.25">
      <c r="A714" s="134"/>
      <c r="B714" s="134"/>
      <c r="C714" s="134"/>
      <c r="D714" s="134"/>
      <c r="E714" s="134"/>
      <c r="F714" s="144"/>
      <c r="G714" s="144"/>
      <c r="H714" s="144"/>
      <c r="I714" s="144"/>
      <c r="J714" s="144"/>
      <c r="K714" s="144"/>
      <c r="L714" s="144"/>
      <c r="M714" s="144"/>
      <c r="N714" s="144"/>
      <c r="O714" s="144"/>
      <c r="P714" s="144"/>
      <c r="Q714" s="144"/>
      <c r="R714" s="134"/>
      <c r="S714" s="134"/>
      <c r="T714" s="134"/>
      <c r="U714" s="8"/>
    </row>
    <row r="715" spans="1:21" x14ac:dyDescent="0.25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8"/>
    </row>
    <row r="716" spans="1:21" x14ac:dyDescent="0.25">
      <c r="A716" s="134"/>
      <c r="B716" s="134"/>
      <c r="C716" s="134"/>
      <c r="D716" s="134"/>
      <c r="E716" s="134"/>
      <c r="F716" s="149"/>
      <c r="G716" s="149"/>
      <c r="H716" s="149"/>
      <c r="I716" s="149"/>
      <c r="J716" s="149"/>
      <c r="K716" s="149"/>
      <c r="L716" s="149"/>
      <c r="M716" s="149"/>
      <c r="N716" s="149"/>
      <c r="O716" s="149"/>
      <c r="P716" s="149"/>
      <c r="Q716" s="149"/>
      <c r="R716" s="134"/>
      <c r="S716" s="134"/>
      <c r="T716" s="134"/>
      <c r="U716" s="8"/>
    </row>
    <row r="717" spans="1:21" x14ac:dyDescent="0.25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8"/>
    </row>
    <row r="718" spans="1:21" x14ac:dyDescent="0.25">
      <c r="A718" s="134"/>
      <c r="B718" s="134"/>
      <c r="C718" s="134"/>
      <c r="D718" s="134"/>
      <c r="E718" s="134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34"/>
      <c r="S718" s="134"/>
      <c r="T718" s="134"/>
      <c r="U718" s="8"/>
    </row>
    <row r="719" spans="1:21" x14ac:dyDescent="0.25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8"/>
    </row>
    <row r="720" spans="1:21" x14ac:dyDescent="0.25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8"/>
    </row>
    <row r="721" spans="1:21" x14ac:dyDescent="0.25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8"/>
    </row>
    <row r="722" spans="1:21" x14ac:dyDescent="0.25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8"/>
    </row>
    <row r="723" spans="1:21" x14ac:dyDescent="0.25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8"/>
    </row>
    <row r="724" spans="1:21" x14ac:dyDescent="0.25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8"/>
    </row>
    <row r="725" spans="1:21" x14ac:dyDescent="0.25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8"/>
    </row>
    <row r="726" spans="1:21" x14ac:dyDescent="0.25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8"/>
    </row>
    <row r="727" spans="1:21" x14ac:dyDescent="0.25">
      <c r="A727" s="134"/>
      <c r="B727" s="134"/>
      <c r="C727" s="134"/>
      <c r="D727" s="134"/>
      <c r="E727" s="134"/>
      <c r="F727" s="14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8"/>
    </row>
    <row r="728" spans="1:21" x14ac:dyDescent="0.25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</row>
    <row r="729" spans="1:21" x14ac:dyDescent="0.25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</row>
    <row r="730" spans="1:21" x14ac:dyDescent="0.25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</row>
    <row r="731" spans="1:21" x14ac:dyDescent="0.25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</row>
    <row r="732" spans="1:21" x14ac:dyDescent="0.25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</row>
    <row r="733" spans="1:21" x14ac:dyDescent="0.25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</row>
    <row r="734" spans="1:21" x14ac:dyDescent="0.25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</row>
    <row r="735" spans="1:21" x14ac:dyDescent="0.25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</row>
    <row r="736" spans="1:21" x14ac:dyDescent="0.25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</row>
    <row r="737" spans="1:21" x14ac:dyDescent="0.25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</row>
    <row r="738" spans="1:21" x14ac:dyDescent="0.25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</row>
    <row r="739" spans="1:21" x14ac:dyDescent="0.25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</row>
    <row r="740" spans="1:21" x14ac:dyDescent="0.25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</row>
    <row r="741" spans="1:21" x14ac:dyDescent="0.25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</row>
    <row r="742" spans="1:21" x14ac:dyDescent="0.25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</row>
    <row r="743" spans="1:21" x14ac:dyDescent="0.25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</row>
    <row r="744" spans="1:21" x14ac:dyDescent="0.25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</row>
    <row r="745" spans="1:21" x14ac:dyDescent="0.25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</row>
    <row r="746" spans="1:21" x14ac:dyDescent="0.25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</row>
    <row r="747" spans="1:21" x14ac:dyDescent="0.25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</row>
    <row r="748" spans="1:21" x14ac:dyDescent="0.25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</row>
    <row r="749" spans="1:21" x14ac:dyDescent="0.25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</row>
    <row r="750" spans="1:21" x14ac:dyDescent="0.25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</row>
    <row r="751" spans="1:21" x14ac:dyDescent="0.25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</row>
    <row r="752" spans="1:21" x14ac:dyDescent="0.25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</row>
    <row r="753" spans="1:21" x14ac:dyDescent="0.25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</row>
    <row r="754" spans="1:21" x14ac:dyDescent="0.25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</row>
    <row r="755" spans="1:21" x14ac:dyDescent="0.25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</row>
    <row r="756" spans="1:21" x14ac:dyDescent="0.25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</row>
    <row r="757" spans="1:21" x14ac:dyDescent="0.25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</row>
    <row r="758" spans="1:21" x14ac:dyDescent="0.25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</row>
    <row r="759" spans="1:21" x14ac:dyDescent="0.25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</row>
    <row r="760" spans="1:21" x14ac:dyDescent="0.25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</row>
    <row r="761" spans="1:21" x14ac:dyDescent="0.25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</row>
    <row r="762" spans="1:21" x14ac:dyDescent="0.25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</row>
    <row r="763" spans="1:21" x14ac:dyDescent="0.25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</row>
    <row r="764" spans="1:21" x14ac:dyDescent="0.25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</row>
    <row r="765" spans="1:21" x14ac:dyDescent="0.25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</row>
    <row r="766" spans="1:21" x14ac:dyDescent="0.25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</row>
    <row r="767" spans="1:21" x14ac:dyDescent="0.25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</row>
    <row r="768" spans="1:21" x14ac:dyDescent="0.25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</row>
  </sheetData>
  <autoFilter ref="D2:E768"/>
  <phoneticPr fontId="0" type="noConversion"/>
  <printOptions headings="1"/>
  <pageMargins left="0.75" right="0.75" top="1.6" bottom="0.65" header="0.5" footer="0.5"/>
  <pageSetup scale="54" pageOrder="overThenDown" orientation="landscape" r:id="rId1"/>
  <headerFooter alignWithMargins="0">
    <oddHeader>&amp;C&amp;"Times New Roman,Bold"&amp;14LOUISVILLE GAS AND ELECTRIC COMPANY
Cost of Service Study
 12 Months Ended April 30, 2020
Class Allocation&amp;R&amp;"Arial,Bold"Exhibit WSS - 34
Page &amp;P of &amp;N</oddHeader>
  </headerFooter>
  <rowBreaks count="17" manualBreakCount="17">
    <brk id="49" max="11" man="1"/>
    <brk id="97" max="11" man="1"/>
    <brk id="145" max="11" man="1"/>
    <brk id="192" max="11" man="1"/>
    <brk id="237" max="11" man="1"/>
    <brk id="281" max="16383" man="1"/>
    <brk id="325" max="16383" man="1"/>
    <brk id="369" max="11" man="1"/>
    <brk id="416" max="11" man="1"/>
    <brk id="461" max="11" man="1"/>
    <brk id="491" max="11" man="1"/>
    <brk id="554" max="11" man="1"/>
    <brk id="576" max="11" man="1"/>
    <brk id="618" max="11" man="1"/>
    <brk id="647" max="16383" man="1"/>
    <brk id="673" max="16383" man="1"/>
    <brk id="7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3"/>
  <sheetViews>
    <sheetView view="pageBreakPreview" zoomScale="75" zoomScaleSheetLayoutView="75" workbookViewId="0"/>
  </sheetViews>
  <sheetFormatPr defaultColWidth="9.140625" defaultRowHeight="12.75" x14ac:dyDescent="0.2"/>
  <cols>
    <col min="1" max="1" width="9.140625" style="26"/>
    <col min="2" max="2" width="4.28515625" style="26" customWidth="1"/>
    <col min="3" max="3" width="55.7109375" style="26" bestFit="1" customWidth="1"/>
    <col min="4" max="4" width="34.28515625" style="26" hidden="1" customWidth="1"/>
    <col min="5" max="5" width="22.140625" style="26" customWidth="1"/>
    <col min="6" max="6" width="22" style="26" customWidth="1"/>
    <col min="7" max="7" width="21.140625" style="26" customWidth="1"/>
    <col min="8" max="8" width="22" style="26" customWidth="1"/>
    <col min="9" max="9" width="24.42578125" style="26" customWidth="1"/>
    <col min="10" max="10" width="15.140625" style="26" customWidth="1"/>
    <col min="11" max="11" width="14.7109375" style="26" customWidth="1"/>
    <col min="12" max="12" width="17.42578125" style="26" customWidth="1"/>
    <col min="13" max="13" width="20.140625" style="26" customWidth="1"/>
    <col min="14" max="14" width="15.85546875" style="26" customWidth="1"/>
    <col min="15" max="15" width="9.140625" style="26"/>
    <col min="16" max="16" width="14.85546875" style="26" customWidth="1"/>
    <col min="17" max="16384" width="9.140625" style="26"/>
  </cols>
  <sheetData>
    <row r="1" spans="2:16" ht="20.25" x14ac:dyDescent="0.3">
      <c r="B1" s="193" t="s">
        <v>746</v>
      </c>
      <c r="C1" s="190"/>
      <c r="D1" s="190"/>
      <c r="F1" s="191"/>
      <c r="G1" s="191"/>
      <c r="H1" s="191"/>
      <c r="I1" s="191"/>
      <c r="J1" s="191"/>
      <c r="K1" s="191"/>
      <c r="L1" s="191"/>
      <c r="N1" s="194" t="s">
        <v>879</v>
      </c>
    </row>
    <row r="2" spans="2:16" ht="15.75" x14ac:dyDescent="0.25">
      <c r="B2" s="192" t="s">
        <v>772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194" t="s">
        <v>880</v>
      </c>
    </row>
    <row r="3" spans="2:16" ht="15.75" x14ac:dyDescent="0.25">
      <c r="B3" s="192" t="s">
        <v>861</v>
      </c>
      <c r="C3" s="190"/>
      <c r="D3" s="190"/>
      <c r="F3" s="191"/>
      <c r="G3" s="191"/>
      <c r="H3" s="191"/>
      <c r="I3" s="191"/>
      <c r="J3" s="191"/>
      <c r="K3" s="191"/>
      <c r="L3" s="191"/>
      <c r="M3" s="191"/>
      <c r="N3" s="190"/>
    </row>
    <row r="4" spans="2:16" ht="15.75" x14ac:dyDescent="0.25"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2:16" ht="15.75" x14ac:dyDescent="0.25">
      <c r="B5" s="192" t="s">
        <v>806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2:16" ht="15.75" x14ac:dyDescent="0.25"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2:16" x14ac:dyDescent="0.2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2:16" x14ac:dyDescent="0.2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2:16" ht="13.5" thickBot="1" x14ac:dyDescent="0.2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2:16" ht="16.5" thickBot="1" x14ac:dyDescent="0.3">
      <c r="B10" s="45"/>
      <c r="C10" s="46"/>
      <c r="D10" s="47"/>
      <c r="E10" s="199" t="s">
        <v>773</v>
      </c>
      <c r="F10" s="200"/>
      <c r="G10" s="200"/>
      <c r="H10" s="201"/>
      <c r="I10" s="48"/>
      <c r="J10" s="48"/>
      <c r="K10" s="49"/>
      <c r="L10" s="49"/>
      <c r="M10" s="173" t="s">
        <v>860</v>
      </c>
      <c r="N10" s="47"/>
    </row>
    <row r="11" spans="2:16" ht="15.75" x14ac:dyDescent="0.25">
      <c r="B11" s="50"/>
      <c r="C11" s="42"/>
      <c r="D11" s="51"/>
      <c r="E11" s="38" t="s">
        <v>774</v>
      </c>
      <c r="F11" s="39" t="s">
        <v>774</v>
      </c>
      <c r="G11" s="39"/>
      <c r="H11" s="40" t="s">
        <v>14</v>
      </c>
      <c r="I11" s="52" t="s">
        <v>859</v>
      </c>
      <c r="J11" s="52" t="s">
        <v>3</v>
      </c>
      <c r="K11" s="52" t="s">
        <v>244</v>
      </c>
      <c r="L11" s="52" t="s">
        <v>775</v>
      </c>
      <c r="M11" s="52" t="s">
        <v>775</v>
      </c>
      <c r="N11" s="51"/>
    </row>
    <row r="12" spans="2:16" ht="15.75" x14ac:dyDescent="0.25">
      <c r="B12" s="50"/>
      <c r="C12" s="42"/>
      <c r="D12" s="51"/>
      <c r="E12" s="38" t="s">
        <v>776</v>
      </c>
      <c r="F12" s="39" t="s">
        <v>777</v>
      </c>
      <c r="G12" s="39" t="s">
        <v>774</v>
      </c>
      <c r="H12" s="40" t="s">
        <v>774</v>
      </c>
      <c r="I12" s="52" t="s">
        <v>778</v>
      </c>
      <c r="J12" s="52" t="s">
        <v>809</v>
      </c>
      <c r="K12" s="52" t="s">
        <v>632</v>
      </c>
      <c r="L12" s="38" t="s">
        <v>776</v>
      </c>
      <c r="M12" s="38" t="s">
        <v>777</v>
      </c>
      <c r="N12" s="51"/>
    </row>
    <row r="13" spans="2:16" ht="16.5" thickBot="1" x14ac:dyDescent="0.3">
      <c r="B13" s="43"/>
      <c r="C13" s="53" t="s">
        <v>19</v>
      </c>
      <c r="D13" s="54" t="s">
        <v>710</v>
      </c>
      <c r="E13" s="55" t="s">
        <v>779</v>
      </c>
      <c r="F13" s="56" t="s">
        <v>780</v>
      </c>
      <c r="G13" s="56" t="s">
        <v>781</v>
      </c>
      <c r="H13" s="57" t="s">
        <v>782</v>
      </c>
      <c r="I13" s="54" t="s">
        <v>782</v>
      </c>
      <c r="J13" s="54" t="s">
        <v>782</v>
      </c>
      <c r="K13" s="54" t="s">
        <v>782</v>
      </c>
      <c r="L13" s="55" t="s">
        <v>779</v>
      </c>
      <c r="M13" s="55" t="s">
        <v>779</v>
      </c>
      <c r="N13" s="54" t="s">
        <v>783</v>
      </c>
    </row>
    <row r="14" spans="2:16" ht="15.75" x14ac:dyDescent="0.25">
      <c r="B14" s="45"/>
      <c r="C14" s="46"/>
      <c r="D14" s="58"/>
      <c r="E14" s="45"/>
      <c r="F14" s="59"/>
      <c r="G14" s="59"/>
      <c r="H14" s="46"/>
      <c r="I14" s="45"/>
      <c r="J14" s="46"/>
      <c r="K14" s="45"/>
      <c r="L14" s="47"/>
      <c r="M14" s="46"/>
      <c r="N14" s="47"/>
    </row>
    <row r="15" spans="2:16" ht="15.75" x14ac:dyDescent="0.25">
      <c r="B15" s="60" t="s">
        <v>711</v>
      </c>
      <c r="C15" s="61" t="s">
        <v>245</v>
      </c>
      <c r="D15" s="62" t="s">
        <v>822</v>
      </c>
      <c r="E15" s="63">
        <f>'WSS-34'!G80</f>
        <v>128438207.59098746</v>
      </c>
      <c r="F15" s="64">
        <f>'WSS-34'!G82</f>
        <v>10392966.568261005</v>
      </c>
      <c r="G15" s="64">
        <f>'WSS-34'!G86+'WSS-34'!G89+'WSS-34'!G92+'WSS-34'!G95</f>
        <v>205166161.7463614</v>
      </c>
      <c r="H15" s="65">
        <f>E15+F15+G15</f>
        <v>343997335.90560985</v>
      </c>
      <c r="I15" s="66">
        <f>'WSS-34'!G62+'WSS-34'!G68</f>
        <v>132839426.25549288</v>
      </c>
      <c r="J15" s="65">
        <f>'WSS-34'!G63</f>
        <v>1446181.0380576043</v>
      </c>
      <c r="K15" s="64">
        <f>'WSS-34'!G58+'WSS-34'!G72</f>
        <v>305819.71361715771</v>
      </c>
      <c r="L15" s="67">
        <f>'WSS-34'!G79</f>
        <v>40433439.900194734</v>
      </c>
      <c r="M15" s="68">
        <f>'WSS-34'!G57+'WSS-34'!G67+'WSS-34'!G75+'WSS-34'!G81</f>
        <v>37600227.869594783</v>
      </c>
      <c r="N15" s="69">
        <f>E15+F15+G15+K15+L15+M15+I15+J15</f>
        <v>556622430.682567</v>
      </c>
      <c r="O15" s="27"/>
    </row>
    <row r="16" spans="2:16" ht="15.75" x14ac:dyDescent="0.25">
      <c r="B16" s="60" t="s">
        <v>784</v>
      </c>
      <c r="C16" s="61" t="s">
        <v>668</v>
      </c>
      <c r="D16" s="62" t="s">
        <v>823</v>
      </c>
      <c r="E16" s="70">
        <f>(E15/$N$15)*$N$16</f>
        <v>0</v>
      </c>
      <c r="F16" s="71">
        <f t="shared" ref="F16:M16" si="0">(F15/$N$15)*$N$16</f>
        <v>0</v>
      </c>
      <c r="G16" s="71">
        <f t="shared" si="0"/>
        <v>0</v>
      </c>
      <c r="H16" s="72">
        <f>E16+F16+G16</f>
        <v>0</v>
      </c>
      <c r="I16" s="70">
        <f t="shared" si="0"/>
        <v>0</v>
      </c>
      <c r="J16" s="72">
        <f t="shared" si="0"/>
        <v>0</v>
      </c>
      <c r="K16" s="71">
        <f t="shared" si="0"/>
        <v>0</v>
      </c>
      <c r="L16" s="73">
        <f t="shared" si="0"/>
        <v>0</v>
      </c>
      <c r="M16" s="72">
        <f t="shared" si="0"/>
        <v>0</v>
      </c>
      <c r="N16" s="73">
        <f>'WSS-34'!G524+'WSS-34'!G525</f>
        <v>0</v>
      </c>
      <c r="O16" s="27"/>
      <c r="P16" s="27"/>
    </row>
    <row r="17" spans="2:16" ht="15.75" x14ac:dyDescent="0.25">
      <c r="B17" s="60" t="s">
        <v>785</v>
      </c>
      <c r="C17" s="61" t="s">
        <v>833</v>
      </c>
      <c r="D17" s="62" t="s">
        <v>786</v>
      </c>
      <c r="E17" s="63">
        <f>E15+E16</f>
        <v>128438207.59098746</v>
      </c>
      <c r="F17" s="64">
        <f>F15+F16</f>
        <v>10392966.568261005</v>
      </c>
      <c r="G17" s="64">
        <f>G15+G16</f>
        <v>205166161.7463614</v>
      </c>
      <c r="H17" s="65">
        <f>E17+F17+G17</f>
        <v>343997335.90560985</v>
      </c>
      <c r="I17" s="66">
        <f>I15+I16</f>
        <v>132839426.25549288</v>
      </c>
      <c r="J17" s="65">
        <f>J15+J16</f>
        <v>1446181.0380576043</v>
      </c>
      <c r="K17" s="64">
        <f>K15+K16</f>
        <v>305819.71361715771</v>
      </c>
      <c r="L17" s="67">
        <f>L15+L16</f>
        <v>40433439.900194734</v>
      </c>
      <c r="M17" s="68">
        <f>M15+M16</f>
        <v>37600227.869594783</v>
      </c>
      <c r="N17" s="74">
        <f>E17+F17+G17+K17+L17+M17+I17+J17</f>
        <v>556622430.682567</v>
      </c>
    </row>
    <row r="18" spans="2:16" ht="15.75" x14ac:dyDescent="0.25">
      <c r="B18" s="60"/>
      <c r="C18" s="61"/>
      <c r="D18" s="62"/>
      <c r="E18" s="63"/>
      <c r="F18" s="64"/>
      <c r="G18" s="64"/>
      <c r="H18" s="65"/>
      <c r="I18" s="66"/>
      <c r="J18" s="65"/>
      <c r="K18" s="64"/>
      <c r="L18" s="67"/>
      <c r="M18" s="68"/>
      <c r="N18" s="69"/>
    </row>
    <row r="19" spans="2:16" ht="15.75" x14ac:dyDescent="0.25">
      <c r="B19" s="60" t="s">
        <v>787</v>
      </c>
      <c r="C19" s="61" t="s">
        <v>362</v>
      </c>
      <c r="D19" s="62" t="s">
        <v>831</v>
      </c>
      <c r="E19" s="75">
        <f>'WSS-34'!G573</f>
        <v>6.8457258648234903E-2</v>
      </c>
      <c r="F19" s="76">
        <f>E19</f>
        <v>6.8457258648234903E-2</v>
      </c>
      <c r="G19" s="76">
        <f>E19</f>
        <v>6.8457258648234903E-2</v>
      </c>
      <c r="H19" s="77">
        <f>E19</f>
        <v>6.8457258648234903E-2</v>
      </c>
      <c r="I19" s="75">
        <f>E19</f>
        <v>6.8457258648234903E-2</v>
      </c>
      <c r="J19" s="77">
        <f>E19</f>
        <v>6.8457258648234903E-2</v>
      </c>
      <c r="K19" s="76">
        <f>E19</f>
        <v>6.8457258648234903E-2</v>
      </c>
      <c r="L19" s="78">
        <f>F19</f>
        <v>6.8457258648234903E-2</v>
      </c>
      <c r="M19" s="77">
        <f>G19</f>
        <v>6.8457258648234903E-2</v>
      </c>
      <c r="N19" s="77">
        <f>E19</f>
        <v>6.8457258648234903E-2</v>
      </c>
    </row>
    <row r="20" spans="2:16" ht="15.75" x14ac:dyDescent="0.25">
      <c r="B20" s="50"/>
      <c r="C20" s="61"/>
      <c r="D20" s="62"/>
      <c r="E20" s="50"/>
      <c r="F20" s="41"/>
      <c r="G20" s="41"/>
      <c r="H20" s="42"/>
      <c r="I20" s="50"/>
      <c r="J20" s="42"/>
      <c r="K20" s="41"/>
      <c r="L20" s="51"/>
      <c r="M20" s="42"/>
      <c r="N20" s="51"/>
    </row>
    <row r="21" spans="2:16" ht="15.75" x14ac:dyDescent="0.25">
      <c r="B21" s="60" t="s">
        <v>788</v>
      </c>
      <c r="C21" s="61" t="s">
        <v>834</v>
      </c>
      <c r="D21" s="62" t="s">
        <v>789</v>
      </c>
      <c r="E21" s="63">
        <f>E17*E19</f>
        <v>8792527.5973719154</v>
      </c>
      <c r="F21" s="64">
        <f>F17*F19</f>
        <v>711474.00048590195</v>
      </c>
      <c r="G21" s="64">
        <f>G17*G19</f>
        <v>14045113.000536261</v>
      </c>
      <c r="H21" s="65">
        <f>E21+F21+G21</f>
        <v>23549114.598394081</v>
      </c>
      <c r="I21" s="63">
        <f>I17*I19</f>
        <v>9093822.9618554022</v>
      </c>
      <c r="J21" s="68">
        <f>J17*J19</f>
        <v>99001.589374482268</v>
      </c>
      <c r="K21" s="64">
        <f>K17*K19</f>
        <v>20935.579234818892</v>
      </c>
      <c r="L21" s="67">
        <f>L17*L19</f>
        <v>2767962.453285492</v>
      </c>
      <c r="M21" s="68">
        <f>M17*M19</f>
        <v>2574008.5245014206</v>
      </c>
      <c r="N21" s="69">
        <f>E21+F21+G21+K21+L21+M21+I21+J21</f>
        <v>38104845.706645697</v>
      </c>
      <c r="P21" s="27"/>
    </row>
    <row r="22" spans="2:16" ht="15.75" x14ac:dyDescent="0.25">
      <c r="B22" s="50"/>
      <c r="C22" s="61"/>
      <c r="D22" s="62"/>
      <c r="E22" s="50"/>
      <c r="F22" s="41"/>
      <c r="G22" s="41"/>
      <c r="H22" s="42"/>
      <c r="I22" s="50"/>
      <c r="J22" s="42"/>
      <c r="K22" s="41"/>
      <c r="L22" s="51"/>
      <c r="M22" s="42"/>
      <c r="N22" s="51"/>
    </row>
    <row r="23" spans="2:16" ht="15.75" x14ac:dyDescent="0.25">
      <c r="B23" s="60" t="s">
        <v>790</v>
      </c>
      <c r="C23" s="61" t="s">
        <v>364</v>
      </c>
      <c r="D23" s="62" t="s">
        <v>824</v>
      </c>
      <c r="E23" s="63">
        <f>'WSS-34'!G443</f>
        <v>3416683.3809045125</v>
      </c>
      <c r="F23" s="64">
        <f>'WSS-34'!G445</f>
        <v>251473.65164265467</v>
      </c>
      <c r="G23" s="64">
        <f>'WSS-34'!G449+'WSS-34'!G452+'WSS-34'!G455+'WSS-34'!G458</f>
        <v>4907552.4275827911</v>
      </c>
      <c r="H23" s="65">
        <f>E23+F23+G23</f>
        <v>8575709.4601299576</v>
      </c>
      <c r="I23" s="63">
        <f>'WSS-34'!G426+'WSS-34'!G432</f>
        <v>2324759.7934152726</v>
      </c>
      <c r="J23" s="68">
        <f>'WSS-34'!G427</f>
        <v>0</v>
      </c>
      <c r="K23" s="64">
        <f>'WSS-34'!G422+'WSS-34'!G436</f>
        <v>0</v>
      </c>
      <c r="L23" s="67">
        <f>'WSS-34'!G442</f>
        <v>1219541.8832060206</v>
      </c>
      <c r="M23" s="68">
        <f>'WSS-34'!G421+'WSS-34'!G431+'WSS-34'!G439+'WSS-34'!G444</f>
        <v>716926.09271796513</v>
      </c>
      <c r="N23" s="69">
        <f>E23+F23+G23+K23+L23+M23+I23+J23</f>
        <v>12836937.229469215</v>
      </c>
    </row>
    <row r="24" spans="2:16" ht="15.75" x14ac:dyDescent="0.25">
      <c r="B24" s="50"/>
      <c r="C24" s="61"/>
      <c r="D24" s="62"/>
      <c r="E24" s="50"/>
      <c r="F24" s="41"/>
      <c r="G24" s="41"/>
      <c r="H24" s="42"/>
      <c r="I24" s="50"/>
      <c r="J24" s="42"/>
      <c r="K24" s="41"/>
      <c r="L24" s="51"/>
      <c r="M24" s="42"/>
      <c r="N24" s="51"/>
    </row>
    <row r="25" spans="2:16" ht="15.75" x14ac:dyDescent="0.25">
      <c r="B25" s="60" t="s">
        <v>791</v>
      </c>
      <c r="C25" s="61" t="s">
        <v>835</v>
      </c>
      <c r="D25" s="62" t="s">
        <v>792</v>
      </c>
      <c r="E25" s="66">
        <f t="shared" ref="E25:M25" si="1">E21-E23</f>
        <v>5375844.2164674029</v>
      </c>
      <c r="F25" s="79">
        <f t="shared" si="1"/>
        <v>460000.34884324728</v>
      </c>
      <c r="G25" s="79">
        <f t="shared" si="1"/>
        <v>9137560.5729534701</v>
      </c>
      <c r="H25" s="65">
        <f t="shared" si="1"/>
        <v>14973405.138264123</v>
      </c>
      <c r="I25" s="66">
        <f t="shared" si="1"/>
        <v>6769063.1684401296</v>
      </c>
      <c r="J25" s="65">
        <f t="shared" si="1"/>
        <v>99001.589374482268</v>
      </c>
      <c r="K25" s="79">
        <f t="shared" si="1"/>
        <v>20935.579234818892</v>
      </c>
      <c r="L25" s="69">
        <f t="shared" si="1"/>
        <v>1548420.5700794715</v>
      </c>
      <c r="M25" s="65">
        <f t="shared" si="1"/>
        <v>1857082.4317834554</v>
      </c>
      <c r="N25" s="69">
        <f>N21-N23</f>
        <v>25267908.47717648</v>
      </c>
    </row>
    <row r="26" spans="2:16" ht="15.75" x14ac:dyDescent="0.25">
      <c r="B26" s="50"/>
      <c r="C26" s="61"/>
      <c r="D26" s="62"/>
      <c r="E26" s="50"/>
      <c r="F26" s="41"/>
      <c r="G26" s="41"/>
      <c r="H26" s="42"/>
      <c r="I26" s="50"/>
      <c r="J26" s="42"/>
      <c r="K26" s="41"/>
      <c r="L26" s="51"/>
      <c r="M26" s="42"/>
      <c r="N26" s="51"/>
    </row>
    <row r="27" spans="2:16" ht="15.75" x14ac:dyDescent="0.25">
      <c r="B27" s="60" t="s">
        <v>793</v>
      </c>
      <c r="C27" s="61" t="s">
        <v>297</v>
      </c>
      <c r="D27" s="80" t="s">
        <v>808</v>
      </c>
      <c r="E27" s="63">
        <f>$P$27*(E25/$N$25)</f>
        <v>1507875.6481286366</v>
      </c>
      <c r="F27" s="64">
        <f>$P$27*(F25/$N$25)</f>
        <v>129025.93457352955</v>
      </c>
      <c r="G27" s="64">
        <f>$P$27*(G25/$N$25)</f>
        <v>2563003.0403505531</v>
      </c>
      <c r="H27" s="65">
        <f>E27+G27+F27</f>
        <v>4199904.623052719</v>
      </c>
      <c r="I27" s="63">
        <f>$P$27*(I25/$N$25)</f>
        <v>1898660.9546960695</v>
      </c>
      <c r="J27" s="68">
        <f>$P$27*(J25/$N$25)</f>
        <v>27769.049796221487</v>
      </c>
      <c r="K27" s="64">
        <f>$P$27*(K25/$N$25)</f>
        <v>5872.2404959113983</v>
      </c>
      <c r="L27" s="67">
        <f>$P$27*(L25/$N$25)</f>
        <v>434317.95577933732</v>
      </c>
      <c r="M27" s="64">
        <f>$P$27*(M25/$N$25)</f>
        <v>520894.81441370602</v>
      </c>
      <c r="N27" s="69">
        <f>E27+F27+G27+K27+L27+M27+I27+J27</f>
        <v>7087419.6382339653</v>
      </c>
      <c r="P27" s="28">
        <f>'WSS-34'!G519+'WSS-34'!G509+'WSS-34'!G565</f>
        <v>7087419.6382339653</v>
      </c>
    </row>
    <row r="28" spans="2:16" ht="15.75" x14ac:dyDescent="0.25">
      <c r="B28" s="50"/>
      <c r="C28" s="61"/>
      <c r="D28" s="62"/>
      <c r="E28" s="50"/>
      <c r="F28" s="41"/>
      <c r="G28" s="41"/>
      <c r="H28" s="42"/>
      <c r="I28" s="50"/>
      <c r="J28" s="42"/>
      <c r="K28" s="41"/>
      <c r="L28" s="51"/>
      <c r="M28" s="42"/>
      <c r="N28" s="51"/>
    </row>
    <row r="29" spans="2:16" ht="15.75" x14ac:dyDescent="0.25">
      <c r="B29" s="60" t="s">
        <v>794</v>
      </c>
      <c r="C29" s="61" t="s">
        <v>171</v>
      </c>
      <c r="D29" s="62" t="s">
        <v>825</v>
      </c>
      <c r="E29" s="63">
        <f>'WSS-34'!G126</f>
        <v>13697439.109512692</v>
      </c>
      <c r="F29" s="64">
        <f>'WSS-34'!G128</f>
        <v>1008154.5894106762</v>
      </c>
      <c r="G29" s="64">
        <f>'WSS-34'!G132+'WSS-34'!G135+'WSS-34'!G138+'WSS-34'!G141</f>
        <v>22562612.796326473</v>
      </c>
      <c r="H29" s="65">
        <f>E29+F29+G29</f>
        <v>37268206.495249838</v>
      </c>
      <c r="I29" s="66">
        <f>'WSS-34'!G109+'WSS-34'!G115</f>
        <v>12184450.712712942</v>
      </c>
      <c r="J29" s="65">
        <f>'WSS-34'!G110</f>
        <v>5959264.2635173788</v>
      </c>
      <c r="K29" s="64">
        <f>'WSS-34'!G105+'WSS-34'!G119</f>
        <v>1260188.346049421</v>
      </c>
      <c r="L29" s="67">
        <f>'WSS-34'!G125</f>
        <v>4889127.5030268179</v>
      </c>
      <c r="M29" s="68">
        <f>'WSS-34'!G104+'WSS-34'!G114+'WSS-34'!G122+'WSS-34'!G127</f>
        <v>5866879.9979250869</v>
      </c>
      <c r="N29" s="69">
        <f>E29+F29+G29+K29+L29+M29+I29+J29</f>
        <v>67428117.31848149</v>
      </c>
    </row>
    <row r="30" spans="2:16" ht="15.75" x14ac:dyDescent="0.25">
      <c r="B30" s="60" t="s">
        <v>795</v>
      </c>
      <c r="C30" s="61" t="s">
        <v>173</v>
      </c>
      <c r="D30" s="62" t="s">
        <v>826</v>
      </c>
      <c r="E30" s="70">
        <f>'WSS-34'!G219</f>
        <v>5655497.4163662996</v>
      </c>
      <c r="F30" s="71">
        <f>'WSS-34'!G221</f>
        <v>416254.13554495806</v>
      </c>
      <c r="G30" s="71">
        <f>'WSS-34'!G225+'WSS-34'!G228+'WSS-34'!G231+'WSS-34'!G234</f>
        <v>14248774.91982121</v>
      </c>
      <c r="H30" s="72">
        <f>E30+F30+G30</f>
        <v>20320526.471732467</v>
      </c>
      <c r="I30" s="70">
        <f>'WSS-34'!G202+'WSS-34'!G208</f>
        <v>4291588.3914619833</v>
      </c>
      <c r="J30" s="72">
        <f>'WSS-34'!G203</f>
        <v>0</v>
      </c>
      <c r="K30" s="71">
        <f>'WSS-34'!G198+'WSS-34'!G212</f>
        <v>0</v>
      </c>
      <c r="L30" s="73">
        <f>'WSS-34'!G218</f>
        <v>2018658.2134503315</v>
      </c>
      <c r="M30" s="72">
        <f>'WSS-34'!G197+'WSS-34'!G207+'WSS-34'!G215+'WSS-34'!G220</f>
        <v>1264266.101608054</v>
      </c>
      <c r="N30" s="73">
        <f>E30+F30+G30+K30+L30+M30+I30+J30</f>
        <v>27895039.178252835</v>
      </c>
    </row>
    <row r="31" spans="2:16" ht="15.75" x14ac:dyDescent="0.25">
      <c r="B31" s="60" t="s">
        <v>796</v>
      </c>
      <c r="C31" s="61" t="s">
        <v>215</v>
      </c>
      <c r="D31" s="62" t="s">
        <v>827</v>
      </c>
      <c r="E31" s="70">
        <f>'WSS-34'!G396</f>
        <v>2289619.160150785</v>
      </c>
      <c r="F31" s="71">
        <f>'WSS-34'!G398</f>
        <v>168519.82665179757</v>
      </c>
      <c r="G31" s="71">
        <f>'WSS-34'!G402+'WSS-34'!G405+'WSS-34'!G408+'WSS-34'!G411</f>
        <v>3288693.9803779512</v>
      </c>
      <c r="H31" s="72">
        <f>E31+F31+G31</f>
        <v>5746832.9671805333</v>
      </c>
      <c r="I31" s="70">
        <f>'WSS-34'!G379+'WSS-34'!G385</f>
        <v>1557889.3249226559</v>
      </c>
      <c r="J31" s="72">
        <f>'WSS-34'!G380</f>
        <v>0</v>
      </c>
      <c r="K31" s="71">
        <f>'WSS-34'!G375+'WSS-34'!G389</f>
        <v>0</v>
      </c>
      <c r="L31" s="73">
        <f>'WSS-34'!G395</f>
        <v>817250.57639249624</v>
      </c>
      <c r="M31" s="72">
        <f>'WSS-34'!G374+'WSS-34'!G384+'WSS-34'!G392+'WSS-34'!G397</f>
        <v>480433.07948087761</v>
      </c>
      <c r="N31" s="73">
        <f>E31+F31+G31+K31+L31+M31+I31+J31</f>
        <v>8602405.9479765631</v>
      </c>
      <c r="P31" s="29"/>
    </row>
    <row r="32" spans="2:16" ht="15.75" x14ac:dyDescent="0.25">
      <c r="B32" s="60" t="s">
        <v>797</v>
      </c>
      <c r="C32" s="61" t="s">
        <v>105</v>
      </c>
      <c r="D32" s="62" t="s">
        <v>828</v>
      </c>
      <c r="E32" s="70">
        <f>'WSS-34'!G264+'WSS-34'!G308+'WSS-34'!G352</f>
        <v>-931.95145628281921</v>
      </c>
      <c r="F32" s="71">
        <f>'WSS-34'!G266+'WSS-34'!G310+'WSS-34'!G354</f>
        <v>-68.593196892328663</v>
      </c>
      <c r="G32" s="71">
        <f>'WSS-34'!G270+'WSS-34'!G273+'WSS-34'!G276+'WSS-34'!G279+'WSS-34'!G314+'WSS-34'!G317+'WSS-34'!G320+'WSS-34'!G323+'WSS-34'!G358+'WSS-34'!G361+'WSS-34'!G364+'WSS-34'!G367</f>
        <v>-1355.9025837482552</v>
      </c>
      <c r="H32" s="72">
        <f>E32+F32+G32</f>
        <v>-2356.4472369234031</v>
      </c>
      <c r="I32" s="70">
        <f>'WSS-34'!G247+'WSS-34'!G253+'WSS-34'!G291+'WSS-34'!G297+'WSS-34'!G335+'WSS-34'!G341</f>
        <v>-551.23571975001619</v>
      </c>
      <c r="J32" s="72">
        <f>'WSS-34'!G248+'WSS-34'!G292+'WSS-34'!G336+'WSS-34'!G380</f>
        <v>0</v>
      </c>
      <c r="K32" s="71">
        <f>'WSS-34'!G243+'WSS-34'!G257+'WSS-34'!G287+'WSS-34'!G301+'WSS-34'!G331+'WSS-34'!G345+'WSS-34'!G375+'WSS-34'!G389</f>
        <v>0</v>
      </c>
      <c r="L32" s="73">
        <f>'WSS-34'!G307+'WSS-34'!G351+'WSS-34'!G263</f>
        <v>-332.64827534322427</v>
      </c>
      <c r="M32" s="71">
        <f>'WSS-34'!G242+'WSS-34'!G252+'WSS-34'!G260+'WSS-34'!G265+'WSS-34'!G286+'WSS-34'!G296+'WSS-34'!G304+'WSS-34'!G309+'WSS-34'!G330+'WSS-34'!G340+'WSS-34'!G348+'WSS-34'!G353</f>
        <v>-182.10061357597647</v>
      </c>
      <c r="N32" s="73">
        <f>E32+F32+G32+K32+L32+M32+I32+J32</f>
        <v>-3422.4318455926195</v>
      </c>
      <c r="P32" s="29"/>
    </row>
    <row r="33" spans="2:16" ht="15.75" x14ac:dyDescent="0.25">
      <c r="B33" s="60" t="s">
        <v>798</v>
      </c>
      <c r="C33" s="61" t="s">
        <v>843</v>
      </c>
      <c r="D33" s="62" t="s">
        <v>823</v>
      </c>
      <c r="E33" s="70">
        <f>(E29/$N$29)*$N$33</f>
        <v>13642.160705821023</v>
      </c>
      <c r="F33" s="71">
        <f t="shared" ref="F33:M33" si="2">(F29/$N$29)*$N$33</f>
        <v>1004.0860057921258</v>
      </c>
      <c r="G33" s="71">
        <f t="shared" si="2"/>
        <v>22471.557438567808</v>
      </c>
      <c r="H33" s="72">
        <f>E33+F33+G33</f>
        <v>37117.804150180957</v>
      </c>
      <c r="I33" s="70">
        <f t="shared" si="2"/>
        <v>12135.278237487932</v>
      </c>
      <c r="J33" s="72">
        <f t="shared" si="2"/>
        <v>5935.2146135769544</v>
      </c>
      <c r="K33" s="71">
        <f t="shared" si="2"/>
        <v>1255.1026362635619</v>
      </c>
      <c r="L33" s="73">
        <f t="shared" si="2"/>
        <v>4869.3965765630046</v>
      </c>
      <c r="M33" s="71">
        <f t="shared" si="2"/>
        <v>5843.2031807957692</v>
      </c>
      <c r="N33" s="73">
        <f>'WSS-34'!G499+'WSS-34'!G501+'WSS-34'!G566+'WSS-34'!G567</f>
        <v>67155.99939486818</v>
      </c>
      <c r="P33" s="27"/>
    </row>
    <row r="34" spans="2:16" ht="15.75" x14ac:dyDescent="0.25">
      <c r="B34" s="50"/>
      <c r="C34" s="61"/>
      <c r="D34" s="62"/>
      <c r="E34" s="50"/>
      <c r="F34" s="41"/>
      <c r="G34" s="41"/>
      <c r="H34" s="42"/>
      <c r="I34" s="50"/>
      <c r="J34" s="42"/>
      <c r="K34" s="41"/>
      <c r="L34" s="51"/>
      <c r="M34" s="42"/>
      <c r="N34" s="51"/>
    </row>
    <row r="35" spans="2:16" ht="15.75" x14ac:dyDescent="0.25">
      <c r="B35" s="60" t="s">
        <v>799</v>
      </c>
      <c r="C35" s="61" t="s">
        <v>836</v>
      </c>
      <c r="D35" s="62" t="s">
        <v>832</v>
      </c>
      <c r="E35" s="66">
        <f t="shared" ref="E35:M35" si="3">E21+E27+SUM(E29:E33)</f>
        <v>31955669.140779868</v>
      </c>
      <c r="F35" s="79">
        <f t="shared" si="3"/>
        <v>2434363.9794757627</v>
      </c>
      <c r="G35" s="79">
        <f>G21+G27+SUM(G29:G33)</f>
        <v>56729313.392267264</v>
      </c>
      <c r="H35" s="65">
        <f t="shared" si="3"/>
        <v>91119346.512522891</v>
      </c>
      <c r="I35" s="66">
        <f t="shared" si="3"/>
        <v>29037996.388166789</v>
      </c>
      <c r="J35" s="65">
        <f t="shared" si="3"/>
        <v>6091970.1173016597</v>
      </c>
      <c r="K35" s="79">
        <f t="shared" si="3"/>
        <v>1288251.2684164147</v>
      </c>
      <c r="L35" s="69">
        <f t="shared" si="3"/>
        <v>10931853.450235695</v>
      </c>
      <c r="M35" s="65">
        <f t="shared" si="3"/>
        <v>10712143.620496362</v>
      </c>
      <c r="N35" s="69">
        <f>N21+N27+SUM(N29:N33)</f>
        <v>149181561.35713983</v>
      </c>
    </row>
    <row r="36" spans="2:16" ht="15.75" x14ac:dyDescent="0.25">
      <c r="B36" s="50"/>
      <c r="C36" s="61"/>
      <c r="D36" s="62"/>
      <c r="E36" s="50"/>
      <c r="F36" s="41"/>
      <c r="G36" s="41"/>
      <c r="H36" s="42"/>
      <c r="I36" s="50"/>
      <c r="J36" s="42"/>
      <c r="K36" s="41"/>
      <c r="L36" s="51"/>
      <c r="M36" s="42"/>
      <c r="N36" s="51"/>
    </row>
    <row r="37" spans="2:16" ht="15.75" x14ac:dyDescent="0.25">
      <c r="B37" s="60" t="s">
        <v>801</v>
      </c>
      <c r="C37" s="61" t="s">
        <v>800</v>
      </c>
      <c r="D37" s="62" t="s">
        <v>829</v>
      </c>
      <c r="E37" s="70">
        <f>(E35/$N$35)*$N$37</f>
        <v>561950.36889388179</v>
      </c>
      <c r="F37" s="71">
        <f>(F35/$N$35)*$N$37</f>
        <v>42809.046816129274</v>
      </c>
      <c r="G37" s="71">
        <f>(G35/$N$35)*$N$37</f>
        <v>997602.59900798381</v>
      </c>
      <c r="H37" s="72">
        <f>E37+F37+G37</f>
        <v>1602362.0147179947</v>
      </c>
      <c r="I37" s="70">
        <f>(I35/$N$35)*$N$37</f>
        <v>510642.18716188963</v>
      </c>
      <c r="J37" s="72">
        <f>(J35/$N$35)*$N$37</f>
        <v>107129.1869879657</v>
      </c>
      <c r="K37" s="71">
        <f>(K35/$N$35)*$N$37</f>
        <v>22654.29875135289</v>
      </c>
      <c r="L37" s="73">
        <f>(L35/$N$35)*$N$37</f>
        <v>192240.03891110141</v>
      </c>
      <c r="M37" s="71">
        <f>(M35/$N$35)*$N$37</f>
        <v>188376.37330210712</v>
      </c>
      <c r="N37" s="69">
        <f>'WSS-34'!G467+'WSS-34'!G468+'WSS-34'!G469+'WSS-34'!G476+'WSS-34'!G562</f>
        <v>2623404.0998324119</v>
      </c>
      <c r="P37" s="27"/>
    </row>
    <row r="38" spans="2:16" ht="15.75" x14ac:dyDescent="0.25">
      <c r="B38" s="50"/>
      <c r="C38" s="61"/>
      <c r="D38" s="62"/>
      <c r="E38" s="50"/>
      <c r="F38" s="41"/>
      <c r="G38" s="41"/>
      <c r="H38" s="42"/>
      <c r="I38" s="50"/>
      <c r="J38" s="42"/>
      <c r="K38" s="41"/>
      <c r="L38" s="51"/>
      <c r="M38" s="42"/>
      <c r="N38" s="51"/>
    </row>
    <row r="39" spans="2:16" ht="15.75" x14ac:dyDescent="0.25">
      <c r="B39" s="60" t="s">
        <v>803</v>
      </c>
      <c r="C39" s="61" t="s">
        <v>837</v>
      </c>
      <c r="D39" s="62" t="s">
        <v>802</v>
      </c>
      <c r="E39" s="66">
        <f t="shared" ref="E39:M39" si="4">E35-E37</f>
        <v>31393718.771885987</v>
      </c>
      <c r="F39" s="79">
        <f t="shared" si="4"/>
        <v>2391554.9326596335</v>
      </c>
      <c r="G39" s="79">
        <f t="shared" si="4"/>
        <v>55731710.793259278</v>
      </c>
      <c r="H39" s="65">
        <f t="shared" si="4"/>
        <v>89516984.497804895</v>
      </c>
      <c r="I39" s="66">
        <f t="shared" si="4"/>
        <v>28527354.2010049</v>
      </c>
      <c r="J39" s="65">
        <f t="shared" si="4"/>
        <v>5984840.9303136943</v>
      </c>
      <c r="K39" s="79">
        <f>K35-K37</f>
        <v>1265596.9696650619</v>
      </c>
      <c r="L39" s="69">
        <f t="shared" si="4"/>
        <v>10739613.411324594</v>
      </c>
      <c r="M39" s="65">
        <f t="shared" si="4"/>
        <v>10523767.247194255</v>
      </c>
      <c r="N39" s="69">
        <f>N35-N37</f>
        <v>146558157.25730741</v>
      </c>
      <c r="P39" s="27"/>
    </row>
    <row r="40" spans="2:16" ht="15.75" x14ac:dyDescent="0.25">
      <c r="B40" s="50"/>
      <c r="C40" s="61"/>
      <c r="D40" s="62"/>
      <c r="E40" s="50"/>
      <c r="F40" s="41"/>
      <c r="G40" s="41"/>
      <c r="H40" s="42"/>
      <c r="I40" s="50"/>
      <c r="J40" s="42"/>
      <c r="K40" s="41"/>
      <c r="L40" s="51"/>
      <c r="M40" s="42"/>
      <c r="N40" s="51"/>
    </row>
    <row r="41" spans="2:16" ht="15.75" x14ac:dyDescent="0.25">
      <c r="B41" s="60" t="s">
        <v>804</v>
      </c>
      <c r="C41" s="61" t="s">
        <v>382</v>
      </c>
      <c r="D41" s="62" t="s">
        <v>830</v>
      </c>
      <c r="E41" s="70">
        <f>'WSS-34'!G605*12</f>
        <v>3587761</v>
      </c>
      <c r="F41" s="71">
        <f>+$E$41</f>
        <v>3587761</v>
      </c>
      <c r="G41" s="71">
        <f>+$E$41</f>
        <v>3587761</v>
      </c>
      <c r="H41" s="72">
        <f>G41</f>
        <v>3587761</v>
      </c>
      <c r="I41" s="70">
        <f>'WSS-34'!G590</f>
        <v>7762069.9665000001</v>
      </c>
      <c r="J41" s="72">
        <f>'WSS-34'!G581</f>
        <v>19344464.899848823</v>
      </c>
      <c r="K41" s="71">
        <f>'WSS-34'!G581</f>
        <v>19344464.899848823</v>
      </c>
      <c r="L41" s="73">
        <f>'WSS-34'!G595</f>
        <v>306513</v>
      </c>
      <c r="M41" s="71">
        <f>'WSS-34'!G594</f>
        <v>306513</v>
      </c>
      <c r="N41" s="51"/>
    </row>
    <row r="42" spans="2:16" ht="16.5" thickBot="1" x14ac:dyDescent="0.3">
      <c r="B42" s="50"/>
      <c r="C42" s="61"/>
      <c r="D42" s="62"/>
      <c r="E42" s="50"/>
      <c r="F42" s="41"/>
      <c r="G42" s="41"/>
      <c r="H42" s="42"/>
      <c r="I42" s="43"/>
      <c r="J42" s="44"/>
      <c r="K42" s="50"/>
      <c r="L42" s="51"/>
      <c r="M42" s="42"/>
      <c r="N42" s="51"/>
    </row>
    <row r="43" spans="2:16" ht="16.5" thickBot="1" x14ac:dyDescent="0.3">
      <c r="B43" s="81" t="s">
        <v>807</v>
      </c>
      <c r="C43" s="82" t="s">
        <v>838</v>
      </c>
      <c r="D43" s="83" t="s">
        <v>805</v>
      </c>
      <c r="E43" s="84" t="str">
        <f>CONCATENATE(TEXT(E39/E41,"$0.00"),"/Cust/Mo")</f>
        <v>$8.75/Cust/Mo</v>
      </c>
      <c r="F43" s="85" t="str">
        <f>CONCATENATE(TEXT(F39/F41,"$0.00"),"/Cust/Mo")</f>
        <v>$0.67/Cust/Mo</v>
      </c>
      <c r="G43" s="85" t="str">
        <f>CONCATENATE(TEXT(G39/G41,"$0.00"),"/Cust/Mo")</f>
        <v>$15.53/Cust/Mo</v>
      </c>
      <c r="H43" s="86" t="str">
        <f>CONCATENATE(TEXT(H39/H41,"$0.00"),"/Cust/Mo")</f>
        <v>$24.95/Cust/Mo</v>
      </c>
      <c r="I43" s="87" t="str">
        <f>CONCATENATE(TEXT(I39/I41,"$0.0000"),"/Mcf")</f>
        <v>$3.6752/Mcf</v>
      </c>
      <c r="J43" s="87" t="str">
        <f>CONCATENATE(TEXT(J39/J41,"$0.0000"),"/Mcf")</f>
        <v>$0.3094/Mcf</v>
      </c>
      <c r="K43" s="87" t="str">
        <f>CONCATENATE(TEXT(K39/K41,"$0.0000"),"/Mcf")</f>
        <v>$0.0654/Mcf</v>
      </c>
      <c r="L43" s="87" t="str">
        <f>CONCATENATE(TEXT(L39/L41,"$0.0000"),"/Mcf")</f>
        <v>$35.0380/Mcf</v>
      </c>
      <c r="M43" s="87" t="str">
        <f>CONCATENATE(TEXT(M39/M41,"$0.0000"),"/Mcf")</f>
        <v>$34.3338/Mcf</v>
      </c>
      <c r="N43" s="88"/>
    </row>
    <row r="44" spans="2:16" ht="15.75" x14ac:dyDescent="0.2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2:16" ht="15.75" x14ac:dyDescent="0.25">
      <c r="B45" s="37"/>
      <c r="C45" s="37"/>
      <c r="D45" s="37"/>
      <c r="E45" s="37"/>
      <c r="F45" s="37"/>
      <c r="G45" s="37"/>
      <c r="H45" s="37"/>
      <c r="I45" s="154"/>
      <c r="J45" s="37"/>
      <c r="K45" s="37"/>
      <c r="L45" s="37"/>
      <c r="M45" s="89"/>
      <c r="N45" s="37"/>
    </row>
    <row r="46" spans="2:16" x14ac:dyDescent="0.2">
      <c r="M46" s="30"/>
      <c r="N46" s="27"/>
    </row>
    <row r="47" spans="2:16" x14ac:dyDescent="0.2">
      <c r="H47" s="155"/>
      <c r="I47" s="157"/>
      <c r="K47" s="27"/>
      <c r="M47" s="155"/>
      <c r="N47" s="156"/>
    </row>
    <row r="48" spans="2:16" x14ac:dyDescent="0.2">
      <c r="M48" s="30"/>
    </row>
    <row r="49" spans="9:13" x14ac:dyDescent="0.2">
      <c r="M49" s="30"/>
    </row>
    <row r="50" spans="9:13" x14ac:dyDescent="0.2">
      <c r="M50" s="30"/>
    </row>
    <row r="51" spans="9:13" x14ac:dyDescent="0.2">
      <c r="M51" s="30"/>
    </row>
    <row r="52" spans="9:13" x14ac:dyDescent="0.2">
      <c r="M52" s="30"/>
    </row>
    <row r="53" spans="9:13" x14ac:dyDescent="0.2">
      <c r="M53" s="30"/>
    </row>
    <row r="54" spans="9:13" x14ac:dyDescent="0.2">
      <c r="M54" s="30"/>
    </row>
    <row r="55" spans="9:13" x14ac:dyDescent="0.2">
      <c r="M55" s="30"/>
    </row>
    <row r="56" spans="9:13" x14ac:dyDescent="0.2">
      <c r="M56" s="30"/>
    </row>
    <row r="57" spans="9:13" x14ac:dyDescent="0.2">
      <c r="M57" s="30"/>
    </row>
    <row r="58" spans="9:13" x14ac:dyDescent="0.2">
      <c r="M58" s="30"/>
    </row>
    <row r="59" spans="9:13" x14ac:dyDescent="0.2">
      <c r="M59" s="30"/>
    </row>
    <row r="60" spans="9:13" x14ac:dyDescent="0.2">
      <c r="M60" s="30"/>
    </row>
    <row r="61" spans="9:13" x14ac:dyDescent="0.2">
      <c r="M61" s="30"/>
    </row>
    <row r="62" spans="9:13" x14ac:dyDescent="0.2">
      <c r="M62" s="30"/>
    </row>
    <row r="63" spans="9:13" x14ac:dyDescent="0.2">
      <c r="M63" s="30"/>
    </row>
    <row r="64" spans="9:13" x14ac:dyDescent="0.2">
      <c r="I64" s="31"/>
      <c r="J64" s="25"/>
      <c r="K64" s="25"/>
    </row>
    <row r="65" spans="9:11" x14ac:dyDescent="0.2">
      <c r="I65" s="25"/>
      <c r="J65" s="25"/>
      <c r="K65" s="32"/>
    </row>
    <row r="66" spans="9:11" x14ac:dyDescent="0.2">
      <c r="I66" s="25"/>
      <c r="J66" s="25"/>
      <c r="K66" s="33"/>
    </row>
    <row r="67" spans="9:11" x14ac:dyDescent="0.2">
      <c r="I67" s="25"/>
      <c r="J67" s="25"/>
      <c r="K67" s="33"/>
    </row>
    <row r="68" spans="9:11" x14ac:dyDescent="0.2">
      <c r="I68" s="25"/>
      <c r="J68" s="25"/>
      <c r="K68" s="34"/>
    </row>
    <row r="69" spans="9:11" x14ac:dyDescent="0.2">
      <c r="I69" s="25"/>
      <c r="J69" s="25"/>
      <c r="K69" s="35"/>
    </row>
    <row r="70" spans="9:11" x14ac:dyDescent="0.2">
      <c r="I70" s="25"/>
      <c r="J70" s="25"/>
      <c r="K70" s="36"/>
    </row>
    <row r="71" spans="9:11" x14ac:dyDescent="0.2">
      <c r="I71" s="25"/>
      <c r="J71" s="25"/>
      <c r="K71" s="25"/>
    </row>
    <row r="72" spans="9:11" x14ac:dyDescent="0.2">
      <c r="I72" s="25"/>
      <c r="J72" s="25"/>
      <c r="K72" s="25"/>
    </row>
    <row r="73" spans="9:11" x14ac:dyDescent="0.2">
      <c r="I73" s="25"/>
      <c r="J73" s="25"/>
      <c r="K73" s="33"/>
    </row>
  </sheetData>
  <mergeCells count="1">
    <mergeCell ref="E10:H10"/>
  </mergeCells>
  <printOptions horizontalCentered="1"/>
  <pageMargins left="0.5" right="0.5" top="1" bottom="0.5" header="0.5" footer="0.25"/>
  <pageSetup scale="51" orientation="landscape" r:id="rId1"/>
  <headerFooter alignWithMargins="0">
    <oddFooter>&amp;R&amp;"Times New Roman,Bold"&amp;12Exhibit MJB - 17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3"/>
  <sheetViews>
    <sheetView view="pageBreakPreview" zoomScale="80" zoomScaleNormal="90" zoomScaleSheetLayoutView="80" workbookViewId="0"/>
  </sheetViews>
  <sheetFormatPr defaultColWidth="9.140625" defaultRowHeight="12.75" x14ac:dyDescent="0.2"/>
  <cols>
    <col min="1" max="1" width="9.140625" style="26"/>
    <col min="2" max="2" width="4.28515625" style="26" customWidth="1"/>
    <col min="3" max="3" width="55.7109375" style="26" bestFit="1" customWidth="1"/>
    <col min="4" max="4" width="34.28515625" style="26" hidden="1" customWidth="1"/>
    <col min="5" max="5" width="22.140625" style="26" customWidth="1"/>
    <col min="6" max="6" width="22" style="26" customWidth="1"/>
    <col min="7" max="7" width="21.140625" style="26" customWidth="1"/>
    <col min="8" max="8" width="22" style="26" customWidth="1"/>
    <col min="9" max="9" width="20.140625" style="26" customWidth="1"/>
    <col min="10" max="10" width="18.42578125" style="26" customWidth="1"/>
    <col min="11" max="11" width="14.7109375" style="26" customWidth="1"/>
    <col min="12" max="12" width="17.42578125" style="26" customWidth="1"/>
    <col min="13" max="13" width="18.28515625" style="26" customWidth="1"/>
    <col min="14" max="14" width="20.140625" style="26" customWidth="1"/>
    <col min="15" max="15" width="9.140625" style="26"/>
    <col min="16" max="16" width="14.85546875" style="26" customWidth="1"/>
    <col min="17" max="16384" width="9.140625" style="26"/>
  </cols>
  <sheetData>
    <row r="1" spans="2:16" ht="20.25" x14ac:dyDescent="0.3">
      <c r="B1" s="193" t="s">
        <v>746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4" t="s">
        <v>881</v>
      </c>
    </row>
    <row r="2" spans="2:16" ht="15.75" x14ac:dyDescent="0.25">
      <c r="B2" s="192" t="s">
        <v>772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4" t="s">
        <v>880</v>
      </c>
    </row>
    <row r="3" spans="2:16" ht="15.75" x14ac:dyDescent="0.25">
      <c r="B3" s="192" t="s">
        <v>861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2:16" ht="15.75" x14ac:dyDescent="0.25"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2:16" ht="15.75" x14ac:dyDescent="0.25">
      <c r="B5" s="192" t="s">
        <v>884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2:16" ht="15.75" x14ac:dyDescent="0.25"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2:16" x14ac:dyDescent="0.2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2:16" x14ac:dyDescent="0.2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2:16" ht="13.5" thickBot="1" x14ac:dyDescent="0.2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2:16" ht="16.5" thickBot="1" x14ac:dyDescent="0.3">
      <c r="B10" s="45"/>
      <c r="C10" s="46"/>
      <c r="D10" s="47"/>
      <c r="E10" s="199" t="s">
        <v>773</v>
      </c>
      <c r="F10" s="200"/>
      <c r="G10" s="200"/>
      <c r="H10" s="201"/>
      <c r="I10" s="48"/>
      <c r="J10" s="48"/>
      <c r="K10" s="49"/>
      <c r="L10" s="49"/>
      <c r="M10" s="173" t="s">
        <v>860</v>
      </c>
      <c r="N10" s="47"/>
    </row>
    <row r="11" spans="2:16" ht="15.75" x14ac:dyDescent="0.25">
      <c r="B11" s="50"/>
      <c r="C11" s="42"/>
      <c r="D11" s="51"/>
      <c r="E11" s="38" t="s">
        <v>774</v>
      </c>
      <c r="F11" s="39" t="s">
        <v>774</v>
      </c>
      <c r="G11" s="39"/>
      <c r="H11" s="40" t="s">
        <v>14</v>
      </c>
      <c r="I11" s="52" t="s">
        <v>859</v>
      </c>
      <c r="J11" s="52" t="s">
        <v>3</v>
      </c>
      <c r="K11" s="52" t="s">
        <v>244</v>
      </c>
      <c r="L11" s="52" t="s">
        <v>775</v>
      </c>
      <c r="M11" s="52" t="s">
        <v>775</v>
      </c>
      <c r="N11" s="51"/>
    </row>
    <row r="12" spans="2:16" ht="15.75" x14ac:dyDescent="0.25">
      <c r="B12" s="50"/>
      <c r="C12" s="42"/>
      <c r="D12" s="51"/>
      <c r="E12" s="38" t="s">
        <v>776</v>
      </c>
      <c r="F12" s="39" t="s">
        <v>777</v>
      </c>
      <c r="G12" s="39" t="s">
        <v>774</v>
      </c>
      <c r="H12" s="40" t="s">
        <v>774</v>
      </c>
      <c r="I12" s="52" t="s">
        <v>778</v>
      </c>
      <c r="J12" s="52" t="s">
        <v>809</v>
      </c>
      <c r="K12" s="52" t="s">
        <v>632</v>
      </c>
      <c r="L12" s="38" t="s">
        <v>776</v>
      </c>
      <c r="M12" s="38" t="s">
        <v>777</v>
      </c>
      <c r="N12" s="51"/>
    </row>
    <row r="13" spans="2:16" ht="16.5" thickBot="1" x14ac:dyDescent="0.3">
      <c r="B13" s="43"/>
      <c r="C13" s="53" t="s">
        <v>19</v>
      </c>
      <c r="D13" s="54" t="s">
        <v>710</v>
      </c>
      <c r="E13" s="55" t="s">
        <v>779</v>
      </c>
      <c r="F13" s="56" t="s">
        <v>780</v>
      </c>
      <c r="G13" s="56" t="s">
        <v>781</v>
      </c>
      <c r="H13" s="57" t="s">
        <v>782</v>
      </c>
      <c r="I13" s="54" t="s">
        <v>782</v>
      </c>
      <c r="J13" s="54" t="s">
        <v>782</v>
      </c>
      <c r="K13" s="54" t="s">
        <v>782</v>
      </c>
      <c r="L13" s="55" t="s">
        <v>779</v>
      </c>
      <c r="M13" s="55" t="s">
        <v>779</v>
      </c>
      <c r="N13" s="54" t="s">
        <v>783</v>
      </c>
    </row>
    <row r="14" spans="2:16" ht="15.75" x14ac:dyDescent="0.25">
      <c r="B14" s="45"/>
      <c r="C14" s="46"/>
      <c r="D14" s="58"/>
      <c r="E14" s="45"/>
      <c r="F14" s="59"/>
      <c r="G14" s="59"/>
      <c r="H14" s="46"/>
      <c r="I14" s="45"/>
      <c r="J14" s="46"/>
      <c r="K14" s="45"/>
      <c r="L14" s="47"/>
      <c r="M14" s="46"/>
      <c r="N14" s="47"/>
    </row>
    <row r="15" spans="2:16" ht="15.75" x14ac:dyDescent="0.25">
      <c r="B15" s="60" t="s">
        <v>711</v>
      </c>
      <c r="C15" s="61" t="s">
        <v>245</v>
      </c>
      <c r="D15" s="62" t="s">
        <v>822</v>
      </c>
      <c r="E15" s="63">
        <f>'WSS-34'!H80</f>
        <v>10782361.723586287</v>
      </c>
      <c r="F15" s="64">
        <f>'WSS-34'!H82</f>
        <v>872487.45542282658</v>
      </c>
      <c r="G15" s="64">
        <f>'WSS-34'!H86+'WSS-34'!H89+'WSS-34'!H92+'WSS-34'!H95</f>
        <v>73424171.165409803</v>
      </c>
      <c r="H15" s="65">
        <f>E15+F15+G15</f>
        <v>85079020.344418913</v>
      </c>
      <c r="I15" s="66">
        <f>'WSS-34'!H62+'WSS-34'!H68</f>
        <v>62809224.485458806</v>
      </c>
      <c r="J15" s="65">
        <f>'WSS-34'!H63</f>
        <v>703739.25721153046</v>
      </c>
      <c r="K15" s="64">
        <f>'WSS-34'!H58+'WSS-34'!H72</f>
        <v>157345.84333427125</v>
      </c>
      <c r="L15" s="67">
        <f>'WSS-34'!H79</f>
        <v>19613278.10318242</v>
      </c>
      <c r="M15" s="68">
        <f>'WSS-34'!H57+'WSS-34'!H67+'WSS-34'!H75+'WSS-34'!H81</f>
        <v>18238955.868452858</v>
      </c>
      <c r="N15" s="69">
        <f>E15+F15+G15+K15+L15+M15+I15+J15</f>
        <v>186601563.90205881</v>
      </c>
      <c r="O15" s="27"/>
    </row>
    <row r="16" spans="2:16" ht="15.75" x14ac:dyDescent="0.25">
      <c r="B16" s="60" t="s">
        <v>784</v>
      </c>
      <c r="C16" s="61" t="s">
        <v>668</v>
      </c>
      <c r="D16" s="62" t="s">
        <v>823</v>
      </c>
      <c r="E16" s="70">
        <f>(E15/$N$15)*$N$16</f>
        <v>0</v>
      </c>
      <c r="F16" s="71">
        <f t="shared" ref="F16:M16" si="0">(F15/$N$15)*$N$16</f>
        <v>0</v>
      </c>
      <c r="G16" s="71">
        <f t="shared" si="0"/>
        <v>0</v>
      </c>
      <c r="H16" s="72">
        <f>E16+F16+G16</f>
        <v>0</v>
      </c>
      <c r="I16" s="70">
        <f t="shared" si="0"/>
        <v>0</v>
      </c>
      <c r="J16" s="72">
        <f t="shared" si="0"/>
        <v>0</v>
      </c>
      <c r="K16" s="71">
        <f t="shared" si="0"/>
        <v>0</v>
      </c>
      <c r="L16" s="73">
        <f t="shared" si="0"/>
        <v>0</v>
      </c>
      <c r="M16" s="72">
        <f t="shared" si="0"/>
        <v>0</v>
      </c>
      <c r="N16" s="73">
        <f>'WSS-34'!G524+'WSS-34'!G525</f>
        <v>0</v>
      </c>
      <c r="O16" s="27"/>
      <c r="P16" s="27"/>
    </row>
    <row r="17" spans="2:19" ht="15.75" x14ac:dyDescent="0.25">
      <c r="B17" s="60" t="s">
        <v>785</v>
      </c>
      <c r="C17" s="61" t="s">
        <v>833</v>
      </c>
      <c r="D17" s="62" t="s">
        <v>786</v>
      </c>
      <c r="E17" s="63">
        <f>E15+E16</f>
        <v>10782361.723586287</v>
      </c>
      <c r="F17" s="64">
        <f>F15+F16</f>
        <v>872487.45542282658</v>
      </c>
      <c r="G17" s="64">
        <f>G15+G16</f>
        <v>73424171.165409803</v>
      </c>
      <c r="H17" s="65">
        <f>E17+F17+G17</f>
        <v>85079020.344418913</v>
      </c>
      <c r="I17" s="66">
        <f>I15+I16</f>
        <v>62809224.485458806</v>
      </c>
      <c r="J17" s="65">
        <f>J15+J16</f>
        <v>703739.25721153046</v>
      </c>
      <c r="K17" s="64">
        <f>K15+K16</f>
        <v>157345.84333427125</v>
      </c>
      <c r="L17" s="67">
        <f>L15+L16</f>
        <v>19613278.10318242</v>
      </c>
      <c r="M17" s="68">
        <f>M15+M16</f>
        <v>18238955.868452858</v>
      </c>
      <c r="N17" s="74">
        <f>E17+F17+G17+K17+L17+M17+I17+J17</f>
        <v>186601563.90205881</v>
      </c>
    </row>
    <row r="18" spans="2:19" ht="15.75" x14ac:dyDescent="0.25">
      <c r="B18" s="60"/>
      <c r="C18" s="61"/>
      <c r="D18" s="62"/>
      <c r="E18" s="63"/>
      <c r="F18" s="64"/>
      <c r="G18" s="64"/>
      <c r="H18" s="65"/>
      <c r="I18" s="66"/>
      <c r="J18" s="65"/>
      <c r="K18" s="64"/>
      <c r="L18" s="67"/>
      <c r="M18" s="68"/>
      <c r="N18" s="69"/>
    </row>
    <row r="19" spans="2:19" ht="15.75" x14ac:dyDescent="0.25">
      <c r="B19" s="60" t="s">
        <v>787</v>
      </c>
      <c r="C19" s="61" t="s">
        <v>362</v>
      </c>
      <c r="D19" s="62" t="s">
        <v>831</v>
      </c>
      <c r="E19" s="75">
        <f>'WSS-34'!H573</f>
        <v>9.1826676457540127E-2</v>
      </c>
      <c r="F19" s="76">
        <f>E19</f>
        <v>9.1826676457540127E-2</v>
      </c>
      <c r="G19" s="76">
        <f>E19</f>
        <v>9.1826676457540127E-2</v>
      </c>
      <c r="H19" s="77">
        <f>E19</f>
        <v>9.1826676457540127E-2</v>
      </c>
      <c r="I19" s="75">
        <f>E19</f>
        <v>9.1826676457540127E-2</v>
      </c>
      <c r="J19" s="77">
        <f>E19</f>
        <v>9.1826676457540127E-2</v>
      </c>
      <c r="K19" s="76">
        <f>E19</f>
        <v>9.1826676457540127E-2</v>
      </c>
      <c r="L19" s="78">
        <f>F19</f>
        <v>9.1826676457540127E-2</v>
      </c>
      <c r="M19" s="77">
        <f>G19</f>
        <v>9.1826676457540127E-2</v>
      </c>
      <c r="N19" s="77">
        <f>E19</f>
        <v>9.1826676457540127E-2</v>
      </c>
    </row>
    <row r="20" spans="2:19" ht="15.75" x14ac:dyDescent="0.25">
      <c r="B20" s="50"/>
      <c r="C20" s="61"/>
      <c r="D20" s="62"/>
      <c r="E20" s="50"/>
      <c r="F20" s="41"/>
      <c r="G20" s="41"/>
      <c r="H20" s="42"/>
      <c r="I20" s="50"/>
      <c r="J20" s="42"/>
      <c r="K20" s="41"/>
      <c r="L20" s="51"/>
      <c r="M20" s="42"/>
      <c r="N20" s="51"/>
    </row>
    <row r="21" spans="2:19" ht="15.75" x14ac:dyDescent="0.25">
      <c r="B21" s="60" t="s">
        <v>788</v>
      </c>
      <c r="C21" s="61" t="s">
        <v>834</v>
      </c>
      <c r="D21" s="62" t="s">
        <v>789</v>
      </c>
      <c r="E21" s="63">
        <f>E17*E19</f>
        <v>990108.44143992267</v>
      </c>
      <c r="F21" s="64">
        <f>F17*F19</f>
        <v>80117.623282374363</v>
      </c>
      <c r="G21" s="64">
        <f>G17*G19</f>
        <v>6742297.6097691329</v>
      </c>
      <c r="H21" s="65">
        <f>E21+F21+G21</f>
        <v>7812523.6744914297</v>
      </c>
      <c r="I21" s="63">
        <f>I17*I19</f>
        <v>5767562.3353752326</v>
      </c>
      <c r="J21" s="68">
        <f>J17*J19</f>
        <v>64622.03708243282</v>
      </c>
      <c r="K21" s="64">
        <f>K17*K19</f>
        <v>14448.545847794923</v>
      </c>
      <c r="L21" s="67">
        <f>L17*L19</f>
        <v>1801022.1426526883</v>
      </c>
      <c r="M21" s="68">
        <f>M17*M19</f>
        <v>1674822.6994557735</v>
      </c>
      <c r="N21" s="69">
        <f>E21+F21+G21+K21+L21+M21+I21+J21</f>
        <v>17135001.43490535</v>
      </c>
      <c r="P21" s="27"/>
    </row>
    <row r="22" spans="2:19" ht="15.75" x14ac:dyDescent="0.25">
      <c r="B22" s="50"/>
      <c r="C22" s="61"/>
      <c r="D22" s="62"/>
      <c r="E22" s="50"/>
      <c r="F22" s="41"/>
      <c r="G22" s="41"/>
      <c r="H22" s="42"/>
      <c r="I22" s="50"/>
      <c r="J22" s="42"/>
      <c r="K22" s="41"/>
      <c r="L22" s="51"/>
      <c r="M22" s="42"/>
      <c r="N22" s="51"/>
    </row>
    <row r="23" spans="2:19" ht="15.75" x14ac:dyDescent="0.25">
      <c r="B23" s="60" t="s">
        <v>790</v>
      </c>
      <c r="C23" s="61" t="s">
        <v>364</v>
      </c>
      <c r="D23" s="62" t="s">
        <v>824</v>
      </c>
      <c r="E23" s="63">
        <f>'WSS-34'!H443</f>
        <v>286598.64656531805</v>
      </c>
      <c r="F23" s="64">
        <f>'WSS-34'!H445</f>
        <v>21094.143112711601</v>
      </c>
      <c r="G23" s="64">
        <f>'WSS-34'!H449+'WSS-34'!H452+'WSS-34'!H455+'WSS-34'!H458</f>
        <v>1763470.2459138378</v>
      </c>
      <c r="H23" s="65">
        <f>E23+F23+G23</f>
        <v>2071163.0355918675</v>
      </c>
      <c r="I23" s="63">
        <f>'WSS-34'!H426+'WSS-34'!H432</f>
        <v>1099194.4474267177</v>
      </c>
      <c r="J23" s="68">
        <f>'WSS-34'!H427</f>
        <v>0</v>
      </c>
      <c r="K23" s="64">
        <f>'WSS-34'!H422+'WSS-34'!H436</f>
        <v>0</v>
      </c>
      <c r="L23" s="67">
        <f>'WSS-34'!H442</f>
        <v>591570.10070971714</v>
      </c>
      <c r="M23" s="68">
        <f>'WSS-34'!H421+'WSS-34'!H431+'WSS-34'!H439+'WSS-34'!H444</f>
        <v>347763.40748187678</v>
      </c>
      <c r="N23" s="69">
        <f>E23+F23+G23+K23+L23+M23+I23+J23</f>
        <v>4109690.9912101789</v>
      </c>
    </row>
    <row r="24" spans="2:19" ht="15.75" x14ac:dyDescent="0.25">
      <c r="B24" s="50"/>
      <c r="C24" s="61"/>
      <c r="D24" s="62"/>
      <c r="E24" s="50"/>
      <c r="F24" s="41"/>
      <c r="G24" s="41"/>
      <c r="H24" s="42"/>
      <c r="I24" s="50"/>
      <c r="J24" s="42"/>
      <c r="K24" s="41"/>
      <c r="L24" s="51"/>
      <c r="M24" s="42"/>
      <c r="N24" s="51"/>
    </row>
    <row r="25" spans="2:19" ht="15.75" x14ac:dyDescent="0.25">
      <c r="B25" s="60" t="s">
        <v>791</v>
      </c>
      <c r="C25" s="61" t="s">
        <v>835</v>
      </c>
      <c r="D25" s="62" t="s">
        <v>792</v>
      </c>
      <c r="E25" s="66">
        <f t="shared" ref="E25:M25" si="1">E21-E23</f>
        <v>703509.79487460456</v>
      </c>
      <c r="F25" s="79">
        <f t="shared" si="1"/>
        <v>59023.480169662762</v>
      </c>
      <c r="G25" s="79">
        <f t="shared" si="1"/>
        <v>4978827.3638552949</v>
      </c>
      <c r="H25" s="65">
        <f t="shared" si="1"/>
        <v>5741360.6388995619</v>
      </c>
      <c r="I25" s="66">
        <f t="shared" si="1"/>
        <v>4668367.8879485149</v>
      </c>
      <c r="J25" s="65">
        <f t="shared" si="1"/>
        <v>64622.03708243282</v>
      </c>
      <c r="K25" s="79">
        <f t="shared" si="1"/>
        <v>14448.545847794923</v>
      </c>
      <c r="L25" s="69">
        <f t="shared" si="1"/>
        <v>1209452.0419429713</v>
      </c>
      <c r="M25" s="65">
        <f t="shared" si="1"/>
        <v>1327059.2919738968</v>
      </c>
      <c r="N25" s="69">
        <f>N21-N23</f>
        <v>13025310.443695171</v>
      </c>
    </row>
    <row r="26" spans="2:19" ht="15.75" x14ac:dyDescent="0.25">
      <c r="B26" s="50"/>
      <c r="C26" s="61"/>
      <c r="D26" s="62"/>
      <c r="E26" s="50"/>
      <c r="F26" s="41"/>
      <c r="G26" s="41"/>
      <c r="H26" s="42"/>
      <c r="I26" s="50"/>
      <c r="J26" s="42"/>
      <c r="K26" s="41"/>
      <c r="L26" s="51"/>
      <c r="M26" s="42"/>
      <c r="N26" s="51"/>
    </row>
    <row r="27" spans="2:19" ht="15.75" x14ac:dyDescent="0.25">
      <c r="B27" s="60" t="s">
        <v>793</v>
      </c>
      <c r="C27" s="61" t="s">
        <v>297</v>
      </c>
      <c r="D27" s="80" t="s">
        <v>808</v>
      </c>
      <c r="E27" s="63">
        <f>$P$27*(E25/$N$25)</f>
        <v>189820.66937789848</v>
      </c>
      <c r="F27" s="64">
        <f>$P$27*(F25/$N$25)</f>
        <v>15925.686602296008</v>
      </c>
      <c r="G27" s="64">
        <f>$P$27*(G25/$N$25)</f>
        <v>1343384.7684984459</v>
      </c>
      <c r="H27" s="65">
        <f>E27+G27+F27</f>
        <v>1549131.1244786405</v>
      </c>
      <c r="I27" s="63">
        <f>$P$27*(I25/$N$25)</f>
        <v>1259616.7442851646</v>
      </c>
      <c r="J27" s="68">
        <f>$P$27*(J25/$N$25)</f>
        <v>17436.286495111566</v>
      </c>
      <c r="K27" s="64">
        <f>$P$27*(K25/$N$25)</f>
        <v>3898.499586426572</v>
      </c>
      <c r="L27" s="67">
        <f>$P$27*(L25/$N$25)</f>
        <v>326333.7594652847</v>
      </c>
      <c r="M27" s="64">
        <f>$P$27*(M25/$N$25)</f>
        <v>358066.49024914432</v>
      </c>
      <c r="N27" s="69">
        <f>E27+F27+G27+K27+L27+M27+I27+J27</f>
        <v>3514482.904559772</v>
      </c>
      <c r="P27" s="28">
        <f>'WSS-34'!H519+'WSS-34'!H509+'WSS-34'!H565</f>
        <v>3514482.9045597715</v>
      </c>
      <c r="S27" s="26">
        <f>1-(N27/N25)</f>
        <v>0.73018048823082471</v>
      </c>
    </row>
    <row r="28" spans="2:19" ht="15.75" x14ac:dyDescent="0.25">
      <c r="B28" s="50"/>
      <c r="C28" s="61"/>
      <c r="D28" s="62"/>
      <c r="E28" s="50"/>
      <c r="F28" s="41"/>
      <c r="G28" s="41"/>
      <c r="H28" s="42"/>
      <c r="I28" s="50"/>
      <c r="J28" s="42"/>
      <c r="K28" s="41"/>
      <c r="L28" s="51"/>
      <c r="M28" s="42"/>
      <c r="N28" s="51"/>
    </row>
    <row r="29" spans="2:19" ht="15.75" x14ac:dyDescent="0.25">
      <c r="B29" s="60" t="s">
        <v>794</v>
      </c>
      <c r="C29" s="61" t="s">
        <v>171</v>
      </c>
      <c r="D29" s="62" t="s">
        <v>825</v>
      </c>
      <c r="E29" s="63">
        <f>'WSS-34'!H126</f>
        <v>1148970.235912798</v>
      </c>
      <c r="F29" s="64">
        <f>'WSS-34'!H128</f>
        <v>84566.144603431938</v>
      </c>
      <c r="G29" s="64">
        <f>'WSS-34'!H132+'WSS-34'!H135+'WSS-34'!H138+'WSS-34'!H141</f>
        <v>5835381.4677410899</v>
      </c>
      <c r="H29" s="65">
        <f>E29+F29+G29</f>
        <v>7068917.84825732</v>
      </c>
      <c r="I29" s="66">
        <f>'WSS-34'!H109+'WSS-34'!H115</f>
        <v>5761059.9625361674</v>
      </c>
      <c r="J29" s="65">
        <f>'WSS-34'!H110</f>
        <v>2899891.5737186512</v>
      </c>
      <c r="K29" s="64">
        <f>'WSS-34'!H105+'WSS-34'!H119</f>
        <v>648373.49994183634</v>
      </c>
      <c r="L29" s="67">
        <f>'WSS-34'!H125</f>
        <v>2371596.8177696648</v>
      </c>
      <c r="M29" s="68">
        <f>'WSS-34'!H104+'WSS-34'!H114+'WSS-34'!H122+'WSS-34'!H127</f>
        <v>2845880.7680310388</v>
      </c>
      <c r="N29" s="69">
        <f>E29+F29+G29+K29+L29+M29+I29+J29</f>
        <v>21595720.470254678</v>
      </c>
    </row>
    <row r="30" spans="2:19" ht="15.75" x14ac:dyDescent="0.25">
      <c r="B30" s="60" t="s">
        <v>795</v>
      </c>
      <c r="C30" s="61" t="s">
        <v>173</v>
      </c>
      <c r="D30" s="62" t="s">
        <v>826</v>
      </c>
      <c r="E30" s="70">
        <f>'WSS-34'!H219</f>
        <v>474395.11493603437</v>
      </c>
      <c r="F30" s="71">
        <f>'WSS-34'!H221</f>
        <v>34916.279495239396</v>
      </c>
      <c r="G30" s="71">
        <f>'WSS-34'!H225+'WSS-34'!H228+'WSS-34'!H231+'WSS-34'!H234</f>
        <v>5146088.9834237201</v>
      </c>
      <c r="H30" s="72">
        <f>E30+F30+G30</f>
        <v>5655400.3778549936</v>
      </c>
      <c r="I30" s="70">
        <f>'WSS-34'!H202+'WSS-34'!H208</f>
        <v>2029151.6327395979</v>
      </c>
      <c r="J30" s="72">
        <f>'WSS-34'!H203</f>
        <v>0</v>
      </c>
      <c r="K30" s="71">
        <f>'WSS-34'!H198+'WSS-34'!H212</f>
        <v>0</v>
      </c>
      <c r="L30" s="73">
        <f>'WSS-34'!H218</f>
        <v>979201.99303854059</v>
      </c>
      <c r="M30" s="72">
        <f>'WSS-34'!H197+'WSS-34'!H207+'WSS-34'!H215+'WSS-34'!H220</f>
        <v>613264.73108575714</v>
      </c>
      <c r="N30" s="73">
        <f>E30+F30+G30+K30+L30+M30+I30+J30</f>
        <v>9277018.734718889</v>
      </c>
    </row>
    <row r="31" spans="2:19" ht="15.75" x14ac:dyDescent="0.25">
      <c r="B31" s="60" t="s">
        <v>796</v>
      </c>
      <c r="C31" s="61" t="s">
        <v>215</v>
      </c>
      <c r="D31" s="62" t="s">
        <v>827</v>
      </c>
      <c r="E31" s="70">
        <f>'WSS-34'!H396</f>
        <v>192058.10995443081</v>
      </c>
      <c r="F31" s="71">
        <f>'WSS-34'!H398</f>
        <v>14135.800381082192</v>
      </c>
      <c r="G31" s="71">
        <f>'WSS-34'!H402+'WSS-34'!H405+'WSS-34'!H408+'WSS-34'!H411</f>
        <v>1181752.8325762597</v>
      </c>
      <c r="H31" s="72">
        <f>E31+F31+G31</f>
        <v>1387946.7429117728</v>
      </c>
      <c r="I31" s="70">
        <f>'WSS-34'!H379+'WSS-34'!H385</f>
        <v>736602.25048225024</v>
      </c>
      <c r="J31" s="72">
        <f>'WSS-34'!H380</f>
        <v>0</v>
      </c>
      <c r="K31" s="71">
        <f>'WSS-34'!H375+'WSS-34'!H389</f>
        <v>0</v>
      </c>
      <c r="L31" s="73">
        <f>'WSS-34'!H395</f>
        <v>396428.37399780471</v>
      </c>
      <c r="M31" s="72">
        <f>'WSS-34'!H374+'WSS-34'!H384+'WSS-34'!H392+'WSS-34'!H397</f>
        <v>233046.39973957336</v>
      </c>
      <c r="N31" s="73">
        <f>E31+F31+G31+K31+L31+M31+I31+J31</f>
        <v>2754023.7671314012</v>
      </c>
      <c r="P31" s="29"/>
    </row>
    <row r="32" spans="2:19" ht="15.75" x14ac:dyDescent="0.25">
      <c r="B32" s="60" t="s">
        <v>797</v>
      </c>
      <c r="C32" s="61" t="s">
        <v>105</v>
      </c>
      <c r="D32" s="62" t="s">
        <v>828</v>
      </c>
      <c r="E32" s="70">
        <f>'WSS-34'!H264+'WSS-34'!H308+'WSS-34'!H352</f>
        <v>-78.174064219121107</v>
      </c>
      <c r="F32" s="71">
        <f>'WSS-34'!H266+'WSS-34'!H310+'WSS-34'!H354</f>
        <v>-5.75374279712317</v>
      </c>
      <c r="G32" s="71">
        <f>'WSS-34'!H270+'WSS-34'!H273+'WSS-34'!H276+'WSS-34'!H279+'WSS-34'!H314+'WSS-34'!H317+'WSS-34'!H320+'WSS-34'!H323+'WSS-34'!H358+'WSS-34'!H361+'WSS-34'!H364+'WSS-34'!H367</f>
        <v>-487.22737007528502</v>
      </c>
      <c r="H32" s="72">
        <f>E32+F32+G32</f>
        <v>-571.15517709152925</v>
      </c>
      <c r="I32" s="70">
        <f>'WSS-34'!H247+'WSS-34'!H291+'WSS-34'!H335+'WSS-34'!H253+'WSS-34'!H297+'WSS-34'!H341</f>
        <v>-260.6356338786926</v>
      </c>
      <c r="J32" s="72">
        <f>'WSS-34'!H248+'WSS-34'!H292+'WSS-34'!H336</f>
        <v>0</v>
      </c>
      <c r="K32" s="71">
        <f>'WSS-34'!H243+'WSS-34'!H257+'WSS-34'!H287+'WSS-34'!H301+'WSS-34'!H331+'WSS-34'!H345+'WSS-34'!H375+'WSS-34'!H389</f>
        <v>0</v>
      </c>
      <c r="L32" s="73">
        <f>'WSS-34'!H307+'WSS-34'!H351+'WSS-34'!H263</f>
        <v>-161.35958629676807</v>
      </c>
      <c r="M32" s="71">
        <f>'WSS-34'!H242+'WSS-34'!H252+'WSS-34'!H260+'WSS-34'!H265+'WSS-34'!H286+'WSS-34'!H296+'WSS-34'!H304+'WSS-34'!H309+'WSS-34'!H330+'WSS-34'!H340+'WSS-34'!H348+'WSS-34'!H353</f>
        <v>-88.332577827704981</v>
      </c>
      <c r="N32" s="73">
        <f>E32+F32+G32+K32+L32+M32+I32+J32</f>
        <v>-1081.4829750946949</v>
      </c>
      <c r="P32" s="29"/>
    </row>
    <row r="33" spans="2:16" ht="15.75" x14ac:dyDescent="0.25">
      <c r="B33" s="60" t="s">
        <v>798</v>
      </c>
      <c r="C33" s="61" t="s">
        <v>843</v>
      </c>
      <c r="D33" s="62" t="s">
        <v>823</v>
      </c>
      <c r="E33" s="70">
        <f>(E29/$N$29)*$N$33</f>
        <v>1492.8298996868391</v>
      </c>
      <c r="F33" s="71">
        <f t="shared" ref="F33:M33" si="2">(F29/$N$29)*$N$33</f>
        <v>109.8747950289161</v>
      </c>
      <c r="G33" s="71">
        <f t="shared" si="2"/>
        <v>7581.773364391589</v>
      </c>
      <c r="H33" s="72">
        <f>E33+F33+G33</f>
        <v>9184.478059107345</v>
      </c>
      <c r="I33" s="70">
        <f t="shared" si="2"/>
        <v>7485.2091874514472</v>
      </c>
      <c r="J33" s="72">
        <f t="shared" si="2"/>
        <v>3767.7606536586391</v>
      </c>
      <c r="K33" s="71">
        <f t="shared" si="2"/>
        <v>842.41638001076706</v>
      </c>
      <c r="L33" s="73">
        <f t="shared" si="2"/>
        <v>3081.3597505909775</v>
      </c>
      <c r="M33" s="71">
        <f t="shared" si="2"/>
        <v>3697.5856890542791</v>
      </c>
      <c r="N33" s="73">
        <f>'WSS-34'!H499+'WSS-34'!H501+'WSS-34'!H566+'WSS-34'!H567</f>
        <v>28058.809719873454</v>
      </c>
      <c r="P33" s="27"/>
    </row>
    <row r="34" spans="2:16" ht="15.75" x14ac:dyDescent="0.25">
      <c r="B34" s="50"/>
      <c r="C34" s="61"/>
      <c r="D34" s="62"/>
      <c r="E34" s="50"/>
      <c r="F34" s="41"/>
      <c r="G34" s="41"/>
      <c r="H34" s="42"/>
      <c r="I34" s="50"/>
      <c r="J34" s="42"/>
      <c r="K34" s="41"/>
      <c r="L34" s="51"/>
      <c r="M34" s="42"/>
      <c r="N34" s="51"/>
    </row>
    <row r="35" spans="2:16" ht="15.75" x14ac:dyDescent="0.25">
      <c r="B35" s="60" t="s">
        <v>799</v>
      </c>
      <c r="C35" s="61" t="s">
        <v>836</v>
      </c>
      <c r="D35" s="62" t="s">
        <v>832</v>
      </c>
      <c r="E35" s="66">
        <f t="shared" ref="E35:M35" si="3">E21+E27+SUM(E29:E33)</f>
        <v>2996767.227456552</v>
      </c>
      <c r="F35" s="79">
        <f t="shared" si="3"/>
        <v>229765.65541665567</v>
      </c>
      <c r="G35" s="79">
        <f>G21+G27+SUM(G29:G33)</f>
        <v>20256000.208002962</v>
      </c>
      <c r="H35" s="65">
        <f t="shared" si="3"/>
        <v>23482533.09087617</v>
      </c>
      <c r="I35" s="66">
        <f t="shared" si="3"/>
        <v>15561217.498971986</v>
      </c>
      <c r="J35" s="65">
        <f t="shared" si="3"/>
        <v>2985717.6579498542</v>
      </c>
      <c r="K35" s="79">
        <f t="shared" si="3"/>
        <v>667562.96175606863</v>
      </c>
      <c r="L35" s="69">
        <f t="shared" si="3"/>
        <v>5877503.0870882776</v>
      </c>
      <c r="M35" s="65">
        <f t="shared" si="3"/>
        <v>5728690.3416725136</v>
      </c>
      <c r="N35" s="69">
        <f>N21+N27+SUM(N29:N33)</f>
        <v>54303224.638314873</v>
      </c>
    </row>
    <row r="36" spans="2:16" ht="15.75" x14ac:dyDescent="0.25">
      <c r="B36" s="50"/>
      <c r="C36" s="61"/>
      <c r="D36" s="62"/>
      <c r="E36" s="50"/>
      <c r="F36" s="41"/>
      <c r="G36" s="41"/>
      <c r="H36" s="42"/>
      <c r="I36" s="50"/>
      <c r="J36" s="42"/>
      <c r="K36" s="41"/>
      <c r="L36" s="51"/>
      <c r="M36" s="42"/>
      <c r="N36" s="51"/>
    </row>
    <row r="37" spans="2:16" ht="15.75" x14ac:dyDescent="0.25">
      <c r="B37" s="60" t="s">
        <v>801</v>
      </c>
      <c r="C37" s="61" t="s">
        <v>800</v>
      </c>
      <c r="D37" s="62" t="s">
        <v>829</v>
      </c>
      <c r="E37" s="70">
        <f>(E35/$N$35)*$N$37</f>
        <v>52793.246236422492</v>
      </c>
      <c r="F37" s="71">
        <f>(F35/$N$35)*$N$37</f>
        <v>4047.7200604531668</v>
      </c>
      <c r="G37" s="71">
        <f>(G35/$N$35)*$N$37</f>
        <v>356844.53465334408</v>
      </c>
      <c r="H37" s="72">
        <f>E37+F37+G37</f>
        <v>413685.50095021975</v>
      </c>
      <c r="I37" s="70">
        <f>(I35/$N$35)*$N$37</f>
        <v>274137.80410933343</v>
      </c>
      <c r="J37" s="72">
        <f>(J35/$N$35)*$N$37</f>
        <v>52598.588927563484</v>
      </c>
      <c r="K37" s="71">
        <f>(K35/$N$35)*$N$37</f>
        <v>11760.278040752359</v>
      </c>
      <c r="L37" s="73">
        <f>(L35/$N$35)*$N$37</f>
        <v>103542.39891876403</v>
      </c>
      <c r="M37" s="71">
        <f>(M35/$N$35)*$N$37</f>
        <v>100920.80460877808</v>
      </c>
      <c r="N37" s="69">
        <f>'WSS-34'!H467+'WSS-34'!H468+'WSS-34'!H469+'WSS-34'!H476+'WSS-34'!H562</f>
        <v>956645.37555541121</v>
      </c>
      <c r="P37" s="27"/>
    </row>
    <row r="38" spans="2:16" ht="15.75" x14ac:dyDescent="0.25">
      <c r="B38" s="50"/>
      <c r="C38" s="61"/>
      <c r="D38" s="62"/>
      <c r="E38" s="50"/>
      <c r="F38" s="41"/>
      <c r="G38" s="41"/>
      <c r="H38" s="42"/>
      <c r="I38" s="50"/>
      <c r="J38" s="42"/>
      <c r="K38" s="41"/>
      <c r="L38" s="51"/>
      <c r="M38" s="42"/>
      <c r="N38" s="51"/>
    </row>
    <row r="39" spans="2:16" ht="15.75" x14ac:dyDescent="0.25">
      <c r="B39" s="60" t="s">
        <v>803</v>
      </c>
      <c r="C39" s="61" t="s">
        <v>837</v>
      </c>
      <c r="D39" s="62" t="s">
        <v>802</v>
      </c>
      <c r="E39" s="66">
        <f t="shared" ref="E39:M39" si="4">E35-E37</f>
        <v>2943973.9812201294</v>
      </c>
      <c r="F39" s="79">
        <f t="shared" si="4"/>
        <v>225717.93535620251</v>
      </c>
      <c r="G39" s="79">
        <f t="shared" si="4"/>
        <v>19899155.673349619</v>
      </c>
      <c r="H39" s="65">
        <f t="shared" si="4"/>
        <v>23068847.589925949</v>
      </c>
      <c r="I39" s="66">
        <f t="shared" si="4"/>
        <v>15287079.694862653</v>
      </c>
      <c r="J39" s="65">
        <f t="shared" si="4"/>
        <v>2933119.0690222909</v>
      </c>
      <c r="K39" s="79">
        <f>K35-K37</f>
        <v>655802.68371531623</v>
      </c>
      <c r="L39" s="69">
        <f t="shared" si="4"/>
        <v>5773960.6881695138</v>
      </c>
      <c r="M39" s="65">
        <f t="shared" si="4"/>
        <v>5627769.5370637355</v>
      </c>
      <c r="N39" s="69">
        <f>N35-N37</f>
        <v>53346579.262759462</v>
      </c>
      <c r="P39" s="27"/>
    </row>
    <row r="40" spans="2:16" ht="15.75" x14ac:dyDescent="0.25">
      <c r="B40" s="50"/>
      <c r="C40" s="61"/>
      <c r="D40" s="62"/>
      <c r="E40" s="50"/>
      <c r="F40" s="41"/>
      <c r="G40" s="41"/>
      <c r="H40" s="42"/>
      <c r="I40" s="50"/>
      <c r="J40" s="42"/>
      <c r="K40" s="41"/>
      <c r="L40" s="51"/>
      <c r="M40" s="42"/>
      <c r="N40" s="51"/>
    </row>
    <row r="41" spans="2:16" ht="15.75" x14ac:dyDescent="0.25">
      <c r="B41" s="60" t="s">
        <v>804</v>
      </c>
      <c r="C41" s="61" t="s">
        <v>382</v>
      </c>
      <c r="D41" s="62" t="s">
        <v>830</v>
      </c>
      <c r="E41" s="70">
        <f>'WSS-34'!H605*12</f>
        <v>300949</v>
      </c>
      <c r="F41" s="71">
        <f>+$E$41</f>
        <v>300949</v>
      </c>
      <c r="G41" s="71">
        <f>+$E$41</f>
        <v>300949</v>
      </c>
      <c r="H41" s="72">
        <f>G41</f>
        <v>300949</v>
      </c>
      <c r="I41" s="70">
        <f>'WSS-34'!H590</f>
        <v>3670067.003</v>
      </c>
      <c r="J41" s="72">
        <f>'WSS-34'!H581</f>
        <v>9952828.4410313908</v>
      </c>
      <c r="K41" s="71">
        <f>'WSS-34'!H581</f>
        <v>9952828.4410313908</v>
      </c>
      <c r="L41" s="73">
        <f>'WSS-34'!H595</f>
        <v>148682</v>
      </c>
      <c r="M41" s="71">
        <f>'WSS-34'!H594</f>
        <v>148682</v>
      </c>
      <c r="N41" s="51"/>
    </row>
    <row r="42" spans="2:16" ht="16.5" thickBot="1" x14ac:dyDescent="0.3">
      <c r="B42" s="50"/>
      <c r="C42" s="61"/>
      <c r="D42" s="62"/>
      <c r="E42" s="50"/>
      <c r="F42" s="41"/>
      <c r="G42" s="41"/>
      <c r="H42" s="42"/>
      <c r="I42" s="43"/>
      <c r="J42" s="44"/>
      <c r="K42" s="50"/>
      <c r="L42" s="51"/>
      <c r="M42" s="42"/>
      <c r="N42" s="51"/>
    </row>
    <row r="43" spans="2:16" ht="16.5" thickBot="1" x14ac:dyDescent="0.3">
      <c r="B43" s="81" t="s">
        <v>807</v>
      </c>
      <c r="C43" s="82" t="s">
        <v>838</v>
      </c>
      <c r="D43" s="83" t="s">
        <v>805</v>
      </c>
      <c r="E43" s="84" t="str">
        <f>CONCATENATE(TEXT(E39/E41,"$0.00"),"/Cust/Mo")</f>
        <v>$9.78/Cust/Mo</v>
      </c>
      <c r="F43" s="85" t="str">
        <f>CONCATENATE(TEXT(F39/F41,"$0.00"),"/Cust/Mo")</f>
        <v>$0.75/Cust/Mo</v>
      </c>
      <c r="G43" s="85" t="str">
        <f>CONCATENATE(TEXT(G39/G41,"$0.00"),"/Cust/Mo")</f>
        <v>$66.12/Cust/Mo</v>
      </c>
      <c r="H43" s="86" t="str">
        <f>CONCATENATE(TEXT(H39/H41,"$0.00"),"/Cust/Mo")</f>
        <v>$76.65/Cust/Mo</v>
      </c>
      <c r="I43" s="87">
        <f>I39/I41</f>
        <v>4.1653407641785911</v>
      </c>
      <c r="J43" s="87">
        <f t="shared" ref="J43:M43" si="5">J39/J41</f>
        <v>0.29470206247404562</v>
      </c>
      <c r="K43" s="87">
        <f t="shared" si="5"/>
        <v>6.5891086900655621E-2</v>
      </c>
      <c r="L43" s="87">
        <f t="shared" si="5"/>
        <v>38.834295262166997</v>
      </c>
      <c r="M43" s="87">
        <f t="shared" si="5"/>
        <v>37.851048123268022</v>
      </c>
      <c r="N43" s="88"/>
    </row>
    <row r="44" spans="2:16" ht="15.75" x14ac:dyDescent="0.2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2:16" ht="15.75" x14ac:dyDescent="0.25">
      <c r="B45" s="37"/>
      <c r="C45" s="37"/>
      <c r="D45" s="37"/>
      <c r="E45" s="37"/>
      <c r="F45" s="37"/>
      <c r="G45" s="37"/>
      <c r="H45" s="154"/>
      <c r="I45" s="37"/>
      <c r="J45" s="37"/>
      <c r="K45" s="37"/>
      <c r="L45" s="89"/>
      <c r="M45" s="37"/>
    </row>
    <row r="46" spans="2:16" x14ac:dyDescent="0.2">
      <c r="H46" s="188"/>
      <c r="J46" s="177"/>
      <c r="M46" s="30"/>
      <c r="N46" s="27"/>
    </row>
    <row r="47" spans="2:16" x14ac:dyDescent="0.2">
      <c r="H47" s="155"/>
      <c r="I47" s="157"/>
      <c r="J47" s="178"/>
      <c r="K47" s="27"/>
      <c r="M47" s="155" t="s">
        <v>844</v>
      </c>
      <c r="N47" s="156">
        <f>N39/H41</f>
        <v>177.26119463018472</v>
      </c>
    </row>
    <row r="48" spans="2:16" x14ac:dyDescent="0.2">
      <c r="M48" s="30"/>
    </row>
    <row r="49" spans="9:13" x14ac:dyDescent="0.2">
      <c r="M49" s="30"/>
    </row>
    <row r="50" spans="9:13" x14ac:dyDescent="0.2">
      <c r="M50" s="30"/>
    </row>
    <row r="51" spans="9:13" x14ac:dyDescent="0.2">
      <c r="M51" s="30"/>
    </row>
    <row r="52" spans="9:13" x14ac:dyDescent="0.2">
      <c r="M52" s="30"/>
    </row>
    <row r="53" spans="9:13" x14ac:dyDescent="0.2">
      <c r="M53" s="30"/>
    </row>
    <row r="54" spans="9:13" x14ac:dyDescent="0.2">
      <c r="M54" s="30"/>
    </row>
    <row r="55" spans="9:13" x14ac:dyDescent="0.2">
      <c r="M55" s="30"/>
    </row>
    <row r="56" spans="9:13" x14ac:dyDescent="0.2">
      <c r="M56" s="30"/>
    </row>
    <row r="57" spans="9:13" x14ac:dyDescent="0.2">
      <c r="M57" s="30"/>
    </row>
    <row r="58" spans="9:13" x14ac:dyDescent="0.2">
      <c r="M58" s="30"/>
    </row>
    <row r="59" spans="9:13" x14ac:dyDescent="0.2">
      <c r="M59" s="30"/>
    </row>
    <row r="60" spans="9:13" x14ac:dyDescent="0.2">
      <c r="M60" s="30"/>
    </row>
    <row r="61" spans="9:13" x14ac:dyDescent="0.2">
      <c r="M61" s="30"/>
    </row>
    <row r="62" spans="9:13" x14ac:dyDescent="0.2">
      <c r="M62" s="30"/>
    </row>
    <row r="63" spans="9:13" x14ac:dyDescent="0.2">
      <c r="M63" s="30"/>
    </row>
    <row r="64" spans="9:13" x14ac:dyDescent="0.2">
      <c r="I64" s="31"/>
      <c r="J64" s="25"/>
      <c r="K64" s="25"/>
    </row>
    <row r="65" spans="9:11" x14ac:dyDescent="0.2">
      <c r="I65" s="25"/>
      <c r="J65" s="25"/>
      <c r="K65" s="32"/>
    </row>
    <row r="66" spans="9:11" x14ac:dyDescent="0.2">
      <c r="I66" s="25"/>
      <c r="J66" s="25"/>
      <c r="K66" s="33"/>
    </row>
    <row r="67" spans="9:11" x14ac:dyDescent="0.2">
      <c r="I67" s="25"/>
      <c r="J67" s="25"/>
      <c r="K67" s="33"/>
    </row>
    <row r="68" spans="9:11" x14ac:dyDescent="0.2">
      <c r="I68" s="25"/>
      <c r="J68" s="25"/>
      <c r="K68" s="34"/>
    </row>
    <row r="69" spans="9:11" x14ac:dyDescent="0.2">
      <c r="I69" s="25"/>
      <c r="J69" s="25"/>
      <c r="K69" s="35"/>
    </row>
    <row r="70" spans="9:11" x14ac:dyDescent="0.2">
      <c r="I70" s="25"/>
      <c r="J70" s="25"/>
      <c r="K70" s="36"/>
    </row>
    <row r="71" spans="9:11" x14ac:dyDescent="0.2">
      <c r="I71" s="25"/>
      <c r="J71" s="25"/>
      <c r="K71" s="25"/>
    </row>
    <row r="72" spans="9:11" x14ac:dyDescent="0.2">
      <c r="I72" s="25"/>
      <c r="J72" s="25"/>
      <c r="K72" s="25"/>
    </row>
    <row r="73" spans="9:11" x14ac:dyDescent="0.2">
      <c r="I73" s="25"/>
      <c r="J73" s="25"/>
      <c r="K73" s="33"/>
    </row>
  </sheetData>
  <mergeCells count="1">
    <mergeCell ref="E10:H10"/>
  </mergeCells>
  <pageMargins left="0.7" right="0.7" top="0.75" bottom="0.75" header="0.3" footer="0.3"/>
  <pageSetup scale="34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3"/>
  <sheetViews>
    <sheetView view="pageBreakPreview" zoomScale="70" zoomScaleNormal="80" zoomScaleSheetLayoutView="70" workbookViewId="0"/>
  </sheetViews>
  <sheetFormatPr defaultColWidth="9.140625" defaultRowHeight="12.75" x14ac:dyDescent="0.2"/>
  <cols>
    <col min="1" max="1" width="9.140625" style="26"/>
    <col min="2" max="2" width="4.28515625" style="26" customWidth="1"/>
    <col min="3" max="3" width="55.7109375" style="26" bestFit="1" customWidth="1"/>
    <col min="4" max="4" width="34.28515625" style="26" hidden="1" customWidth="1"/>
    <col min="5" max="5" width="22.140625" style="26" customWidth="1"/>
    <col min="6" max="6" width="22" style="26" customWidth="1"/>
    <col min="7" max="7" width="21.140625" style="26" customWidth="1"/>
    <col min="8" max="8" width="22" style="26" customWidth="1"/>
    <col min="9" max="9" width="20.140625" style="26" customWidth="1"/>
    <col min="10" max="10" width="15.140625" style="26" customWidth="1"/>
    <col min="11" max="11" width="14.7109375" style="26" customWidth="1"/>
    <col min="12" max="12" width="17.42578125" style="26" customWidth="1"/>
    <col min="13" max="13" width="18.28515625" style="26" customWidth="1"/>
    <col min="14" max="14" width="18.85546875" style="26" customWidth="1"/>
    <col min="15" max="15" width="9.140625" style="26"/>
    <col min="16" max="16" width="14.85546875" style="26" customWidth="1"/>
    <col min="17" max="16384" width="9.140625" style="26"/>
  </cols>
  <sheetData>
    <row r="1" spans="2:16" ht="20.25" x14ac:dyDescent="0.3">
      <c r="B1" s="193" t="s">
        <v>746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4" t="s">
        <v>882</v>
      </c>
    </row>
    <row r="2" spans="2:16" ht="15.75" x14ac:dyDescent="0.25">
      <c r="B2" s="192" t="s">
        <v>772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4" t="s">
        <v>880</v>
      </c>
    </row>
    <row r="3" spans="2:16" ht="15.75" x14ac:dyDescent="0.25">
      <c r="B3" s="192" t="s">
        <v>861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2:16" ht="15.75" x14ac:dyDescent="0.25"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2:16" ht="15.75" x14ac:dyDescent="0.25">
      <c r="B5" s="192" t="s">
        <v>862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2:16" ht="15.75" x14ac:dyDescent="0.25"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2:16" x14ac:dyDescent="0.2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2:16" x14ac:dyDescent="0.2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2:16" ht="13.5" thickBot="1" x14ac:dyDescent="0.2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2:16" ht="16.5" thickBot="1" x14ac:dyDescent="0.3">
      <c r="B10" s="45"/>
      <c r="C10" s="46"/>
      <c r="D10" s="47"/>
      <c r="E10" s="199" t="s">
        <v>773</v>
      </c>
      <c r="F10" s="200"/>
      <c r="G10" s="200"/>
      <c r="H10" s="201"/>
      <c r="I10" s="48"/>
      <c r="J10" s="48"/>
      <c r="K10" s="49"/>
      <c r="L10" s="49"/>
      <c r="M10" s="173" t="s">
        <v>860</v>
      </c>
      <c r="N10" s="47"/>
    </row>
    <row r="11" spans="2:16" ht="15.75" x14ac:dyDescent="0.25">
      <c r="B11" s="50"/>
      <c r="C11" s="42"/>
      <c r="D11" s="51"/>
      <c r="E11" s="38" t="s">
        <v>774</v>
      </c>
      <c r="F11" s="174" t="s">
        <v>774</v>
      </c>
      <c r="G11" s="174"/>
      <c r="H11" s="40" t="s">
        <v>14</v>
      </c>
      <c r="I11" s="52" t="s">
        <v>859</v>
      </c>
      <c r="J11" s="52" t="s">
        <v>3</v>
      </c>
      <c r="K11" s="52" t="s">
        <v>244</v>
      </c>
      <c r="L11" s="52" t="s">
        <v>775</v>
      </c>
      <c r="M11" s="52" t="s">
        <v>775</v>
      </c>
      <c r="N11" s="51"/>
    </row>
    <row r="12" spans="2:16" ht="15.75" x14ac:dyDescent="0.25">
      <c r="B12" s="50"/>
      <c r="C12" s="42"/>
      <c r="D12" s="51"/>
      <c r="E12" s="38" t="s">
        <v>776</v>
      </c>
      <c r="F12" s="174" t="s">
        <v>777</v>
      </c>
      <c r="G12" s="174" t="s">
        <v>774</v>
      </c>
      <c r="H12" s="40" t="s">
        <v>774</v>
      </c>
      <c r="I12" s="52" t="s">
        <v>778</v>
      </c>
      <c r="J12" s="52" t="s">
        <v>809</v>
      </c>
      <c r="K12" s="52" t="s">
        <v>632</v>
      </c>
      <c r="L12" s="38" t="s">
        <v>776</v>
      </c>
      <c r="M12" s="38" t="s">
        <v>777</v>
      </c>
      <c r="N12" s="51"/>
    </row>
    <row r="13" spans="2:16" ht="16.5" thickBot="1" x14ac:dyDescent="0.3">
      <c r="B13" s="43"/>
      <c r="C13" s="53" t="s">
        <v>19</v>
      </c>
      <c r="D13" s="54" t="s">
        <v>710</v>
      </c>
      <c r="E13" s="55" t="s">
        <v>779</v>
      </c>
      <c r="F13" s="56" t="s">
        <v>780</v>
      </c>
      <c r="G13" s="56" t="s">
        <v>781</v>
      </c>
      <c r="H13" s="57" t="s">
        <v>782</v>
      </c>
      <c r="I13" s="54" t="s">
        <v>782</v>
      </c>
      <c r="J13" s="54" t="s">
        <v>782</v>
      </c>
      <c r="K13" s="54" t="s">
        <v>782</v>
      </c>
      <c r="L13" s="55" t="s">
        <v>779</v>
      </c>
      <c r="M13" s="55" t="s">
        <v>779</v>
      </c>
      <c r="N13" s="54" t="s">
        <v>783</v>
      </c>
    </row>
    <row r="14" spans="2:16" ht="15.75" x14ac:dyDescent="0.25">
      <c r="B14" s="45"/>
      <c r="C14" s="46"/>
      <c r="D14" s="58"/>
      <c r="E14" s="45"/>
      <c r="F14" s="59"/>
      <c r="G14" s="59"/>
      <c r="H14" s="46"/>
      <c r="I14" s="45"/>
      <c r="J14" s="46"/>
      <c r="K14" s="45"/>
      <c r="L14" s="47"/>
      <c r="M14" s="46"/>
      <c r="N14" s="47"/>
    </row>
    <row r="15" spans="2:16" ht="15.75" x14ac:dyDescent="0.25">
      <c r="B15" s="60" t="s">
        <v>711</v>
      </c>
      <c r="C15" s="61" t="s">
        <v>245</v>
      </c>
      <c r="D15" s="62" t="s">
        <v>822</v>
      </c>
      <c r="E15" s="63">
        <f>'WSS-34'!K80</f>
        <v>0</v>
      </c>
      <c r="F15" s="64">
        <f>'WSS-34'!K82</f>
        <v>2676.489521796123</v>
      </c>
      <c r="G15" s="64">
        <f>'WSS-34'!K86+'WSS-34'!K89+'WSS-34'!K92+'WSS-34'!K95</f>
        <v>2038681.4022962372</v>
      </c>
      <c r="H15" s="65">
        <f>E15+F15+G15</f>
        <v>2041357.8918180333</v>
      </c>
      <c r="I15" s="66">
        <f>'WSS-34'!K62+'WSS-34'!K68</f>
        <v>1202560.7659305776</v>
      </c>
      <c r="J15" s="65">
        <f>'WSS-34'!K63</f>
        <v>0</v>
      </c>
      <c r="K15" s="64">
        <f>'WSS-34'!K58+'WSS-34'!K72</f>
        <v>117479.59122676481</v>
      </c>
      <c r="L15" s="67">
        <f>'WSS-34'!K79</f>
        <v>0</v>
      </c>
      <c r="M15" s="68">
        <f>'WSS-34'!K57+'WSS-34'!K67+'WSS-34'!K75+'WSS-34'!K81</f>
        <v>12407252.39950297</v>
      </c>
      <c r="N15" s="69">
        <f>E15+F15+G15+K15+L15+M15+I15+J15</f>
        <v>15768650.648478346</v>
      </c>
      <c r="O15" s="27"/>
    </row>
    <row r="16" spans="2:16" ht="15.75" x14ac:dyDescent="0.25">
      <c r="B16" s="60" t="s">
        <v>784</v>
      </c>
      <c r="C16" s="61" t="s">
        <v>668</v>
      </c>
      <c r="D16" s="62" t="s">
        <v>823</v>
      </c>
      <c r="E16" s="70">
        <f>(E15/$N$15)*$N$16</f>
        <v>0</v>
      </c>
      <c r="F16" s="71">
        <f t="shared" ref="F16:M16" si="0">(F15/$N$15)*$N$16</f>
        <v>0</v>
      </c>
      <c r="G16" s="71">
        <f t="shared" si="0"/>
        <v>0</v>
      </c>
      <c r="H16" s="72">
        <f>E16+F16+G16</f>
        <v>0</v>
      </c>
      <c r="I16" s="70">
        <f t="shared" si="0"/>
        <v>0</v>
      </c>
      <c r="J16" s="72">
        <f t="shared" si="0"/>
        <v>0</v>
      </c>
      <c r="K16" s="71">
        <f t="shared" si="0"/>
        <v>0</v>
      </c>
      <c r="L16" s="73">
        <f t="shared" si="0"/>
        <v>0</v>
      </c>
      <c r="M16" s="72">
        <f t="shared" si="0"/>
        <v>0</v>
      </c>
      <c r="N16" s="73">
        <f>'WSS-34'!G524+'WSS-34'!G525</f>
        <v>0</v>
      </c>
      <c r="O16" s="27"/>
      <c r="P16" s="27"/>
    </row>
    <row r="17" spans="2:16" ht="15.75" x14ac:dyDescent="0.25">
      <c r="B17" s="60" t="s">
        <v>785</v>
      </c>
      <c r="C17" s="61" t="s">
        <v>833</v>
      </c>
      <c r="D17" s="62" t="s">
        <v>786</v>
      </c>
      <c r="E17" s="63">
        <f>E15+E16</f>
        <v>0</v>
      </c>
      <c r="F17" s="64">
        <f>F15+F16</f>
        <v>2676.489521796123</v>
      </c>
      <c r="G17" s="64">
        <f>G15+G16</f>
        <v>2038681.4022962372</v>
      </c>
      <c r="H17" s="65">
        <f>E17+F17+G17</f>
        <v>2041357.8918180333</v>
      </c>
      <c r="I17" s="66">
        <f>I15+I16</f>
        <v>1202560.7659305776</v>
      </c>
      <c r="J17" s="65">
        <f>J15+J16</f>
        <v>0</v>
      </c>
      <c r="K17" s="64">
        <f>K15+K16</f>
        <v>117479.59122676481</v>
      </c>
      <c r="L17" s="67">
        <f>L15+L16</f>
        <v>0</v>
      </c>
      <c r="M17" s="68">
        <f>M15+M16</f>
        <v>12407252.39950297</v>
      </c>
      <c r="N17" s="74">
        <f>E17+F17+G17+K17+L17+M17+I17+J17</f>
        <v>15768650.648478346</v>
      </c>
    </row>
    <row r="18" spans="2:16" ht="15.75" x14ac:dyDescent="0.25">
      <c r="B18" s="60"/>
      <c r="C18" s="61"/>
      <c r="D18" s="62"/>
      <c r="E18" s="63"/>
      <c r="F18" s="64"/>
      <c r="G18" s="64"/>
      <c r="H18" s="65"/>
      <c r="I18" s="66"/>
      <c r="J18" s="65"/>
      <c r="K18" s="64"/>
      <c r="L18" s="67"/>
      <c r="M18" s="68"/>
      <c r="N18" s="69"/>
    </row>
    <row r="19" spans="2:16" ht="15.75" x14ac:dyDescent="0.25">
      <c r="B19" s="60" t="s">
        <v>787</v>
      </c>
      <c r="C19" s="61" t="s">
        <v>362</v>
      </c>
      <c r="D19" s="62" t="s">
        <v>831</v>
      </c>
      <c r="E19" s="75">
        <f>'WSS-34'!K573</f>
        <v>0.15896811535551827</v>
      </c>
      <c r="F19" s="76">
        <f>E19</f>
        <v>0.15896811535551827</v>
      </c>
      <c r="G19" s="76">
        <f>E19</f>
        <v>0.15896811535551827</v>
      </c>
      <c r="H19" s="77">
        <f>E19</f>
        <v>0.15896811535551827</v>
      </c>
      <c r="I19" s="75">
        <f>E19</f>
        <v>0.15896811535551827</v>
      </c>
      <c r="J19" s="77">
        <f>E19</f>
        <v>0.15896811535551827</v>
      </c>
      <c r="K19" s="76">
        <f>E19</f>
        <v>0.15896811535551827</v>
      </c>
      <c r="L19" s="78">
        <f>F19</f>
        <v>0.15896811535551827</v>
      </c>
      <c r="M19" s="77">
        <f>G19</f>
        <v>0.15896811535551827</v>
      </c>
      <c r="N19" s="77">
        <f>E19</f>
        <v>0.15896811535551827</v>
      </c>
    </row>
    <row r="20" spans="2:16" ht="15.75" x14ac:dyDescent="0.25">
      <c r="B20" s="50"/>
      <c r="C20" s="61"/>
      <c r="D20" s="62"/>
      <c r="E20" s="50"/>
      <c r="F20" s="41"/>
      <c r="G20" s="41"/>
      <c r="H20" s="42"/>
      <c r="I20" s="50"/>
      <c r="J20" s="42"/>
      <c r="K20" s="41"/>
      <c r="L20" s="51"/>
      <c r="M20" s="42"/>
      <c r="N20" s="51"/>
    </row>
    <row r="21" spans="2:16" ht="15.75" x14ac:dyDescent="0.25">
      <c r="B21" s="60" t="s">
        <v>788</v>
      </c>
      <c r="C21" s="61" t="s">
        <v>834</v>
      </c>
      <c r="D21" s="62" t="s">
        <v>789</v>
      </c>
      <c r="E21" s="63">
        <f>E17*E19</f>
        <v>0</v>
      </c>
      <c r="F21" s="64">
        <f>F17*F19</f>
        <v>425.47649504872203</v>
      </c>
      <c r="G21" s="64">
        <f>G17*G19</f>
        <v>324085.340333378</v>
      </c>
      <c r="H21" s="65">
        <f>E21+F21+G21</f>
        <v>324510.81682842673</v>
      </c>
      <c r="I21" s="63">
        <f>I17*I19</f>
        <v>191168.81856047249</v>
      </c>
      <c r="J21" s="68">
        <f>J17*J19</f>
        <v>0</v>
      </c>
      <c r="K21" s="64">
        <f>K17*K19</f>
        <v>18675.509210055479</v>
      </c>
      <c r="L21" s="67">
        <f>L17*L19</f>
        <v>0</v>
      </c>
      <c r="M21" s="68">
        <f>M17*M19</f>
        <v>1972357.530689219</v>
      </c>
      <c r="N21" s="69">
        <f>E21+F21+G21+K21+L21+M21+I21+J21</f>
        <v>2506712.6752881738</v>
      </c>
      <c r="P21" s="27"/>
    </row>
    <row r="22" spans="2:16" ht="15.75" x14ac:dyDescent="0.25">
      <c r="B22" s="50"/>
      <c r="C22" s="61"/>
      <c r="D22" s="62"/>
      <c r="E22" s="50"/>
      <c r="F22" s="41"/>
      <c r="G22" s="41"/>
      <c r="H22" s="42"/>
      <c r="I22" s="50"/>
      <c r="J22" s="42"/>
      <c r="K22" s="41"/>
      <c r="L22" s="51"/>
      <c r="M22" s="42"/>
      <c r="N22" s="51"/>
    </row>
    <row r="23" spans="2:16" ht="15.75" x14ac:dyDescent="0.25">
      <c r="B23" s="60" t="s">
        <v>790</v>
      </c>
      <c r="C23" s="61" t="s">
        <v>364</v>
      </c>
      <c r="D23" s="62" t="s">
        <v>824</v>
      </c>
      <c r="E23" s="63">
        <f>'WSS-34'!K443</f>
        <v>0</v>
      </c>
      <c r="F23" s="64">
        <f>'WSS-34'!K445</f>
        <v>64.765087227887506</v>
      </c>
      <c r="G23" s="64">
        <f>'WSS-34'!K449+'WSS-34'!K452+'WSS-34'!K455+'WSS-34'!K458</f>
        <v>46235.865374777393</v>
      </c>
      <c r="H23" s="65">
        <f>E23+F23+G23</f>
        <v>46300.630462005283</v>
      </c>
      <c r="I23" s="63">
        <f>'WSS-34'!K426+'WSS-34'!K432</f>
        <v>21045.445592313234</v>
      </c>
      <c r="J23" s="68">
        <f>'WSS-34'!K427</f>
        <v>0</v>
      </c>
      <c r="K23" s="64">
        <f>'WSS-34'!K422+'WSS-34'!K436</f>
        <v>0</v>
      </c>
      <c r="L23" s="67">
        <f>'WSS-34'!K442</f>
        <v>0</v>
      </c>
      <c r="M23" s="68">
        <f>'WSS-34'!K421+'WSS-34'!K431+'WSS-34'!K439+'WSS-34'!K444</f>
        <v>236687.84717258011</v>
      </c>
      <c r="N23" s="69">
        <f>E23+F23+G23+K23+L23+M23+I23+J23</f>
        <v>304033.92322689865</v>
      </c>
    </row>
    <row r="24" spans="2:16" ht="15.75" x14ac:dyDescent="0.25">
      <c r="B24" s="50"/>
      <c r="C24" s="61"/>
      <c r="D24" s="62"/>
      <c r="E24" s="50"/>
      <c r="F24" s="41"/>
      <c r="G24" s="41"/>
      <c r="H24" s="42"/>
      <c r="I24" s="50"/>
      <c r="J24" s="42"/>
      <c r="K24" s="41"/>
      <c r="L24" s="51"/>
      <c r="M24" s="42"/>
      <c r="N24" s="51"/>
    </row>
    <row r="25" spans="2:16" ht="15.75" x14ac:dyDescent="0.25">
      <c r="B25" s="60" t="s">
        <v>791</v>
      </c>
      <c r="C25" s="61" t="s">
        <v>835</v>
      </c>
      <c r="D25" s="62" t="s">
        <v>792</v>
      </c>
      <c r="E25" s="66">
        <f t="shared" ref="E25:M25" si="1">E21-E23</f>
        <v>0</v>
      </c>
      <c r="F25" s="79">
        <f t="shared" si="1"/>
        <v>360.71140782083455</v>
      </c>
      <c r="G25" s="79">
        <f t="shared" si="1"/>
        <v>277849.47495860059</v>
      </c>
      <c r="H25" s="65">
        <f t="shared" si="1"/>
        <v>278210.18636642146</v>
      </c>
      <c r="I25" s="66">
        <f t="shared" si="1"/>
        <v>170123.37296815927</v>
      </c>
      <c r="J25" s="65">
        <f t="shared" si="1"/>
        <v>0</v>
      </c>
      <c r="K25" s="79">
        <f t="shared" si="1"/>
        <v>18675.509210055479</v>
      </c>
      <c r="L25" s="69">
        <f t="shared" si="1"/>
        <v>0</v>
      </c>
      <c r="M25" s="65">
        <f t="shared" si="1"/>
        <v>1735669.6835166388</v>
      </c>
      <c r="N25" s="69">
        <f>N21-N23</f>
        <v>2202678.7520612753</v>
      </c>
    </row>
    <row r="26" spans="2:16" ht="15.75" x14ac:dyDescent="0.25">
      <c r="B26" s="50"/>
      <c r="C26" s="61"/>
      <c r="D26" s="62"/>
      <c r="E26" s="50"/>
      <c r="F26" s="41"/>
      <c r="G26" s="41"/>
      <c r="H26" s="42"/>
      <c r="I26" s="50"/>
      <c r="J26" s="42"/>
      <c r="K26" s="41"/>
      <c r="L26" s="51"/>
      <c r="M26" s="42"/>
      <c r="N26" s="51"/>
    </row>
    <row r="27" spans="2:16" ht="15.75" x14ac:dyDescent="0.25">
      <c r="B27" s="60" t="s">
        <v>793</v>
      </c>
      <c r="C27" s="61" t="s">
        <v>297</v>
      </c>
      <c r="D27" s="80" t="s">
        <v>808</v>
      </c>
      <c r="E27" s="63">
        <f>$P$27*(E25/$N$25)</f>
        <v>0</v>
      </c>
      <c r="F27" s="64">
        <f>$P$27*(F25/$N$25)</f>
        <v>80.859655231464629</v>
      </c>
      <c r="G27" s="64">
        <f>$P$27*(G25/$N$25)</f>
        <v>62284.730297621136</v>
      </c>
      <c r="H27" s="65">
        <f>E27+G27+F27</f>
        <v>62365.589952852599</v>
      </c>
      <c r="I27" s="63">
        <f>$P$27*(I25/$N$25)</f>
        <v>38136.074952893905</v>
      </c>
      <c r="J27" s="68">
        <f>$P$27*(J25/$N$25)</f>
        <v>0</v>
      </c>
      <c r="K27" s="64">
        <f>$P$27*(K25/$N$25)</f>
        <v>4186.4360351674632</v>
      </c>
      <c r="L27" s="67">
        <f>$P$27*(L25/$N$25)</f>
        <v>0</v>
      </c>
      <c r="M27" s="64">
        <f>$P$27*(M25/$N$25)</f>
        <v>389080.1598228644</v>
      </c>
      <c r="N27" s="69">
        <f>E27+F27+G27+K27+L27+M27+I27+J27</f>
        <v>493768.26076377835</v>
      </c>
      <c r="P27" s="28">
        <f>'WSS-34'!K519+'WSS-34'!K509+'WSS-34'!K565</f>
        <v>493768.26076377847</v>
      </c>
    </row>
    <row r="28" spans="2:16" ht="15.75" x14ac:dyDescent="0.25">
      <c r="B28" s="50"/>
      <c r="C28" s="61"/>
      <c r="D28" s="62"/>
      <c r="E28" s="50"/>
      <c r="F28" s="41"/>
      <c r="G28" s="41"/>
      <c r="H28" s="42"/>
      <c r="I28" s="50"/>
      <c r="J28" s="42"/>
      <c r="K28" s="41"/>
      <c r="L28" s="51"/>
      <c r="M28" s="42"/>
      <c r="N28" s="51"/>
    </row>
    <row r="29" spans="2:16" ht="15.75" x14ac:dyDescent="0.25">
      <c r="B29" s="60" t="s">
        <v>794</v>
      </c>
      <c r="C29" s="61" t="s">
        <v>171</v>
      </c>
      <c r="D29" s="62" t="s">
        <v>825</v>
      </c>
      <c r="E29" s="63">
        <f>'WSS-34'!K126</f>
        <v>0</v>
      </c>
      <c r="F29" s="64">
        <f>'WSS-34'!K128</f>
        <v>259.64238995168984</v>
      </c>
      <c r="G29" s="64">
        <f>'WSS-34'!K132+'WSS-34'!K135+'WSS-34'!K138+'WSS-34'!K141</f>
        <v>205845.33153311606</v>
      </c>
      <c r="H29" s="65">
        <f>E29+F29+G29</f>
        <v>206104.97392306774</v>
      </c>
      <c r="I29" s="66">
        <f>'WSS-34'!K109+'WSS-34'!K115</f>
        <v>110302.66235373454</v>
      </c>
      <c r="J29" s="65">
        <f>'WSS-34'!K110</f>
        <v>0</v>
      </c>
      <c r="K29" s="64">
        <f>'WSS-34'!K105+'WSS-34'!K119</f>
        <v>484097.01916061441</v>
      </c>
      <c r="L29" s="67">
        <f>'WSS-34'!K125</f>
        <v>0</v>
      </c>
      <c r="M29" s="68">
        <f>'WSS-34'!K104+'WSS-34'!K114+'WSS-34'!K122+'WSS-34'!K127</f>
        <v>1911421.63009247</v>
      </c>
      <c r="N29" s="69">
        <f>E29+F29+G29+K29+L29+M29+I29+J29</f>
        <v>2711926.2855298864</v>
      </c>
    </row>
    <row r="30" spans="2:16" ht="15.75" x14ac:dyDescent="0.25">
      <c r="B30" s="60" t="s">
        <v>795</v>
      </c>
      <c r="C30" s="61" t="s">
        <v>173</v>
      </c>
      <c r="D30" s="62" t="s">
        <v>826</v>
      </c>
      <c r="E30" s="70">
        <f>'WSS-34'!K219</f>
        <v>0</v>
      </c>
      <c r="F30" s="71">
        <f>'WSS-34'!K221</f>
        <v>107.20302195256073</v>
      </c>
      <c r="G30" s="71">
        <f>'WSS-34'!K225+'WSS-34'!K228+'WSS-34'!K231+'WSS-34'!K234</f>
        <v>145344.19035135736</v>
      </c>
      <c r="H30" s="72">
        <f>E30+F30+G30</f>
        <v>145451.39337330993</v>
      </c>
      <c r="I30" s="70">
        <f>'WSS-34'!K202+'WSS-34'!K208</f>
        <v>38850.633193561363</v>
      </c>
      <c r="J30" s="72">
        <f>'WSS-34'!K203</f>
        <v>0</v>
      </c>
      <c r="K30" s="71">
        <f>'WSS-34'!K198+'WSS-34'!K212</f>
        <v>0</v>
      </c>
      <c r="L30" s="73">
        <f>'WSS-34'!K218</f>
        <v>0</v>
      </c>
      <c r="M30" s="72">
        <f>'WSS-34'!K197+'WSS-34'!K207+'WSS-34'!K215+'WSS-34'!K220</f>
        <v>417388.10301691544</v>
      </c>
      <c r="N30" s="73">
        <f>E30+F30+G30+K30+L30+M30+I30+J30</f>
        <v>601690.12958378671</v>
      </c>
    </row>
    <row r="31" spans="2:16" ht="15.75" x14ac:dyDescent="0.25">
      <c r="B31" s="60" t="s">
        <v>796</v>
      </c>
      <c r="C31" s="61" t="s">
        <v>215</v>
      </c>
      <c r="D31" s="62" t="s">
        <v>827</v>
      </c>
      <c r="E31" s="70">
        <f>'WSS-34'!K396</f>
        <v>0</v>
      </c>
      <c r="F31" s="71">
        <f>'WSS-34'!K398</f>
        <v>43.400973427789907</v>
      </c>
      <c r="G31" s="71">
        <f>'WSS-34'!K402+'WSS-34'!K405+'WSS-34'!K408+'WSS-34'!K411</f>
        <v>30984.001572957328</v>
      </c>
      <c r="H31" s="72">
        <f>E31+F31+G31</f>
        <v>31027.402546385118</v>
      </c>
      <c r="I31" s="70">
        <f>'WSS-34'!K379+'WSS-34'!K385</f>
        <v>14103.166752698864</v>
      </c>
      <c r="J31" s="72">
        <f>'WSS-34'!K380</f>
        <v>0</v>
      </c>
      <c r="K31" s="71">
        <f>'WSS-34'!K375+'WSS-34'!K389</f>
        <v>0</v>
      </c>
      <c r="L31" s="73">
        <f>'WSS-34'!K395</f>
        <v>0</v>
      </c>
      <c r="M31" s="72">
        <f>'WSS-34'!K374+'WSS-34'!K384+'WSS-34'!K392+'WSS-34'!K397</f>
        <v>158611.42793913616</v>
      </c>
      <c r="N31" s="73">
        <f>E31+F31+G31+K31+L31+M31+I31+J31</f>
        <v>203741.99723822015</v>
      </c>
      <c r="P31" s="29"/>
    </row>
    <row r="32" spans="2:16" ht="15.75" x14ac:dyDescent="0.25">
      <c r="B32" s="60" t="s">
        <v>797</v>
      </c>
      <c r="C32" s="61" t="s">
        <v>105</v>
      </c>
      <c r="D32" s="62" t="s">
        <v>828</v>
      </c>
      <c r="E32" s="70">
        <f>'WSS-34'!K264+'WSS-34'!K308+'WSS-34'!K352</f>
        <v>0</v>
      </c>
      <c r="F32" s="71">
        <f>'WSS-34'!K266+'WSS-34'!K310+'WSS-34'!K354</f>
        <v>-1.7665645489906293E-2</v>
      </c>
      <c r="G32" s="71">
        <f>'WSS-34'!K270+'WSS-34'!K273+'WSS-34'!K276+'WSS-34'!K279+'WSS-34'!K314+'WSS-34'!K317+'WSS-34'!K320+'WSS-34'!K323+'WSS-34'!K358+'WSS-34'!K361+'WSS-34'!K364+'WSS-34'!K367</f>
        <v>-12.774459417110233</v>
      </c>
      <c r="H32" s="72">
        <f>E32+F32+G32</f>
        <v>-12.792125062600139</v>
      </c>
      <c r="I32" s="70">
        <f>'WSS-34'!K247+'WSS-34'!K291+'WSS-34'!K335+'WSS-34'!K253+'WSS-34'!K297+'WSS-34'!K341</f>
        <v>-4.9901935595228615</v>
      </c>
      <c r="J32" s="72">
        <f>'WSS-34'!K248+'WSS-34'!K292+'WSS-34'!K336</f>
        <v>0</v>
      </c>
      <c r="K32" s="71">
        <f>'WSS-34'!K243+'WSS-34'!K257+'WSS-34'!K287+'WSS-34'!K301+'WSS-34'!K331+'WSS-34'!K345+'WSS-34'!K375+'WSS-34'!K389</f>
        <v>0</v>
      </c>
      <c r="L32" s="73">
        <f>'WSS-34'!K307+'WSS-34'!K351+'WSS-34'!K263</f>
        <v>0</v>
      </c>
      <c r="M32" s="71">
        <f>'WSS-34'!K242+'WSS-34'!K252+'WSS-34'!K260+'WSS-34'!K265+'WSS-34'!K286+'WSS-34'!K296+'WSS-34'!K304+'WSS-34'!K309+'WSS-34'!K330+'WSS-34'!K340+'WSS-34'!K348+'WSS-34'!K353</f>
        <v>-60.119170767940638</v>
      </c>
      <c r="N32" s="73">
        <f>E32+F32+G32+K32+L32+M32+I32+J32</f>
        <v>-77.901489390063645</v>
      </c>
      <c r="P32" s="29"/>
    </row>
    <row r="33" spans="2:16" ht="15.75" x14ac:dyDescent="0.25">
      <c r="B33" s="60" t="s">
        <v>798</v>
      </c>
      <c r="C33" s="61" t="s">
        <v>843</v>
      </c>
      <c r="D33" s="62" t="s">
        <v>823</v>
      </c>
      <c r="E33" s="70">
        <f>(E29/$N$29)*$N$33</f>
        <v>0</v>
      </c>
      <c r="F33" s="71">
        <f t="shared" ref="F33:M33" si="2">(F29/$N$29)*$N$33</f>
        <v>-3.1098057305316362E-5</v>
      </c>
      <c r="G33" s="71">
        <f t="shared" si="2"/>
        <v>-2.4654641013124857E-2</v>
      </c>
      <c r="H33" s="72">
        <f>E33+F33+G33</f>
        <v>-2.4685739070430174E-2</v>
      </c>
      <c r="I33" s="70">
        <f t="shared" si="2"/>
        <v>-1.3211242260724978E-2</v>
      </c>
      <c r="J33" s="72">
        <f t="shared" si="2"/>
        <v>0</v>
      </c>
      <c r="K33" s="71">
        <f t="shared" si="2"/>
        <v>-5.7981583230653208E-2</v>
      </c>
      <c r="L33" s="73">
        <f t="shared" si="2"/>
        <v>0</v>
      </c>
      <c r="M33" s="71">
        <f t="shared" si="2"/>
        <v>-0.22893603543819169</v>
      </c>
      <c r="N33" s="73">
        <f>'WSS-34'!K499+'WSS-34'!K501+'WSS-34'!K566+'WSS-34'!K567</f>
        <v>-0.32481460000000001</v>
      </c>
      <c r="P33" s="27"/>
    </row>
    <row r="34" spans="2:16" ht="15.75" x14ac:dyDescent="0.25">
      <c r="B34" s="50"/>
      <c r="C34" s="61"/>
      <c r="D34" s="62"/>
      <c r="E34" s="50"/>
      <c r="F34" s="41"/>
      <c r="G34" s="41"/>
      <c r="H34" s="42"/>
      <c r="I34" s="50"/>
      <c r="J34" s="42"/>
      <c r="K34" s="41"/>
      <c r="L34" s="51"/>
      <c r="M34" s="42"/>
      <c r="N34" s="51"/>
    </row>
    <row r="35" spans="2:16" ht="15.75" x14ac:dyDescent="0.25">
      <c r="B35" s="60" t="s">
        <v>799</v>
      </c>
      <c r="C35" s="61" t="s">
        <v>836</v>
      </c>
      <c r="D35" s="62" t="s">
        <v>832</v>
      </c>
      <c r="E35" s="66">
        <f t="shared" ref="E35:M35" si="3">E21+E27+SUM(E29:E33)</f>
        <v>0</v>
      </c>
      <c r="F35" s="79">
        <f t="shared" si="3"/>
        <v>916.56483886867989</v>
      </c>
      <c r="G35" s="79">
        <f>G21+G27+SUM(G29:G33)</f>
        <v>768530.79497437179</v>
      </c>
      <c r="H35" s="65">
        <f t="shared" si="3"/>
        <v>769447.35981324036</v>
      </c>
      <c r="I35" s="66">
        <f t="shared" si="3"/>
        <v>392556.35240855941</v>
      </c>
      <c r="J35" s="65">
        <f t="shared" si="3"/>
        <v>0</v>
      </c>
      <c r="K35" s="79">
        <f t="shared" si="3"/>
        <v>506958.90642425412</v>
      </c>
      <c r="L35" s="69">
        <f t="shared" si="3"/>
        <v>0</v>
      </c>
      <c r="M35" s="65">
        <f t="shared" si="3"/>
        <v>4848798.5034538014</v>
      </c>
      <c r="N35" s="69">
        <f>N21+N27+SUM(N29:N33)</f>
        <v>6517761.1220998559</v>
      </c>
    </row>
    <row r="36" spans="2:16" ht="15.75" x14ac:dyDescent="0.25">
      <c r="B36" s="50"/>
      <c r="C36" s="61"/>
      <c r="D36" s="62"/>
      <c r="E36" s="50"/>
      <c r="F36" s="41"/>
      <c r="G36" s="41"/>
      <c r="H36" s="42"/>
      <c r="I36" s="50"/>
      <c r="J36" s="42"/>
      <c r="K36" s="41"/>
      <c r="L36" s="51"/>
      <c r="M36" s="42"/>
      <c r="N36" s="51"/>
    </row>
    <row r="37" spans="2:16" ht="15.75" x14ac:dyDescent="0.25">
      <c r="B37" s="60" t="s">
        <v>801</v>
      </c>
      <c r="C37" s="61" t="s">
        <v>800</v>
      </c>
      <c r="D37" s="62" t="s">
        <v>829</v>
      </c>
      <c r="E37" s="70">
        <f>(E35/$N$35)*$N$37</f>
        <v>0</v>
      </c>
      <c r="F37" s="71">
        <f>(F35/$N$35)*$N$37</f>
        <v>6.4715217183348157</v>
      </c>
      <c r="G37" s="71">
        <f>(G35/$N$35)*$N$37</f>
        <v>5426.3086690349819</v>
      </c>
      <c r="H37" s="72">
        <f>E37+F37+G37</f>
        <v>5432.7801907533167</v>
      </c>
      <c r="I37" s="70">
        <f>(I35/$N$35)*$N$37</f>
        <v>2771.6936680856761</v>
      </c>
      <c r="J37" s="72">
        <f>(J35/$N$35)*$N$37</f>
        <v>0</v>
      </c>
      <c r="K37" s="71">
        <f>(K35/$N$35)*$N$37</f>
        <v>3579.4473386927311</v>
      </c>
      <c r="L37" s="73">
        <f>(L35/$N$35)*$N$37</f>
        <v>0</v>
      </c>
      <c r="M37" s="71">
        <f>(M35/$N$35)*$N$37</f>
        <v>34235.553767982201</v>
      </c>
      <c r="N37" s="69">
        <f>'WSS-34'!K467+'WSS-34'!K468+'WSS-34'!K469+'WSS-34'!K476+'WSS-34'!K562</f>
        <v>46019.474965513924</v>
      </c>
      <c r="P37" s="27"/>
    </row>
    <row r="38" spans="2:16" ht="15.75" x14ac:dyDescent="0.25">
      <c r="B38" s="50"/>
      <c r="C38" s="61"/>
      <c r="D38" s="62"/>
      <c r="E38" s="50"/>
      <c r="F38" s="41"/>
      <c r="G38" s="41"/>
      <c r="H38" s="42"/>
      <c r="I38" s="50"/>
      <c r="J38" s="42"/>
      <c r="K38" s="41"/>
      <c r="L38" s="51"/>
      <c r="M38" s="42"/>
      <c r="N38" s="51"/>
    </row>
    <row r="39" spans="2:16" ht="15.75" x14ac:dyDescent="0.25">
      <c r="B39" s="60" t="s">
        <v>803</v>
      </c>
      <c r="C39" s="61" t="s">
        <v>837</v>
      </c>
      <c r="D39" s="62" t="s">
        <v>802</v>
      </c>
      <c r="E39" s="66">
        <f t="shared" ref="E39:M39" si="4">E35-E37</f>
        <v>0</v>
      </c>
      <c r="F39" s="79">
        <f t="shared" si="4"/>
        <v>910.09331715034511</v>
      </c>
      <c r="G39" s="79">
        <f t="shared" si="4"/>
        <v>763104.48630533682</v>
      </c>
      <c r="H39" s="65">
        <f t="shared" si="4"/>
        <v>764014.57962248707</v>
      </c>
      <c r="I39" s="66">
        <f t="shared" si="4"/>
        <v>389784.65874047374</v>
      </c>
      <c r="J39" s="65">
        <f t="shared" si="4"/>
        <v>0</v>
      </c>
      <c r="K39" s="79">
        <f>K35-K37</f>
        <v>503379.45908556139</v>
      </c>
      <c r="L39" s="69">
        <f t="shared" si="4"/>
        <v>0</v>
      </c>
      <c r="M39" s="65">
        <f t="shared" si="4"/>
        <v>4814562.9496858194</v>
      </c>
      <c r="N39" s="69">
        <f>N35-N37</f>
        <v>6471741.6471343422</v>
      </c>
      <c r="P39" s="27">
        <f>'WSS-34'!G480-'WSS-9'!N39</f>
        <v>-14956700.453798011</v>
      </c>
    </row>
    <row r="40" spans="2:16" ht="15.75" x14ac:dyDescent="0.25">
      <c r="B40" s="50"/>
      <c r="C40" s="61"/>
      <c r="D40" s="62"/>
      <c r="E40" s="50"/>
      <c r="F40" s="41"/>
      <c r="G40" s="41"/>
      <c r="H40" s="42"/>
      <c r="I40" s="50"/>
      <c r="J40" s="42"/>
      <c r="K40" s="41"/>
      <c r="L40" s="51"/>
      <c r="M40" s="42"/>
      <c r="N40" s="51"/>
    </row>
    <row r="41" spans="2:16" ht="15.75" x14ac:dyDescent="0.25">
      <c r="B41" s="60" t="s">
        <v>804</v>
      </c>
      <c r="C41" s="61" t="s">
        <v>382</v>
      </c>
      <c r="D41" s="62" t="s">
        <v>830</v>
      </c>
      <c r="E41" s="70">
        <f>'WSS-34'!K605*12</f>
        <v>924</v>
      </c>
      <c r="F41" s="71">
        <f>+$E$41</f>
        <v>924</v>
      </c>
      <c r="G41" s="71">
        <f>+$E$41</f>
        <v>924</v>
      </c>
      <c r="H41" s="72">
        <f>G41</f>
        <v>924</v>
      </c>
      <c r="I41" s="70">
        <f>'WSS-34'!K590</f>
        <v>70268</v>
      </c>
      <c r="J41" s="72">
        <f>'WSS-34'!K581</f>
        <v>0</v>
      </c>
      <c r="K41" s="71">
        <f>'WSS-34'!K585</f>
        <v>13291726.750302587</v>
      </c>
      <c r="L41" s="73">
        <f>'WSS-34'!K595</f>
        <v>0</v>
      </c>
      <c r="M41" s="71">
        <f>'WSS-34'!K594</f>
        <v>101193</v>
      </c>
      <c r="N41" s="51"/>
    </row>
    <row r="42" spans="2:16" ht="16.5" thickBot="1" x14ac:dyDescent="0.3">
      <c r="B42" s="50"/>
      <c r="C42" s="61"/>
      <c r="D42" s="62"/>
      <c r="E42" s="50"/>
      <c r="F42" s="41"/>
      <c r="G42" s="41"/>
      <c r="H42" s="42"/>
      <c r="I42" s="43"/>
      <c r="J42" s="44"/>
      <c r="K42" s="50"/>
      <c r="L42" s="51"/>
      <c r="M42" s="42"/>
      <c r="N42" s="51"/>
    </row>
    <row r="43" spans="2:16" ht="16.5" thickBot="1" x14ac:dyDescent="0.3">
      <c r="B43" s="81" t="s">
        <v>807</v>
      </c>
      <c r="C43" s="82" t="s">
        <v>838</v>
      </c>
      <c r="D43" s="83" t="s">
        <v>805</v>
      </c>
      <c r="E43" s="84" t="str">
        <f>CONCATENATE(TEXT(E39/E41,"$0.00"),"/Cust/Mo")</f>
        <v>$0.00/Cust/Mo</v>
      </c>
      <c r="F43" s="85" t="str">
        <f>CONCATENATE(TEXT(F39/F41,"$0.00"),"/Cust/Mo")</f>
        <v>$0.98/Cust/Mo</v>
      </c>
      <c r="G43" s="85" t="str">
        <f>CONCATENATE(TEXT(G39/G41,"$0.00"),"/Cust/Mo")</f>
        <v>$825.87/Cust/Mo</v>
      </c>
      <c r="H43" s="86" t="str">
        <f>CONCATENATE(TEXT(H39/H41,"$0.00"),"/Cust/Mo")</f>
        <v>$826.86/Cust/Mo</v>
      </c>
      <c r="I43" s="87">
        <f>I39/I41</f>
        <v>5.5471147427061211</v>
      </c>
      <c r="J43" s="87" t="e">
        <f t="shared" ref="J43:M43" si="5">J39/J41</f>
        <v>#DIV/0!</v>
      </c>
      <c r="K43" s="87">
        <f t="shared" si="5"/>
        <v>3.7871637639112762E-2</v>
      </c>
      <c r="L43" s="87" t="e">
        <f t="shared" si="5"/>
        <v>#DIV/0!</v>
      </c>
      <c r="M43" s="87">
        <f t="shared" si="5"/>
        <v>47.578023674422333</v>
      </c>
      <c r="N43" s="88"/>
    </row>
    <row r="44" spans="2:16" ht="15.75" x14ac:dyDescent="0.2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2:16" ht="15.75" x14ac:dyDescent="0.25">
      <c r="B45" s="37"/>
      <c r="C45" s="37"/>
      <c r="D45" s="37"/>
      <c r="E45" s="37"/>
      <c r="F45" s="37"/>
      <c r="G45" s="37"/>
      <c r="H45" s="37"/>
      <c r="I45" s="154"/>
      <c r="J45" s="37"/>
      <c r="K45" s="37"/>
      <c r="L45" s="37"/>
      <c r="M45" s="89"/>
      <c r="N45" s="37"/>
    </row>
    <row r="46" spans="2:16" x14ac:dyDescent="0.2">
      <c r="I46" s="177"/>
      <c r="M46" s="30"/>
      <c r="N46" s="27"/>
    </row>
    <row r="47" spans="2:16" x14ac:dyDescent="0.2">
      <c r="H47" s="155"/>
      <c r="I47" s="157"/>
      <c r="K47" s="27"/>
      <c r="M47" s="155" t="s">
        <v>844</v>
      </c>
      <c r="N47" s="156">
        <f>N39/H41</f>
        <v>7004.0494016605435</v>
      </c>
    </row>
    <row r="48" spans="2:16" x14ac:dyDescent="0.2">
      <c r="M48" s="30"/>
    </row>
    <row r="49" spans="9:13" x14ac:dyDescent="0.2">
      <c r="M49" s="30"/>
    </row>
    <row r="50" spans="9:13" x14ac:dyDescent="0.2">
      <c r="M50" s="30"/>
    </row>
    <row r="51" spans="9:13" x14ac:dyDescent="0.2">
      <c r="M51" s="30"/>
    </row>
    <row r="52" spans="9:13" x14ac:dyDescent="0.2">
      <c r="M52" s="30"/>
    </row>
    <row r="53" spans="9:13" x14ac:dyDescent="0.2">
      <c r="M53" s="30"/>
    </row>
    <row r="54" spans="9:13" x14ac:dyDescent="0.2">
      <c r="M54" s="30"/>
    </row>
    <row r="55" spans="9:13" x14ac:dyDescent="0.2">
      <c r="M55" s="30"/>
    </row>
    <row r="56" spans="9:13" x14ac:dyDescent="0.2">
      <c r="M56" s="30"/>
    </row>
    <row r="57" spans="9:13" x14ac:dyDescent="0.2">
      <c r="M57" s="30"/>
    </row>
    <row r="58" spans="9:13" x14ac:dyDescent="0.2">
      <c r="M58" s="30"/>
    </row>
    <row r="59" spans="9:13" x14ac:dyDescent="0.2">
      <c r="M59" s="30"/>
    </row>
    <row r="60" spans="9:13" x14ac:dyDescent="0.2">
      <c r="M60" s="30"/>
    </row>
    <row r="61" spans="9:13" x14ac:dyDescent="0.2">
      <c r="M61" s="30"/>
    </row>
    <row r="62" spans="9:13" x14ac:dyDescent="0.2">
      <c r="M62" s="30"/>
    </row>
    <row r="63" spans="9:13" x14ac:dyDescent="0.2">
      <c r="M63" s="30"/>
    </row>
    <row r="64" spans="9:13" x14ac:dyDescent="0.2">
      <c r="I64" s="31"/>
      <c r="J64" s="25"/>
      <c r="K64" s="25"/>
    </row>
    <row r="65" spans="9:11" x14ac:dyDescent="0.2">
      <c r="I65" s="25"/>
      <c r="J65" s="25"/>
      <c r="K65" s="32"/>
    </row>
    <row r="66" spans="9:11" x14ac:dyDescent="0.2">
      <c r="I66" s="25"/>
      <c r="J66" s="25"/>
      <c r="K66" s="33"/>
    </row>
    <row r="67" spans="9:11" x14ac:dyDescent="0.2">
      <c r="I67" s="25"/>
      <c r="J67" s="25"/>
      <c r="K67" s="33"/>
    </row>
    <row r="68" spans="9:11" x14ac:dyDescent="0.2">
      <c r="I68" s="25"/>
      <c r="J68" s="25"/>
      <c r="K68" s="34"/>
    </row>
    <row r="69" spans="9:11" x14ac:dyDescent="0.2">
      <c r="I69" s="25"/>
      <c r="J69" s="25"/>
      <c r="K69" s="35"/>
    </row>
    <row r="70" spans="9:11" x14ac:dyDescent="0.2">
      <c r="I70" s="25"/>
      <c r="J70" s="25"/>
      <c r="K70" s="36"/>
    </row>
    <row r="71" spans="9:11" x14ac:dyDescent="0.2">
      <c r="I71" s="25"/>
      <c r="J71" s="25"/>
      <c r="K71" s="25"/>
    </row>
    <row r="72" spans="9:11" x14ac:dyDescent="0.2">
      <c r="I72" s="25"/>
      <c r="J72" s="25"/>
      <c r="K72" s="25"/>
    </row>
    <row r="73" spans="9:11" x14ac:dyDescent="0.2">
      <c r="I73" s="25"/>
      <c r="J73" s="25"/>
      <c r="K73" s="33"/>
    </row>
  </sheetData>
  <mergeCells count="1">
    <mergeCell ref="E10:H10"/>
  </mergeCells>
  <pageMargins left="0.7" right="0.7" top="0.75" bottom="0.75" header="0.3" footer="0.3"/>
  <pageSetup scale="35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zoomScale="90" zoomScaleNormal="100" zoomScaleSheetLayoutView="90" workbookViewId="0"/>
  </sheetViews>
  <sheetFormatPr defaultRowHeight="12.75" x14ac:dyDescent="0.2"/>
  <cols>
    <col min="1" max="1" width="24.42578125" customWidth="1"/>
    <col min="2" max="2" width="8.28515625" customWidth="1"/>
    <col min="3" max="3" width="19.7109375" customWidth="1"/>
    <col min="4" max="4" width="19.85546875" customWidth="1"/>
    <col min="5" max="5" width="18.85546875" customWidth="1"/>
  </cols>
  <sheetData>
    <row r="1" spans="1:5" ht="15.75" x14ac:dyDescent="0.25">
      <c r="A1" s="196" t="s">
        <v>746</v>
      </c>
      <c r="E1" s="194" t="s">
        <v>883</v>
      </c>
    </row>
    <row r="2" spans="1:5" ht="15.75" x14ac:dyDescent="0.25">
      <c r="A2" t="s">
        <v>745</v>
      </c>
      <c r="E2" s="194" t="s">
        <v>880</v>
      </c>
    </row>
    <row r="3" spans="1:5" ht="15.75" x14ac:dyDescent="0.25">
      <c r="E3" s="194"/>
    </row>
    <row r="4" spans="1:5" ht="15.75" x14ac:dyDescent="0.25">
      <c r="E4" s="194"/>
    </row>
    <row r="6" spans="1:5" x14ac:dyDescent="0.2">
      <c r="C6" s="19" t="s">
        <v>810</v>
      </c>
      <c r="D6" s="19" t="s">
        <v>810</v>
      </c>
    </row>
    <row r="7" spans="1:5" x14ac:dyDescent="0.2">
      <c r="C7" s="1" t="s">
        <v>811</v>
      </c>
      <c r="D7" s="19" t="s">
        <v>812</v>
      </c>
      <c r="E7" s="1"/>
    </row>
    <row r="8" spans="1:5" x14ac:dyDescent="0.2">
      <c r="C8" s="1" t="s">
        <v>743</v>
      </c>
      <c r="D8" s="19" t="s">
        <v>743</v>
      </c>
      <c r="E8" s="19" t="s">
        <v>14</v>
      </c>
    </row>
    <row r="11" spans="1:5" x14ac:dyDescent="0.2">
      <c r="A11" t="s">
        <v>245</v>
      </c>
      <c r="C11" s="2">
        <v>0</v>
      </c>
      <c r="D11" s="2">
        <f>SUM('WSS-34'!G62:I62)+SUM('WSS-34'!G68:I68)</f>
        <v>201426224.29438192</v>
      </c>
      <c r="E11" s="3">
        <f>C11+D11</f>
        <v>201426224.29438192</v>
      </c>
    </row>
    <row r="12" spans="1:5" x14ac:dyDescent="0.2">
      <c r="C12" s="2"/>
      <c r="D12" s="2"/>
      <c r="E12" s="3"/>
    </row>
    <row r="13" spans="1:5" x14ac:dyDescent="0.2">
      <c r="A13" t="s">
        <v>744</v>
      </c>
      <c r="B13" s="23">
        <f>'WSS-34'!K573</f>
        <v>0.15896811535551827</v>
      </c>
      <c r="C13" s="2">
        <f>C11*B13</f>
        <v>0</v>
      </c>
      <c r="D13" s="2">
        <f>D11*B13</f>
        <v>32020347.2592558</v>
      </c>
      <c r="E13" s="3">
        <f t="shared" ref="E13:E19" si="0">C13+D13</f>
        <v>32020347.2592558</v>
      </c>
    </row>
    <row r="14" spans="1:5" x14ac:dyDescent="0.2">
      <c r="A14" t="s">
        <v>670</v>
      </c>
      <c r="C14" s="2">
        <v>0</v>
      </c>
      <c r="D14" s="2">
        <f>SUM('WSS-34'!G109:I109)+SUM('WSS-34'!G115:I115)</f>
        <v>18475447.924943712</v>
      </c>
      <c r="E14" s="3">
        <f t="shared" si="0"/>
        <v>18475447.924943712</v>
      </c>
    </row>
    <row r="15" spans="1:5" x14ac:dyDescent="0.2">
      <c r="A15" t="s">
        <v>739</v>
      </c>
      <c r="C15" s="2">
        <v>0</v>
      </c>
      <c r="D15" s="2">
        <f>SUM('WSS-34'!G202:I202)+SUM('WSS-34'!G208:I208)</f>
        <v>6507393.7029447453</v>
      </c>
      <c r="E15" s="3">
        <f t="shared" si="0"/>
        <v>6507393.7029447453</v>
      </c>
    </row>
    <row r="16" spans="1:5" x14ac:dyDescent="0.2">
      <c r="A16" t="s">
        <v>740</v>
      </c>
      <c r="C16" s="2">
        <v>0</v>
      </c>
      <c r="D16" s="2">
        <f>SUM('WSS-34'!G379:I379)+SUM('WSS-34'!G385:I385)</f>
        <v>2362248.7196245221</v>
      </c>
      <c r="E16" s="3">
        <f t="shared" si="0"/>
        <v>2362248.7196245221</v>
      </c>
    </row>
    <row r="17" spans="1:5" x14ac:dyDescent="0.2">
      <c r="A17" t="s">
        <v>741</v>
      </c>
      <c r="C17" s="2">
        <f>SUM('WSS-34'!G296:I296)</f>
        <v>0</v>
      </c>
      <c r="D17" s="2">
        <f>SUM('WSS-34'!G291:I291)</f>
        <v>0</v>
      </c>
      <c r="E17" s="3">
        <f t="shared" si="0"/>
        <v>0</v>
      </c>
    </row>
    <row r="18" spans="1:5" x14ac:dyDescent="0.2">
      <c r="A18" t="s">
        <v>720</v>
      </c>
      <c r="C18" s="2">
        <f>SUM('WSS-34'!G252:I252)</f>
        <v>0</v>
      </c>
      <c r="D18" s="2">
        <f>SUM('WSS-34'!G247:I247)</f>
        <v>0</v>
      </c>
      <c r="E18" s="3">
        <f t="shared" si="0"/>
        <v>0</v>
      </c>
    </row>
    <row r="19" spans="1:5" x14ac:dyDescent="0.2">
      <c r="A19" t="s">
        <v>297</v>
      </c>
      <c r="B19" s="4">
        <f>('WSS-34'!K519+'WSS-34'!K565)/'WSS-34'!K569</f>
        <v>0.19697840348097112</v>
      </c>
      <c r="C19" s="5">
        <f>$B$19*C13</f>
        <v>0</v>
      </c>
      <c r="D19" s="5">
        <f>$B$19*D13</f>
        <v>6307316.8820344964</v>
      </c>
      <c r="E19" s="176">
        <f t="shared" si="0"/>
        <v>6307316.8820344964</v>
      </c>
    </row>
    <row r="21" spans="1:5" x14ac:dyDescent="0.2">
      <c r="A21" t="s">
        <v>14</v>
      </c>
      <c r="C21" s="3">
        <f>SUM(C13:C20)</f>
        <v>0</v>
      </c>
      <c r="D21" s="3">
        <f>SUM(D13:D20)</f>
        <v>65672754.488803275</v>
      </c>
      <c r="E21" s="3">
        <f>SUM(E13:E20)</f>
        <v>65672754.488803275</v>
      </c>
    </row>
    <row r="23" spans="1:5" x14ac:dyDescent="0.2">
      <c r="A23" t="s">
        <v>742</v>
      </c>
      <c r="E23" s="198">
        <f>'WSS-34'!G589+'WSS-34'!H589+'WSS-34'!I589</f>
        <v>473754</v>
      </c>
    </row>
    <row r="25" spans="1:5" x14ac:dyDescent="0.2">
      <c r="A25" t="s">
        <v>750</v>
      </c>
      <c r="E25" s="15">
        <f>E21/E23</f>
        <v>138.62205804869885</v>
      </c>
    </row>
    <row r="27" spans="1:5" x14ac:dyDescent="0.2">
      <c r="A27" t="s">
        <v>751</v>
      </c>
      <c r="E27" s="15">
        <f>E25/12</f>
        <v>11.551838170724904</v>
      </c>
    </row>
    <row r="29" spans="1:5" x14ac:dyDescent="0.2">
      <c r="A29" t="s">
        <v>752</v>
      </c>
      <c r="E29" s="14">
        <f>E25/365.25</f>
        <v>0.37952651074250199</v>
      </c>
    </row>
    <row r="33" spans="1:3" x14ac:dyDescent="0.2">
      <c r="A33" s="197" t="s">
        <v>813</v>
      </c>
      <c r="B33" s="186"/>
      <c r="C33" s="186"/>
    </row>
  </sheetData>
  <phoneticPr fontId="10" type="noConversion"/>
  <pageMargins left="0.75" right="0.75" top="1" bottom="1" header="0.5" footer="0.5"/>
  <pageSetup orientation="portrait" horizontalDpi="200" verticalDpi="200" r:id="rId1"/>
  <headerFooter alignWithMargins="0">
    <oddFooter>&amp;R&amp;12Seelye Exhibit 8
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075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E6E33461-F226-407C-9B6F-7B66ACA26FF2}"/>
</file>

<file path=customXml/itemProps2.xml><?xml version="1.0" encoding="utf-8"?>
<ds:datastoreItem xmlns:ds="http://schemas.openxmlformats.org/officeDocument/2006/customXml" ds:itemID="{42EAB04D-7EF0-401D-B7F1-050BFD787AE6}"/>
</file>

<file path=customXml/itemProps3.xml><?xml version="1.0" encoding="utf-8"?>
<ds:datastoreItem xmlns:ds="http://schemas.openxmlformats.org/officeDocument/2006/customXml" ds:itemID="{F3593B99-7461-4FAC-A02B-BC216BD6E9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WSS-33</vt:lpstr>
      <vt:lpstr>WSS-34</vt:lpstr>
      <vt:lpstr>WSS-9</vt:lpstr>
      <vt:lpstr>WSS-12</vt:lpstr>
      <vt:lpstr>WSS-10</vt:lpstr>
      <vt:lpstr>WSS-11</vt:lpstr>
      <vt:lpstr>'WSS-10'!Print_Area</vt:lpstr>
      <vt:lpstr>'WSS-12'!Print_Area</vt:lpstr>
      <vt:lpstr>'WSS-33'!Print_Area</vt:lpstr>
      <vt:lpstr>'WSS-34'!Print_Area</vt:lpstr>
      <vt:lpstr>'WSS-9'!Print_Area</vt:lpstr>
      <vt:lpstr>'WSS-33'!Print_Titles</vt:lpstr>
      <vt:lpstr>'WSS-34'!Print_Titles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2018-11-21T21:40:01Z</dcterms:created>
  <dcterms:modified xsi:type="dcterms:W3CDTF">2018-11-21T21:40:07Z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